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10-April-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shares'!$A$1:$FA$220</definedName>
    <definedName name="Expry_Roll___20" localSheetId="15">'NIFTY GRP'!$A$1:$EY$51</definedName>
    <definedName name="fii" localSheetId="18">FII!$A$1:$N$16</definedName>
    <definedName name="_xlnm.Print_Area" localSheetId="14">Disclaimar!$A$1:$A$24</definedName>
    <definedName name="stats__2" localSheetId="16">'Data Vlaue (Cr)'!$A$1:$FB$220</definedName>
  </definedNames>
  <calcPr calcId="162913"/>
</workbook>
</file>

<file path=xl/calcChain.xml><?xml version="1.0" encoding="utf-8"?>
<calcChain xmlns="http://schemas.openxmlformats.org/spreadsheetml/2006/main">
  <c r="F68" i="18" l="1"/>
  <c r="F85" i="18"/>
  <c r="F17" i="18"/>
  <c r="F83" i="18"/>
  <c r="F183" i="18"/>
  <c r="F137" i="18"/>
  <c r="F216" i="18"/>
  <c r="F35" i="18"/>
  <c r="F5" i="18"/>
  <c r="L4" i="21" l="1"/>
  <c r="L3" i="21"/>
  <c r="F179" i="18"/>
  <c r="A215" i="14" l="1"/>
  <c r="B215" i="14" s="1"/>
  <c r="A216" i="14"/>
  <c r="C216" i="14" s="1"/>
  <c r="A217" i="14"/>
  <c r="D217" i="14" s="1"/>
  <c r="A213" i="13"/>
  <c r="B213" i="13" s="1"/>
  <c r="A214" i="13"/>
  <c r="B214" i="13" s="1"/>
  <c r="A215" i="13"/>
  <c r="D215" i="13" s="1"/>
  <c r="A216" i="13"/>
  <c r="B216" i="13" s="1"/>
  <c r="A214" i="12"/>
  <c r="B214" i="12" s="1"/>
  <c r="A215" i="12"/>
  <c r="B215" i="12" s="1"/>
  <c r="A216" i="12"/>
  <c r="C216" i="12" s="1"/>
  <c r="A217" i="12"/>
  <c r="B217" i="12" s="1"/>
  <c r="A213" i="11"/>
  <c r="D213" i="11" s="1"/>
  <c r="A214" i="11"/>
  <c r="B214" i="11" s="1"/>
  <c r="A215" i="11"/>
  <c r="C215" i="11" s="1"/>
  <c r="A216" i="11"/>
  <c r="D216" i="11" s="1"/>
  <c r="A217" i="11"/>
  <c r="D217" i="11" s="1"/>
  <c r="A214" i="10"/>
  <c r="B214" i="10" s="1"/>
  <c r="A215" i="10"/>
  <c r="C215" i="10" s="1"/>
  <c r="A216" i="10"/>
  <c r="B216" i="10" s="1"/>
  <c r="A217" i="10"/>
  <c r="B217" i="10" s="1"/>
  <c r="A54" i="8"/>
  <c r="B54" i="8" s="1"/>
  <c r="A55" i="8"/>
  <c r="D55" i="8" s="1"/>
  <c r="A56" i="8"/>
  <c r="B56" i="8" s="1"/>
  <c r="A212" i="6"/>
  <c r="B212" i="6" s="1"/>
  <c r="A213" i="6"/>
  <c r="C213" i="6" s="1"/>
  <c r="A214" i="6"/>
  <c r="D214" i="6" s="1"/>
  <c r="A215" i="6"/>
  <c r="B215" i="6" s="1"/>
  <c r="A216" i="6"/>
  <c r="B216" i="6" s="1"/>
  <c r="A217" i="6"/>
  <c r="C217" i="6" s="1"/>
  <c r="A214" i="7"/>
  <c r="B214" i="7" s="1"/>
  <c r="A215" i="7"/>
  <c r="B215" i="7" s="1"/>
  <c r="A216" i="7"/>
  <c r="D216" i="7" s="1"/>
  <c r="A217" i="7"/>
  <c r="B217" i="7" s="1"/>
  <c r="A215" i="2"/>
  <c r="B215" i="2" s="1"/>
  <c r="A216" i="2"/>
  <c r="B216" i="2" s="1"/>
  <c r="A217" i="2"/>
  <c r="D217" i="2" s="1"/>
  <c r="A218" i="2"/>
  <c r="A214" i="3" s="1"/>
  <c r="A219" i="2"/>
  <c r="B219" i="2" s="1"/>
  <c r="A220" i="2"/>
  <c r="B220" i="2" s="1"/>
  <c r="A221" i="2"/>
  <c r="D221" i="2" s="1"/>
  <c r="L216" i="10" l="1"/>
  <c r="G215" i="13"/>
  <c r="I216" i="10"/>
  <c r="G216" i="10"/>
  <c r="N216" i="11"/>
  <c r="L215" i="2"/>
  <c r="O216" i="10"/>
  <c r="E216" i="10"/>
  <c r="K217" i="11"/>
  <c r="J216" i="12"/>
  <c r="I214" i="12"/>
  <c r="I216" i="12"/>
  <c r="I214" i="7"/>
  <c r="G216" i="11"/>
  <c r="B216" i="12"/>
  <c r="H214" i="12"/>
  <c r="E216" i="14"/>
  <c r="M215" i="6"/>
  <c r="N215" i="10"/>
  <c r="I217" i="6"/>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N217" i="6"/>
  <c r="F215" i="10"/>
  <c r="I214" i="10"/>
  <c r="M217" i="11"/>
  <c r="G217" i="11"/>
  <c r="B217" i="11"/>
  <c r="M214" i="11"/>
  <c r="N213" i="11"/>
  <c r="I213" i="11"/>
  <c r="C213" i="11"/>
  <c r="D214" i="12"/>
  <c r="I213" i="6"/>
  <c r="L217" i="10"/>
  <c r="Q219" i="2"/>
  <c r="R218" i="2"/>
  <c r="L218" i="2"/>
  <c r="D218" i="2"/>
  <c r="G218" i="2" s="1"/>
  <c r="L215" i="6"/>
  <c r="H215" i="6"/>
  <c r="D215" i="6"/>
  <c r="O214" i="6"/>
  <c r="J214" i="6"/>
  <c r="E214" i="6"/>
  <c r="N213" i="6"/>
  <c r="F213" i="6"/>
  <c r="M212" i="6"/>
  <c r="K217" i="10"/>
  <c r="M216" i="11"/>
  <c r="F216" i="11"/>
  <c r="S221" i="2"/>
  <c r="I219" i="2"/>
  <c r="Q218" i="2"/>
  <c r="I218" i="2"/>
  <c r="C218" i="2"/>
  <c r="R217" i="2"/>
  <c r="Q216" i="2"/>
  <c r="F216" i="7"/>
  <c r="H214" i="7"/>
  <c r="F217" i="6"/>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A216" i="3"/>
  <c r="B216" i="3" s="1"/>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A213" i="3"/>
  <c r="D213" i="3" s="1"/>
  <c r="A211" i="3"/>
  <c r="J211" i="3" s="1"/>
  <c r="L217" i="7"/>
  <c r="H217" i="7"/>
  <c r="D217" i="7"/>
  <c r="O216" i="7"/>
  <c r="J216" i="7"/>
  <c r="E216" i="7"/>
  <c r="M215" i="7"/>
  <c r="M214" i="7"/>
  <c r="E214" i="7"/>
  <c r="M217" i="6"/>
  <c r="E217" i="6"/>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A217" i="3"/>
  <c r="C217" i="3" s="1"/>
  <c r="A215" i="3"/>
  <c r="J215" i="3" s="1"/>
  <c r="O217" i="7"/>
  <c r="K217" i="7"/>
  <c r="G217" i="7"/>
  <c r="C217" i="7"/>
  <c r="N216" i="7"/>
  <c r="I216" i="7"/>
  <c r="C216" i="7"/>
  <c r="I215" i="7"/>
  <c r="L214" i="7"/>
  <c r="D214" i="7"/>
  <c r="J217" i="6"/>
  <c r="B217" i="6"/>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A212" i="3"/>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L217" i="6"/>
  <c r="H217" i="6"/>
  <c r="D217" i="6"/>
  <c r="O216" i="6"/>
  <c r="K216" i="6"/>
  <c r="G216" i="6"/>
  <c r="C216" i="6"/>
  <c r="L213" i="6"/>
  <c r="H213" i="6"/>
  <c r="D213" i="6"/>
  <c r="O212" i="6"/>
  <c r="K212" i="6"/>
  <c r="G212" i="6"/>
  <c r="C212" i="6"/>
  <c r="O217" i="6"/>
  <c r="K217" i="6"/>
  <c r="G217"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A205" i="14"/>
  <c r="B205" i="14" s="1"/>
  <c r="A206" i="14"/>
  <c r="B206" i="14" s="1"/>
  <c r="A207" i="14"/>
  <c r="D207" i="14" s="1"/>
  <c r="A208" i="14"/>
  <c r="B208" i="14" s="1"/>
  <c r="A209" i="14"/>
  <c r="B209" i="14" s="1"/>
  <c r="A210" i="14"/>
  <c r="B210" i="14" s="1"/>
  <c r="A211" i="14"/>
  <c r="D211" i="14" s="1"/>
  <c r="A212" i="14"/>
  <c r="B212" i="14" s="1"/>
  <c r="A213" i="14"/>
  <c r="B213" i="14" s="1"/>
  <c r="A214" i="14"/>
  <c r="B214" i="14" s="1"/>
  <c r="A211" i="13"/>
  <c r="B211" i="13" s="1"/>
  <c r="A212" i="13"/>
  <c r="C212" i="13" s="1"/>
  <c r="A211" i="12"/>
  <c r="B211" i="12" s="1"/>
  <c r="A212" i="12"/>
  <c r="B212" i="12" s="1"/>
  <c r="A213" i="12"/>
  <c r="D213" i="12" s="1"/>
  <c r="A212" i="11"/>
  <c r="B212" i="11" s="1"/>
  <c r="A213" i="10"/>
  <c r="B213" i="10" s="1"/>
  <c r="A213" i="7"/>
  <c r="B213" i="7" s="1"/>
  <c r="F215" i="2" l="1"/>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E211" i="3" s="1"/>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A6" i="13"/>
  <c r="A7" i="13"/>
  <c r="B7" i="13" s="1"/>
  <c r="A8" i="13"/>
  <c r="A9" i="13"/>
  <c r="B9" i="13" s="1"/>
  <c r="A10" i="13"/>
  <c r="A11" i="13"/>
  <c r="B11" i="13" s="1"/>
  <c r="A12" i="13"/>
  <c r="A13" i="13"/>
  <c r="B13" i="13" s="1"/>
  <c r="A14" i="13"/>
  <c r="A15" i="13"/>
  <c r="B15" i="13" s="1"/>
  <c r="A16" i="13"/>
  <c r="A17" i="13"/>
  <c r="B17" i="13" s="1"/>
  <c r="A18" i="13"/>
  <c r="A19" i="13"/>
  <c r="B19" i="13" s="1"/>
  <c r="A20" i="13"/>
  <c r="A21" i="13"/>
  <c r="B21" i="13" s="1"/>
  <c r="A22" i="13"/>
  <c r="A23" i="13"/>
  <c r="B23" i="13" s="1"/>
  <c r="A24" i="13"/>
  <c r="A25" i="13"/>
  <c r="B25" i="13" s="1"/>
  <c r="A26" i="13"/>
  <c r="A27" i="13"/>
  <c r="B27" i="13" s="1"/>
  <c r="A28" i="13"/>
  <c r="A29" i="13"/>
  <c r="B29" i="13" s="1"/>
  <c r="A30" i="13"/>
  <c r="A31" i="13"/>
  <c r="B31" i="13" s="1"/>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D89" i="13" s="1"/>
  <c r="A90" i="13"/>
  <c r="C90" i="13" s="1"/>
  <c r="A91" i="13"/>
  <c r="C91" i="13" s="1"/>
  <c r="A92" i="13"/>
  <c r="C92" i="13" s="1"/>
  <c r="A93" i="13"/>
  <c r="C93" i="13" s="1"/>
  <c r="A94" i="13"/>
  <c r="C94" i="13" s="1"/>
  <c r="A95" i="13"/>
  <c r="C95" i="13" s="1"/>
  <c r="A96" i="13"/>
  <c r="C96" i="13" s="1"/>
  <c r="A97" i="13"/>
  <c r="C97" i="13" s="1"/>
  <c r="A98" i="13"/>
  <c r="C98" i="13" s="1"/>
  <c r="A99" i="13"/>
  <c r="C99" i="13" s="1"/>
  <c r="A100" i="13"/>
  <c r="C100" i="13" s="1"/>
  <c r="A101" i="13"/>
  <c r="A102" i="13"/>
  <c r="C102" i="13" s="1"/>
  <c r="A103" i="13"/>
  <c r="C103" i="13" s="1"/>
  <c r="A104" i="13"/>
  <c r="C104" i="13" s="1"/>
  <c r="A105" i="13"/>
  <c r="A106" i="13"/>
  <c r="C106" i="13" s="1"/>
  <c r="A107" i="13"/>
  <c r="C107" i="13" s="1"/>
  <c r="A108" i="13"/>
  <c r="C108" i="13" s="1"/>
  <c r="A109" i="13"/>
  <c r="A110" i="13"/>
  <c r="C110" i="13" s="1"/>
  <c r="A111" i="13"/>
  <c r="C111" i="13" s="1"/>
  <c r="A112" i="13"/>
  <c r="C112" i="13" s="1"/>
  <c r="A113" i="13"/>
  <c r="A114" i="13"/>
  <c r="C114" i="13" s="1"/>
  <c r="A115" i="13"/>
  <c r="C115" i="13" s="1"/>
  <c r="A116" i="13"/>
  <c r="C116" i="13" s="1"/>
  <c r="A117" i="13"/>
  <c r="A118" i="13"/>
  <c r="C118" i="13" s="1"/>
  <c r="A119" i="13"/>
  <c r="C119" i="13" s="1"/>
  <c r="A120" i="13"/>
  <c r="C120" i="13" s="1"/>
  <c r="A121" i="13"/>
  <c r="A122" i="13"/>
  <c r="C122" i="13" s="1"/>
  <c r="A123" i="13"/>
  <c r="C123" i="13" s="1"/>
  <c r="A124" i="13"/>
  <c r="C124" i="13" s="1"/>
  <c r="A125" i="13"/>
  <c r="A126" i="13"/>
  <c r="C126" i="13" s="1"/>
  <c r="A127" i="13"/>
  <c r="C127" i="13" s="1"/>
  <c r="A128" i="13"/>
  <c r="C128" i="13" s="1"/>
  <c r="A129" i="13"/>
  <c r="A130" i="13"/>
  <c r="C130" i="13" s="1"/>
  <c r="A131" i="13"/>
  <c r="C131" i="13" s="1"/>
  <c r="A132" i="13"/>
  <c r="B132" i="13" s="1"/>
  <c r="A133" i="13"/>
  <c r="B133" i="13" s="1"/>
  <c r="A134" i="13"/>
  <c r="B134" i="13" s="1"/>
  <c r="A135" i="13"/>
  <c r="B135" i="13" s="1"/>
  <c r="A136" i="13"/>
  <c r="B136" i="13" s="1"/>
  <c r="A137" i="13"/>
  <c r="B137" i="13" s="1"/>
  <c r="A138" i="13"/>
  <c r="B138" i="13" s="1"/>
  <c r="A139" i="13"/>
  <c r="B139" i="13" s="1"/>
  <c r="A140" i="13"/>
  <c r="B140" i="13" s="1"/>
  <c r="A141" i="13"/>
  <c r="B141" i="13" s="1"/>
  <c r="A142" i="13"/>
  <c r="B142" i="13" s="1"/>
  <c r="A143" i="13"/>
  <c r="B143" i="13" s="1"/>
  <c r="A144" i="13"/>
  <c r="B144" i="13" s="1"/>
  <c r="A145" i="13"/>
  <c r="B145" i="13" s="1"/>
  <c r="A146" i="13"/>
  <c r="B146" i="13" s="1"/>
  <c r="A147" i="13"/>
  <c r="B147" i="13" s="1"/>
  <c r="A148" i="13"/>
  <c r="B148" i="13" s="1"/>
  <c r="A149" i="13"/>
  <c r="B149" i="13" s="1"/>
  <c r="A150" i="13"/>
  <c r="B150" i="13" s="1"/>
  <c r="A151" i="13"/>
  <c r="B151" i="13" s="1"/>
  <c r="A152" i="13"/>
  <c r="B152" i="13" s="1"/>
  <c r="A153" i="13"/>
  <c r="B153" i="13" s="1"/>
  <c r="A154" i="13"/>
  <c r="B154" i="13" s="1"/>
  <c r="A155" i="13"/>
  <c r="B155" i="13" s="1"/>
  <c r="A156" i="13"/>
  <c r="B156" i="13" s="1"/>
  <c r="A157" i="13"/>
  <c r="B157" i="13" s="1"/>
  <c r="A158" i="13"/>
  <c r="B158" i="13" s="1"/>
  <c r="A159" i="13"/>
  <c r="B159" i="13" s="1"/>
  <c r="A160" i="13"/>
  <c r="B160" i="13" s="1"/>
  <c r="A161" i="13"/>
  <c r="B161" i="13" s="1"/>
  <c r="A162" i="13"/>
  <c r="B162" i="13" s="1"/>
  <c r="A163" i="13"/>
  <c r="B163" i="13" s="1"/>
  <c r="A164" i="13"/>
  <c r="B164" i="13" s="1"/>
  <c r="A165" i="13"/>
  <c r="B165" i="13" s="1"/>
  <c r="A166" i="13"/>
  <c r="B166" i="13" s="1"/>
  <c r="A167" i="13"/>
  <c r="B167" i="13" s="1"/>
  <c r="A168" i="13"/>
  <c r="B168" i="13" s="1"/>
  <c r="A169" i="13"/>
  <c r="B169" i="13" s="1"/>
  <c r="A170" i="13"/>
  <c r="B170" i="13" s="1"/>
  <c r="A171" i="13"/>
  <c r="B171" i="13" s="1"/>
  <c r="A172" i="13"/>
  <c r="B172" i="13" s="1"/>
  <c r="A173" i="13"/>
  <c r="B173" i="13" s="1"/>
  <c r="A174" i="13"/>
  <c r="B174" i="13" s="1"/>
  <c r="A175" i="13"/>
  <c r="B175" i="13" s="1"/>
  <c r="A176" i="13"/>
  <c r="B176" i="13" s="1"/>
  <c r="A177" i="13"/>
  <c r="B177" i="13" s="1"/>
  <c r="A178" i="13"/>
  <c r="B178" i="13" s="1"/>
  <c r="A179" i="13"/>
  <c r="B179" i="13" s="1"/>
  <c r="A180" i="13"/>
  <c r="B180" i="13" s="1"/>
  <c r="A181" i="13"/>
  <c r="B181" i="13" s="1"/>
  <c r="A182" i="13"/>
  <c r="B182" i="13" s="1"/>
  <c r="A183" i="13"/>
  <c r="B183" i="13" s="1"/>
  <c r="A184" i="13"/>
  <c r="B184" i="13" s="1"/>
  <c r="A185" i="13"/>
  <c r="B185" i="13" s="1"/>
  <c r="A186" i="13"/>
  <c r="B186" i="13" s="1"/>
  <c r="A187" i="13"/>
  <c r="B187" i="13" s="1"/>
  <c r="A188" i="13"/>
  <c r="B188" i="13" s="1"/>
  <c r="A189" i="13"/>
  <c r="B189" i="13" s="1"/>
  <c r="A190" i="13"/>
  <c r="B190" i="13" s="1"/>
  <c r="A191" i="13"/>
  <c r="B191" i="13" s="1"/>
  <c r="A192" i="13"/>
  <c r="B192" i="13" s="1"/>
  <c r="A193" i="13"/>
  <c r="B193" i="13" s="1"/>
  <c r="A194" i="13"/>
  <c r="B194" i="13" s="1"/>
  <c r="A195" i="13"/>
  <c r="B195" i="13" s="1"/>
  <c r="A196" i="13"/>
  <c r="B196" i="13" s="1"/>
  <c r="A197" i="13"/>
  <c r="B197" i="13" s="1"/>
  <c r="A198" i="13"/>
  <c r="B198" i="13" s="1"/>
  <c r="A199" i="13"/>
  <c r="B199" i="13" s="1"/>
  <c r="A200" i="13"/>
  <c r="B200" i="13" s="1"/>
  <c r="A201" i="13"/>
  <c r="B201" i="13" s="1"/>
  <c r="A202" i="13"/>
  <c r="B202" i="13" s="1"/>
  <c r="A203" i="13"/>
  <c r="B203" i="13" s="1"/>
  <c r="A204" i="13"/>
  <c r="B204" i="13" s="1"/>
  <c r="A205" i="13"/>
  <c r="B205" i="13" s="1"/>
  <c r="A206" i="13"/>
  <c r="B206" i="13" s="1"/>
  <c r="A207" i="13"/>
  <c r="B207" i="13" s="1"/>
  <c r="A208" i="13"/>
  <c r="B208" i="13" s="1"/>
  <c r="A209" i="13"/>
  <c r="B209" i="13" s="1"/>
  <c r="A210" i="13"/>
  <c r="B210" i="13" s="1"/>
  <c r="H211" i="3" l="1"/>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A210" i="12"/>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D189" i="11" s="1"/>
  <c r="A190" i="11"/>
  <c r="F190" i="11" s="1"/>
  <c r="A191" i="11"/>
  <c r="D191" i="11" s="1"/>
  <c r="A192" i="11"/>
  <c r="A193" i="11"/>
  <c r="L193" i="11" s="1"/>
  <c r="A194" i="11"/>
  <c r="N194" i="11" s="1"/>
  <c r="A195" i="11"/>
  <c r="H195" i="11" s="1"/>
  <c r="A196" i="11"/>
  <c r="A197" i="11"/>
  <c r="D197" i="11" s="1"/>
  <c r="A198" i="11"/>
  <c r="F198" i="11" s="1"/>
  <c r="A199" i="11"/>
  <c r="D199" i="11" s="1"/>
  <c r="A200" i="11"/>
  <c r="F200" i="11" s="1"/>
  <c r="A201" i="11"/>
  <c r="F201" i="11" s="1"/>
  <c r="A202" i="11"/>
  <c r="H202" i="11" s="1"/>
  <c r="A203" i="11"/>
  <c r="C203" i="11" s="1"/>
  <c r="A204" i="11"/>
  <c r="A205" i="11"/>
  <c r="C205" i="11" s="1"/>
  <c r="A206" i="11"/>
  <c r="D206" i="11" s="1"/>
  <c r="A207" i="11"/>
  <c r="C207" i="11" s="1"/>
  <c r="A208" i="11"/>
  <c r="A209" i="11"/>
  <c r="C209" i="11" s="1"/>
  <c r="A210" i="11"/>
  <c r="H210" i="11" s="1"/>
  <c r="A211" i="11"/>
  <c r="C211" i="11" s="1"/>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O190" i="10" s="1"/>
  <c r="A191" i="10"/>
  <c r="E191" i="10" s="1"/>
  <c r="A192" i="10"/>
  <c r="G192" i="10" s="1"/>
  <c r="A193" i="10"/>
  <c r="E193" i="10" s="1"/>
  <c r="A194" i="10"/>
  <c r="G194" i="10" s="1"/>
  <c r="A195" i="10"/>
  <c r="M195" i="10" s="1"/>
  <c r="A196" i="10"/>
  <c r="O196" i="10" s="1"/>
  <c r="A197" i="10"/>
  <c r="I197" i="10" s="1"/>
  <c r="A198" i="10"/>
  <c r="O198" i="10" s="1"/>
  <c r="A199" i="10"/>
  <c r="E199" i="10" s="1"/>
  <c r="A200" i="10"/>
  <c r="G200" i="10" s="1"/>
  <c r="A201" i="10"/>
  <c r="E201" i="10" s="1"/>
  <c r="A202" i="10"/>
  <c r="G202" i="10" s="1"/>
  <c r="A203" i="10"/>
  <c r="M203" i="10" s="1"/>
  <c r="A204" i="10"/>
  <c r="O204" i="10" s="1"/>
  <c r="A205" i="10"/>
  <c r="I205" i="10" s="1"/>
  <c r="A206" i="10"/>
  <c r="O206" i="10" s="1"/>
  <c r="A207" i="10"/>
  <c r="E207" i="10" s="1"/>
  <c r="A208" i="10"/>
  <c r="A209" i="10"/>
  <c r="E209" i="10" s="1"/>
  <c r="A210" i="10"/>
  <c r="G210" i="10" s="1"/>
  <c r="A211" i="10"/>
  <c r="D211" i="10" s="1"/>
  <c r="A212" i="10"/>
  <c r="I212" i="10" s="1"/>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B145" i="14" s="1"/>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C189" i="14" s="1"/>
  <c r="A190" i="14"/>
  <c r="B190" i="14" s="1"/>
  <c r="A191" i="14"/>
  <c r="E191" i="14" s="1"/>
  <c r="A192" i="14"/>
  <c r="A193" i="14"/>
  <c r="E193" i="14" s="1"/>
  <c r="A194" i="14"/>
  <c r="D194" i="14" s="1"/>
  <c r="A195" i="14"/>
  <c r="C195" i="14" s="1"/>
  <c r="A196" i="14"/>
  <c r="A197" i="14"/>
  <c r="C197" i="14" s="1"/>
  <c r="A198" i="14"/>
  <c r="B198" i="14" s="1"/>
  <c r="A199" i="14"/>
  <c r="E199" i="14" s="1"/>
  <c r="A200" i="14"/>
  <c r="A201" i="14"/>
  <c r="A202" i="14"/>
  <c r="D202" i="14" s="1"/>
  <c r="A203" i="14"/>
  <c r="C203" i="14" s="1"/>
  <c r="A204" i="14"/>
  <c r="F132" i="18"/>
  <c r="F147" i="18"/>
  <c r="F107" i="18"/>
  <c r="F91" i="18"/>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K211" i="6" s="1"/>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H190" i="7" s="1"/>
  <c r="A191" i="7"/>
  <c r="N191" i="7" s="1"/>
  <c r="A192" i="7"/>
  <c r="H192" i="7" s="1"/>
  <c r="A193" i="7"/>
  <c r="A194" i="7"/>
  <c r="A195" i="7"/>
  <c r="F195" i="7" s="1"/>
  <c r="A196" i="7"/>
  <c r="L196" i="7" s="1"/>
  <c r="A197" i="7"/>
  <c r="J197" i="7" s="1"/>
  <c r="A198" i="7"/>
  <c r="H198" i="7" s="1"/>
  <c r="A199" i="7"/>
  <c r="N199" i="7" s="1"/>
  <c r="A200" i="7"/>
  <c r="D200" i="7" s="1"/>
  <c r="A201" i="7"/>
  <c r="A202" i="7"/>
  <c r="D202" i="7" s="1"/>
  <c r="A203" i="7"/>
  <c r="F203" i="7" s="1"/>
  <c r="A204" i="7"/>
  <c r="L204" i="7" s="1"/>
  <c r="A205" i="7"/>
  <c r="J205" i="7" s="1"/>
  <c r="A206" i="7"/>
  <c r="H206" i="7" s="1"/>
  <c r="A207" i="7"/>
  <c r="J207" i="7" s="1"/>
  <c r="A208" i="7"/>
  <c r="F208" i="7" s="1"/>
  <c r="A209" i="7"/>
  <c r="E209" i="7" s="1"/>
  <c r="A210" i="7"/>
  <c r="F210" i="7" s="1"/>
  <c r="A211" i="7"/>
  <c r="B211" i="7" s="1"/>
  <c r="A212" i="7"/>
  <c r="D212" i="7" s="1"/>
  <c r="A11" i="2"/>
  <c r="A7" i="3" s="1"/>
  <c r="A12" i="2"/>
  <c r="A8" i="3" s="1"/>
  <c r="A13" i="2"/>
  <c r="A9" i="3" s="1"/>
  <c r="A14" i="2"/>
  <c r="A10" i="3" s="1"/>
  <c r="A15" i="2"/>
  <c r="A11" i="3" s="1"/>
  <c r="A16" i="2"/>
  <c r="A12" i="3" s="1"/>
  <c r="A17" i="2"/>
  <c r="A13" i="3" s="1"/>
  <c r="A18" i="2"/>
  <c r="A14" i="3" s="1"/>
  <c r="A19" i="2"/>
  <c r="A15" i="3" s="1"/>
  <c r="A20" i="2"/>
  <c r="A16" i="3" s="1"/>
  <c r="A21" i="2"/>
  <c r="A17" i="3" s="1"/>
  <c r="A22" i="2"/>
  <c r="A18" i="3" s="1"/>
  <c r="A23" i="2"/>
  <c r="A19" i="3" s="1"/>
  <c r="A24" i="2"/>
  <c r="A20" i="3" s="1"/>
  <c r="A25" i="2"/>
  <c r="A21" i="3" s="1"/>
  <c r="A26" i="2"/>
  <c r="A22" i="3" s="1"/>
  <c r="A27" i="2"/>
  <c r="A23" i="3" s="1"/>
  <c r="A28" i="2"/>
  <c r="A24" i="3" s="1"/>
  <c r="A29" i="2"/>
  <c r="A25" i="3" s="1"/>
  <c r="A30" i="2"/>
  <c r="A26" i="3" s="1"/>
  <c r="A31" i="2"/>
  <c r="A27" i="3" s="1"/>
  <c r="A32" i="2"/>
  <c r="A28" i="3" s="1"/>
  <c r="A33" i="2"/>
  <c r="A29" i="3" s="1"/>
  <c r="A34" i="2"/>
  <c r="A30" i="3" s="1"/>
  <c r="A35" i="2"/>
  <c r="A31" i="3" s="1"/>
  <c r="A36" i="2"/>
  <c r="A32" i="3" s="1"/>
  <c r="A37" i="2"/>
  <c r="A33" i="3" s="1"/>
  <c r="A38" i="2"/>
  <c r="A34" i="3" s="1"/>
  <c r="A39" i="2"/>
  <c r="A35" i="3" s="1"/>
  <c r="A40" i="2"/>
  <c r="A36" i="3" s="1"/>
  <c r="A41" i="2"/>
  <c r="A37" i="3" s="1"/>
  <c r="A42" i="2"/>
  <c r="A38" i="3" s="1"/>
  <c r="A43" i="2"/>
  <c r="A39" i="3" s="1"/>
  <c r="A44" i="2"/>
  <c r="A40" i="3" s="1"/>
  <c r="A45" i="2"/>
  <c r="A41" i="3" s="1"/>
  <c r="A46" i="2"/>
  <c r="A42" i="3" s="1"/>
  <c r="A47" i="2"/>
  <c r="A43" i="3" s="1"/>
  <c r="A48" i="2"/>
  <c r="A44" i="3" s="1"/>
  <c r="A49" i="2"/>
  <c r="A45" i="3" s="1"/>
  <c r="A50" i="2"/>
  <c r="A46" i="3" s="1"/>
  <c r="A51" i="2"/>
  <c r="A47" i="3" s="1"/>
  <c r="A52" i="2"/>
  <c r="A48" i="3" s="1"/>
  <c r="A53" i="2"/>
  <c r="A49" i="3" s="1"/>
  <c r="A54" i="2"/>
  <c r="A50" i="3" s="1"/>
  <c r="A55" i="2"/>
  <c r="A51" i="3" s="1"/>
  <c r="A56" i="2"/>
  <c r="A52" i="3" s="1"/>
  <c r="A57" i="2"/>
  <c r="A53" i="3" s="1"/>
  <c r="A58" i="2"/>
  <c r="A54" i="3" s="1"/>
  <c r="A59" i="2"/>
  <c r="A55" i="3" s="1"/>
  <c r="A60" i="2"/>
  <c r="A56" i="3" s="1"/>
  <c r="A61" i="2"/>
  <c r="A57" i="3" s="1"/>
  <c r="A62" i="2"/>
  <c r="A58" i="3" s="1"/>
  <c r="A63" i="2"/>
  <c r="A59" i="3" s="1"/>
  <c r="A64" i="2"/>
  <c r="A60" i="3" s="1"/>
  <c r="A65" i="2"/>
  <c r="A61" i="3" s="1"/>
  <c r="A66" i="2"/>
  <c r="A62" i="3" s="1"/>
  <c r="A67" i="2"/>
  <c r="A63" i="3" s="1"/>
  <c r="A68" i="2"/>
  <c r="A64" i="3" s="1"/>
  <c r="A69" i="2"/>
  <c r="A65" i="3" s="1"/>
  <c r="A70" i="2"/>
  <c r="A66" i="3" s="1"/>
  <c r="A71" i="2"/>
  <c r="A67" i="3" s="1"/>
  <c r="A72" i="2"/>
  <c r="A68" i="3" s="1"/>
  <c r="A73" i="2"/>
  <c r="A69" i="3" s="1"/>
  <c r="A74" i="2"/>
  <c r="A70" i="3" s="1"/>
  <c r="A75" i="2"/>
  <c r="A71" i="3" s="1"/>
  <c r="A76" i="2"/>
  <c r="A72" i="3" s="1"/>
  <c r="A77" i="2"/>
  <c r="A73" i="3" s="1"/>
  <c r="A78" i="2"/>
  <c r="A74" i="3" s="1"/>
  <c r="A79" i="2"/>
  <c r="A75" i="3" s="1"/>
  <c r="A80" i="2"/>
  <c r="A76" i="3" s="1"/>
  <c r="A81" i="2"/>
  <c r="A77" i="3" s="1"/>
  <c r="A82" i="2"/>
  <c r="A78" i="3" s="1"/>
  <c r="A83" i="2"/>
  <c r="A79" i="3" s="1"/>
  <c r="A84" i="2"/>
  <c r="A80" i="3" s="1"/>
  <c r="A85" i="2"/>
  <c r="A81" i="3" s="1"/>
  <c r="A86" i="2"/>
  <c r="A82" i="3" s="1"/>
  <c r="A87" i="2"/>
  <c r="A83" i="3" s="1"/>
  <c r="A88" i="2"/>
  <c r="A84" i="3" s="1"/>
  <c r="A89" i="2"/>
  <c r="A85" i="3" s="1"/>
  <c r="A90" i="2"/>
  <c r="A86" i="3" s="1"/>
  <c r="A91" i="2"/>
  <c r="A87" i="3" s="1"/>
  <c r="A92" i="2"/>
  <c r="A88" i="3" s="1"/>
  <c r="A93" i="2"/>
  <c r="A89" i="3" s="1"/>
  <c r="A94" i="2"/>
  <c r="A90" i="3" s="1"/>
  <c r="A95" i="2"/>
  <c r="A91" i="3" s="1"/>
  <c r="A96" i="2"/>
  <c r="A92" i="3" s="1"/>
  <c r="A97" i="2"/>
  <c r="A93" i="3" s="1"/>
  <c r="A98" i="2"/>
  <c r="A94" i="3" s="1"/>
  <c r="A99" i="2"/>
  <c r="A95" i="3" s="1"/>
  <c r="A100" i="2"/>
  <c r="A96" i="3" s="1"/>
  <c r="A101" i="2"/>
  <c r="A97" i="3" s="1"/>
  <c r="A102" i="2"/>
  <c r="A98" i="3" s="1"/>
  <c r="A103" i="2"/>
  <c r="A99" i="3" s="1"/>
  <c r="A104" i="2"/>
  <c r="A100" i="3" s="1"/>
  <c r="A105" i="2"/>
  <c r="A101" i="3" s="1"/>
  <c r="A106" i="2"/>
  <c r="A102" i="3" s="1"/>
  <c r="A107" i="2"/>
  <c r="A103" i="3" s="1"/>
  <c r="A108" i="2"/>
  <c r="A104" i="3" s="1"/>
  <c r="A109" i="2"/>
  <c r="A105" i="3" s="1"/>
  <c r="A110" i="2"/>
  <c r="A106" i="3" s="1"/>
  <c r="A111" i="2"/>
  <c r="A107" i="3" s="1"/>
  <c r="A112" i="2"/>
  <c r="A108" i="3" s="1"/>
  <c r="A113" i="2"/>
  <c r="A109" i="3" s="1"/>
  <c r="A114" i="2"/>
  <c r="A110" i="3" s="1"/>
  <c r="A115" i="2"/>
  <c r="A111" i="3" s="1"/>
  <c r="A116" i="2"/>
  <c r="A112" i="3" s="1"/>
  <c r="A117" i="2"/>
  <c r="A113" i="3" s="1"/>
  <c r="A118" i="2"/>
  <c r="A114" i="3" s="1"/>
  <c r="A119" i="2"/>
  <c r="A115" i="3" s="1"/>
  <c r="A120" i="2"/>
  <c r="A116" i="3" s="1"/>
  <c r="A121" i="2"/>
  <c r="A117" i="3" s="1"/>
  <c r="A122" i="2"/>
  <c r="A118" i="3" s="1"/>
  <c r="A123" i="2"/>
  <c r="A119" i="3" s="1"/>
  <c r="A124" i="2"/>
  <c r="A120" i="3" s="1"/>
  <c r="A125" i="2"/>
  <c r="A121" i="3" s="1"/>
  <c r="A126" i="2"/>
  <c r="A122" i="3" s="1"/>
  <c r="A127" i="2"/>
  <c r="A123" i="3" s="1"/>
  <c r="A128" i="2"/>
  <c r="A124" i="3" s="1"/>
  <c r="A129" i="2"/>
  <c r="A125" i="3" s="1"/>
  <c r="A130" i="2"/>
  <c r="A126" i="3" s="1"/>
  <c r="A131" i="2"/>
  <c r="A127" i="3" s="1"/>
  <c r="A132" i="2"/>
  <c r="A128" i="3" s="1"/>
  <c r="A133" i="2"/>
  <c r="A129" i="3" s="1"/>
  <c r="A134" i="2"/>
  <c r="A130" i="3" s="1"/>
  <c r="A135" i="2"/>
  <c r="A131" i="3" s="1"/>
  <c r="A136" i="2"/>
  <c r="A132" i="3" s="1"/>
  <c r="A137" i="2"/>
  <c r="A133" i="3" s="1"/>
  <c r="A138" i="2"/>
  <c r="A134" i="3" s="1"/>
  <c r="A139" i="2"/>
  <c r="A135" i="3" s="1"/>
  <c r="A140" i="2"/>
  <c r="A136" i="3" s="1"/>
  <c r="A141" i="2"/>
  <c r="A137" i="3" s="1"/>
  <c r="A142" i="2"/>
  <c r="A138" i="3" s="1"/>
  <c r="A143" i="2"/>
  <c r="A139" i="3" s="1"/>
  <c r="A144" i="2"/>
  <c r="A140" i="3" s="1"/>
  <c r="A145" i="2"/>
  <c r="A141" i="3" s="1"/>
  <c r="A146" i="2"/>
  <c r="A142" i="3" s="1"/>
  <c r="A147" i="2"/>
  <c r="A143" i="3" s="1"/>
  <c r="A148" i="2"/>
  <c r="A144" i="3" s="1"/>
  <c r="A149" i="2"/>
  <c r="A145" i="3" s="1"/>
  <c r="A150" i="2"/>
  <c r="A146" i="3" s="1"/>
  <c r="A151" i="2"/>
  <c r="A147" i="3" s="1"/>
  <c r="A152" i="2"/>
  <c r="A148" i="3" s="1"/>
  <c r="A153" i="2"/>
  <c r="A149" i="3" s="1"/>
  <c r="A154" i="2"/>
  <c r="A150" i="3" s="1"/>
  <c r="A155" i="2"/>
  <c r="A151" i="3" s="1"/>
  <c r="A156" i="2"/>
  <c r="A152" i="3" s="1"/>
  <c r="A157" i="2"/>
  <c r="A153" i="3" s="1"/>
  <c r="A158" i="2"/>
  <c r="A154" i="3" s="1"/>
  <c r="A159" i="2"/>
  <c r="A155" i="3" s="1"/>
  <c r="A160" i="2"/>
  <c r="A156" i="3" s="1"/>
  <c r="A161" i="2"/>
  <c r="A157" i="3" s="1"/>
  <c r="A162" i="2"/>
  <c r="A158" i="3" s="1"/>
  <c r="A163" i="2"/>
  <c r="A159" i="3" s="1"/>
  <c r="A164" i="2"/>
  <c r="A160" i="3" s="1"/>
  <c r="A165" i="2"/>
  <c r="A161" i="3" s="1"/>
  <c r="A166" i="2"/>
  <c r="A162" i="3" s="1"/>
  <c r="A167" i="2"/>
  <c r="A163" i="3" s="1"/>
  <c r="A168" i="2"/>
  <c r="A164" i="3" s="1"/>
  <c r="A169" i="2"/>
  <c r="A165" i="3" s="1"/>
  <c r="A170" i="2"/>
  <c r="A166" i="3" s="1"/>
  <c r="A171" i="2"/>
  <c r="A167" i="3" s="1"/>
  <c r="A172" i="2"/>
  <c r="A168" i="3" s="1"/>
  <c r="A173" i="2"/>
  <c r="A169" i="3" s="1"/>
  <c r="A174" i="2"/>
  <c r="A170" i="3" s="1"/>
  <c r="A175" i="2"/>
  <c r="A171" i="3" s="1"/>
  <c r="A176" i="2"/>
  <c r="A172" i="3" s="1"/>
  <c r="A177" i="2"/>
  <c r="A173" i="3" s="1"/>
  <c r="A178" i="2"/>
  <c r="A174" i="3" s="1"/>
  <c r="A179" i="2"/>
  <c r="A175" i="3" s="1"/>
  <c r="A180" i="2"/>
  <c r="A176" i="3" s="1"/>
  <c r="A181" i="2"/>
  <c r="A177" i="3" s="1"/>
  <c r="A182" i="2"/>
  <c r="A178" i="3" s="1"/>
  <c r="A183" i="2"/>
  <c r="A179" i="3" s="1"/>
  <c r="A184" i="2"/>
  <c r="A180" i="3" s="1"/>
  <c r="A185" i="2"/>
  <c r="A181" i="3" s="1"/>
  <c r="A186" i="2"/>
  <c r="A182" i="3" s="1"/>
  <c r="A187" i="2"/>
  <c r="A183" i="3" s="1"/>
  <c r="A188" i="2"/>
  <c r="A184" i="3" s="1"/>
  <c r="A189" i="2"/>
  <c r="A185" i="3" s="1"/>
  <c r="A190" i="2"/>
  <c r="A186" i="3" s="1"/>
  <c r="A191" i="2"/>
  <c r="A187" i="3" s="1"/>
  <c r="A192" i="2"/>
  <c r="A188" i="3" s="1"/>
  <c r="A193" i="2"/>
  <c r="A189" i="3" s="1"/>
  <c r="C189" i="3" s="1"/>
  <c r="A194" i="2"/>
  <c r="A190" i="3" s="1"/>
  <c r="G190" i="3" s="1"/>
  <c r="A195" i="2"/>
  <c r="A196" i="2"/>
  <c r="A192" i="3" s="1"/>
  <c r="A197" i="2"/>
  <c r="A198" i="2"/>
  <c r="A199" i="2"/>
  <c r="A200" i="2"/>
  <c r="A196" i="3" s="1"/>
  <c r="I196" i="3" s="1"/>
  <c r="A201" i="2"/>
  <c r="A197" i="3" s="1"/>
  <c r="C197" i="3" s="1"/>
  <c r="A202" i="2"/>
  <c r="A203" i="2"/>
  <c r="A204" i="2"/>
  <c r="A200" i="3" s="1"/>
  <c r="I200" i="3" s="1"/>
  <c r="A205" i="2"/>
  <c r="A206" i="2"/>
  <c r="A202" i="3" s="1"/>
  <c r="L202" i="3" s="1"/>
  <c r="A207" i="2"/>
  <c r="A208" i="2"/>
  <c r="A209" i="2"/>
  <c r="A210" i="2"/>
  <c r="A211" i="2"/>
  <c r="A212" i="2"/>
  <c r="A208" i="3" s="1"/>
  <c r="B208" i="3" s="1"/>
  <c r="A213" i="2"/>
  <c r="A214" i="2"/>
  <c r="A210" i="3" s="1"/>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A209" i="3"/>
  <c r="C209" i="3" s="1"/>
  <c r="E208" i="2"/>
  <c r="A204" i="3"/>
  <c r="N204" i="3" s="1"/>
  <c r="B209" i="2"/>
  <c r="A205" i="3"/>
  <c r="C205" i="3" s="1"/>
  <c r="C207" i="2"/>
  <c r="A203" i="3"/>
  <c r="I203" i="3" s="1"/>
  <c r="M205" i="2"/>
  <c r="A201" i="3"/>
  <c r="C201" i="3" s="1"/>
  <c r="Q197" i="2"/>
  <c r="A193" i="3"/>
  <c r="C193" i="3" s="1"/>
  <c r="R211" i="2"/>
  <c r="A207" i="3"/>
  <c r="I207" i="3" s="1"/>
  <c r="E203" i="2"/>
  <c r="A199" i="3"/>
  <c r="D199" i="3" s="1"/>
  <c r="H199" i="2"/>
  <c r="A195" i="3"/>
  <c r="N195" i="3" s="1"/>
  <c r="R195" i="2"/>
  <c r="A191" i="3"/>
  <c r="N191" i="3" s="1"/>
  <c r="C214" i="2"/>
  <c r="L210" i="2"/>
  <c r="A206" i="3"/>
  <c r="P206" i="3" s="1"/>
  <c r="M202" i="2"/>
  <c r="A198" i="3"/>
  <c r="G198" i="3" s="1"/>
  <c r="C198" i="2"/>
  <c r="A194" i="3"/>
  <c r="C194" i="3" s="1"/>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B203" i="3"/>
  <c r="O208" i="3"/>
  <c r="Q203" i="3"/>
  <c r="J200" i="3"/>
  <c r="K200" i="3" s="1"/>
  <c r="F192" i="3"/>
  <c r="C208" i="3"/>
  <c r="J208" i="3"/>
  <c r="C196" i="3"/>
  <c r="B196" i="3"/>
  <c r="N196" i="3"/>
  <c r="C200" i="14"/>
  <c r="B200" i="14"/>
  <c r="F200" i="14"/>
  <c r="C192" i="14"/>
  <c r="B192" i="14"/>
  <c r="F192" i="14"/>
  <c r="D202" i="3"/>
  <c r="P202" i="3"/>
  <c r="L198"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H209" i="7"/>
  <c r="H209" i="12" s="1"/>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J209" i="12" s="1"/>
  <c r="G209" i="7"/>
  <c r="C209" i="7"/>
  <c r="M208" i="7"/>
  <c r="I208" i="7"/>
  <c r="I208" i="12" s="1"/>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J207" i="12" s="1"/>
  <c r="O207" i="7"/>
  <c r="D207" i="7"/>
  <c r="E207" i="7"/>
  <c r="I207" i="7"/>
  <c r="I207" i="12" s="1"/>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H210" i="7"/>
  <c r="H210" i="12" s="1"/>
  <c r="D210" i="7"/>
  <c r="N209" i="7"/>
  <c r="J209" i="7"/>
  <c r="F209" i="7"/>
  <c r="B209" i="7"/>
  <c r="L208" i="7"/>
  <c r="H208" i="7"/>
  <c r="B208" i="7"/>
  <c r="H207" i="7"/>
  <c r="F205" i="7"/>
  <c r="D204" i="7"/>
  <c r="B203" i="7"/>
  <c r="N201" i="7"/>
  <c r="L200" i="7"/>
  <c r="K200" i="12" s="1"/>
  <c r="J199" i="7"/>
  <c r="F197" i="7"/>
  <c r="D196" i="7"/>
  <c r="B195" i="7"/>
  <c r="N193" i="7"/>
  <c r="L192" i="7"/>
  <c r="K192" i="12" s="1"/>
  <c r="J191" i="7"/>
  <c r="Q202" i="3"/>
  <c r="M202" i="3"/>
  <c r="M198"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K209" i="12"/>
  <c r="D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H208" i="12"/>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J210" i="12"/>
  <c r="C210" i="12"/>
  <c r="G210" i="12"/>
  <c r="K210" i="12"/>
  <c r="D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J213" i="2" s="1"/>
  <c r="K213" i="2" s="1"/>
  <c r="Q212" i="2"/>
  <c r="M211" i="2"/>
  <c r="D211" i="2"/>
  <c r="R209" i="2"/>
  <c r="S208" i="2"/>
  <c r="P206" i="2"/>
  <c r="B206" i="2"/>
  <c r="L205" i="2"/>
  <c r="N205" i="2" s="1"/>
  <c r="O205" i="2" s="1"/>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Q198" i="3" l="1"/>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K206" i="3"/>
  <c r="E204" i="3"/>
  <c r="G188" i="14"/>
  <c r="G204" i="14"/>
  <c r="H192" i="3"/>
  <c r="G195" i="14"/>
  <c r="E196" i="3"/>
  <c r="G192" i="14"/>
  <c r="E200" i="3"/>
  <c r="K199" i="3"/>
  <c r="K202" i="3"/>
  <c r="J208" i="2"/>
  <c r="K208" i="2" s="1"/>
  <c r="G196" i="14"/>
  <c r="G203" i="14"/>
  <c r="G201" i="14"/>
  <c r="E192" i="3"/>
  <c r="E208" i="3"/>
  <c r="K189" i="3"/>
  <c r="K197" i="3"/>
  <c r="H189" i="3"/>
  <c r="H205"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86" i="18"/>
  <c r="K209" i="3" l="1"/>
  <c r="H194" i="3"/>
  <c r="K201" i="3"/>
  <c r="H209" i="3"/>
  <c r="K204" i="3"/>
  <c r="H206" i="3"/>
  <c r="K198" i="3"/>
  <c r="K195" i="3"/>
  <c r="K193" i="3"/>
  <c r="E195" i="3"/>
  <c r="E198" i="3"/>
  <c r="H195" i="3"/>
  <c r="E207" i="3"/>
  <c r="K205" i="3"/>
  <c r="H207" i="3"/>
  <c r="E206" i="3"/>
  <c r="F34" i="18"/>
  <c r="F104" i="18"/>
  <c r="F25" i="18"/>
  <c r="F94" i="18"/>
  <c r="F174" i="18"/>
  <c r="F115" i="18"/>
  <c r="F186" i="18"/>
  <c r="F24" i="18"/>
  <c r="F166" i="18"/>
  <c r="F152" i="18"/>
  <c r="F43" i="18"/>
  <c r="F145" i="18"/>
  <c r="F21" i="18"/>
  <c r="F169" i="18"/>
  <c r="F37" i="18"/>
  <c r="F49" i="18"/>
  <c r="F120" i="18"/>
  <c r="F208" i="18"/>
  <c r="F89" i="18"/>
  <c r="F211" i="18"/>
  <c r="F188" i="18"/>
  <c r="F180" i="18"/>
  <c r="F191" i="18"/>
  <c r="F15" i="18"/>
  <c r="F123" i="18"/>
  <c r="F26" i="18"/>
  <c r="F62" i="18"/>
  <c r="F153" i="18"/>
  <c r="F42" i="18"/>
  <c r="F76" i="18"/>
  <c r="F106" i="18"/>
  <c r="F53" i="18"/>
  <c r="F135" i="18"/>
  <c r="F90" i="18"/>
  <c r="F74" i="18"/>
  <c r="F100" i="18"/>
  <c r="F95" i="18"/>
  <c r="F8" i="18"/>
  <c r="F9" i="18"/>
  <c r="F150" i="18"/>
  <c r="F69" i="18"/>
  <c r="F87" i="18"/>
  <c r="F143" i="18"/>
  <c r="F201" i="18"/>
  <c r="F93" i="18"/>
  <c r="F54" i="18"/>
  <c r="F214" i="18"/>
  <c r="F141" i="18"/>
  <c r="F163" i="18"/>
  <c r="F164" i="18"/>
  <c r="F128" i="18"/>
  <c r="F131" i="18"/>
  <c r="F187" i="18"/>
  <c r="F192" i="18"/>
  <c r="F154" i="18"/>
  <c r="F140" i="18"/>
  <c r="F203" i="18"/>
  <c r="F209" i="18"/>
  <c r="F138" i="18"/>
  <c r="F22" i="18"/>
  <c r="F67" i="18"/>
  <c r="F199" i="18"/>
  <c r="F97" i="18"/>
  <c r="F101" i="18"/>
  <c r="F45" i="18"/>
  <c r="F11" i="18"/>
  <c r="F116" i="18"/>
  <c r="F185" i="18"/>
  <c r="F162" i="18"/>
  <c r="F168" i="18"/>
  <c r="F129" i="18"/>
  <c r="F210" i="18"/>
  <c r="F38" i="18"/>
  <c r="F155" i="18"/>
  <c r="F28" i="18"/>
  <c r="F130" i="18"/>
  <c r="F122" i="18"/>
  <c r="F158" i="18"/>
  <c r="F18" i="18"/>
  <c r="F110" i="18"/>
  <c r="F19" i="18"/>
  <c r="F40" i="18"/>
  <c r="F139" i="18"/>
  <c r="F73" i="18"/>
  <c r="F36" i="18"/>
  <c r="F48" i="18"/>
  <c r="F165" i="18"/>
  <c r="F206" i="18"/>
  <c r="F7" i="18"/>
  <c r="F136" i="18"/>
  <c r="F52" i="18"/>
  <c r="F181" i="18"/>
  <c r="F142" i="18"/>
  <c r="F202" i="18"/>
  <c r="F125" i="18"/>
  <c r="F149" i="18"/>
  <c r="F20" i="18"/>
  <c r="F170" i="18"/>
  <c r="F71" i="18"/>
  <c r="F23" i="18"/>
  <c r="F57" i="18"/>
  <c r="F156" i="18"/>
  <c r="F92" i="18"/>
  <c r="F177" i="18"/>
  <c r="F184" i="18"/>
  <c r="F81" i="18"/>
  <c r="F195" i="18"/>
  <c r="F41" i="18"/>
  <c r="F72" i="18"/>
  <c r="F118" i="18"/>
  <c r="F29" i="18"/>
  <c r="F103" i="18"/>
  <c r="F204" i="18"/>
  <c r="F77" i="18"/>
  <c r="F182" i="18"/>
  <c r="F88" i="18"/>
  <c r="F178" i="18"/>
  <c r="F64" i="18"/>
  <c r="F189" i="18"/>
  <c r="F124" i="18"/>
  <c r="F32" i="18"/>
  <c r="F197" i="18"/>
  <c r="F207" i="18"/>
  <c r="F194" i="18"/>
  <c r="F84" i="18"/>
  <c r="F79" i="18"/>
  <c r="F215" i="18"/>
  <c r="F12" i="18"/>
  <c r="F119" i="18"/>
  <c r="F212" i="18"/>
  <c r="F198" i="18"/>
  <c r="F78" i="18"/>
  <c r="F193" i="18"/>
  <c r="F58" i="18"/>
  <c r="F117" i="18"/>
  <c r="F102" i="18"/>
  <c r="F13" i="18"/>
  <c r="F151" i="18"/>
  <c r="F146" i="18"/>
  <c r="F121" i="18"/>
  <c r="F46" i="18"/>
  <c r="F173" i="18"/>
  <c r="F148" i="18"/>
  <c r="F144" i="18"/>
  <c r="F33" i="18"/>
  <c r="F44" i="18"/>
  <c r="F99" i="18"/>
  <c r="F65" i="18"/>
  <c r="F111" i="18"/>
  <c r="F75" i="18"/>
  <c r="F108" i="18"/>
  <c r="F160" i="18"/>
  <c r="F105" i="18"/>
  <c r="F31" i="18"/>
  <c r="F134" i="18"/>
  <c r="F172" i="18"/>
  <c r="F217" i="18"/>
  <c r="F82" i="18"/>
  <c r="F190" i="18"/>
  <c r="F70" i="18"/>
  <c r="F159" i="18"/>
  <c r="F113" i="18"/>
  <c r="F213" i="18"/>
  <c r="F161" i="18"/>
  <c r="F16" i="18"/>
  <c r="F196" i="18"/>
  <c r="F200" i="18"/>
  <c r="F51" i="18"/>
  <c r="F109" i="18"/>
  <c r="F176" i="18"/>
  <c r="F112" i="18"/>
  <c r="F157" i="18"/>
  <c r="F60" i="18"/>
  <c r="F50" i="18"/>
  <c r="F126" i="18"/>
  <c r="F10" i="18"/>
  <c r="F66" i="18"/>
  <c r="F56" i="18"/>
  <c r="F175" i="18"/>
  <c r="F6" i="18"/>
  <c r="F127" i="18"/>
  <c r="F27" i="18"/>
  <c r="F171" i="18"/>
  <c r="F98" i="18"/>
  <c r="F205" i="18"/>
  <c r="F14" i="18"/>
  <c r="F47" i="18"/>
  <c r="F63" i="18"/>
  <c r="F30" i="18"/>
  <c r="F167" i="18"/>
  <c r="F96" i="18"/>
  <c r="F133" i="18"/>
  <c r="F61" i="18"/>
  <c r="F80" i="18"/>
  <c r="F59" i="18"/>
  <c r="F39" i="18"/>
  <c r="F55" i="18"/>
  <c r="E175"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80" i="18"/>
  <c r="E130" i="18"/>
  <c r="E93" i="18"/>
  <c r="E169" i="18"/>
  <c r="E110" i="18"/>
  <c r="E14" i="18"/>
  <c r="E101" i="18"/>
  <c r="E50" i="18"/>
  <c r="E192" i="18"/>
  <c r="E40" i="18"/>
  <c r="E137" i="18"/>
  <c r="E138" i="18"/>
  <c r="E210" i="18"/>
  <c r="E171" i="18"/>
  <c r="E129" i="18"/>
  <c r="E190" i="18"/>
  <c r="E125" i="18"/>
  <c r="E89" i="18"/>
  <c r="E39" i="18"/>
  <c r="E178" i="18"/>
  <c r="E66" i="18"/>
  <c r="E69" i="18"/>
  <c r="E34" i="18"/>
  <c r="E126" i="18"/>
  <c r="E70" i="18"/>
  <c r="E13" i="18"/>
  <c r="E65" i="18"/>
  <c r="E195" i="18"/>
  <c r="E200" i="18"/>
  <c r="E183" i="18"/>
  <c r="E199" i="18"/>
  <c r="E189" i="18"/>
  <c r="E174" i="18"/>
  <c r="E52" i="18"/>
  <c r="E79" i="18"/>
  <c r="E140" i="18"/>
  <c r="E202" i="18"/>
  <c r="E55" i="18"/>
  <c r="E182" i="18"/>
  <c r="E203" i="18"/>
  <c r="E184" i="18"/>
  <c r="E95" i="18"/>
  <c r="E60" i="18"/>
  <c r="E87" i="18"/>
  <c r="E123" i="18"/>
  <c r="E143" i="18"/>
  <c r="E201" i="18"/>
  <c r="E11" i="18"/>
  <c r="E54" i="18"/>
  <c r="E6" i="18"/>
  <c r="E29" i="18"/>
  <c r="E176" i="18"/>
  <c r="E57" i="18"/>
  <c r="E177" i="18"/>
  <c r="E139" i="18"/>
  <c r="E118" i="18"/>
  <c r="E72" i="18"/>
  <c r="E16" i="18"/>
  <c r="E42" i="18"/>
  <c r="E78" i="18"/>
  <c r="E73" i="18"/>
  <c r="E10" i="18"/>
  <c r="E165" i="18"/>
  <c r="E19" i="18"/>
  <c r="E167" i="18"/>
  <c r="E121" i="18"/>
  <c r="E128" i="18"/>
  <c r="E187" i="18"/>
  <c r="E102" i="18"/>
  <c r="E62" i="18"/>
  <c r="E75" i="18"/>
  <c r="E112" i="18"/>
  <c r="E115" i="18"/>
  <c r="E27" i="18"/>
  <c r="E127" i="18"/>
  <c r="E211" i="18"/>
  <c r="E81" i="18"/>
  <c r="E122" i="18"/>
  <c r="E97" i="18"/>
  <c r="E135" i="18"/>
  <c r="E133" i="18"/>
  <c r="E154" i="18"/>
  <c r="E20" i="18"/>
  <c r="E152" i="18"/>
  <c r="E26" i="18"/>
  <c r="E88" i="18"/>
  <c r="E53" i="18"/>
  <c r="E100" i="18"/>
  <c r="E160" i="18"/>
  <c r="E23" i="18"/>
  <c r="E45" i="18"/>
  <c r="E206" i="18"/>
  <c r="E59" i="18"/>
  <c r="E162" i="18"/>
  <c r="E209" i="18"/>
  <c r="E212" i="18"/>
  <c r="E170" i="18"/>
  <c r="E198" i="18"/>
  <c r="E205" i="18"/>
  <c r="E106" i="18"/>
  <c r="E74" i="18"/>
  <c r="E136" i="18"/>
  <c r="E25" i="18"/>
  <c r="E134" i="18"/>
  <c r="E84" i="18"/>
  <c r="E116" i="18"/>
  <c r="E161" i="18"/>
  <c r="E90" i="18"/>
  <c r="E159" i="18"/>
  <c r="E120" i="18"/>
  <c r="E214" i="18"/>
  <c r="E204" i="18"/>
  <c r="E185" i="18"/>
  <c r="E7" i="18"/>
  <c r="E217" i="18"/>
  <c r="E77" i="18"/>
  <c r="E94" i="18"/>
  <c r="E56" i="18"/>
  <c r="E168" i="18"/>
  <c r="E15" i="18"/>
  <c r="E63" i="18"/>
  <c r="E142" i="18"/>
  <c r="E207" i="18"/>
  <c r="E145" i="18"/>
  <c r="E108" i="18"/>
  <c r="E41" i="18"/>
  <c r="E96" i="18"/>
  <c r="E156" i="18"/>
  <c r="E82" i="18"/>
  <c r="E158" i="18"/>
  <c r="E124" i="18"/>
  <c r="E48" i="18"/>
  <c r="E114" i="18"/>
  <c r="F114" i="18"/>
  <c r="E181" i="18"/>
  <c r="E104" i="18"/>
  <c r="E64" i="18"/>
  <c r="E155" i="18"/>
  <c r="E61" i="18"/>
  <c r="E43" i="18"/>
  <c r="E38" i="18"/>
  <c r="E119" i="18"/>
  <c r="E151" i="18"/>
  <c r="E33" i="18"/>
  <c r="E194" i="18"/>
  <c r="E215" i="18"/>
  <c r="E148" i="18"/>
  <c r="E67" i="18"/>
  <c r="E22" i="18"/>
  <c r="E12" i="18"/>
  <c r="E99" i="18"/>
  <c r="E149" i="18"/>
  <c r="E18" i="18"/>
  <c r="E117" i="18"/>
  <c r="E193" i="18"/>
  <c r="E58" i="18"/>
  <c r="E28" i="18"/>
  <c r="E92" i="18"/>
  <c r="E153" i="18"/>
  <c r="E105" i="18"/>
  <c r="E208" i="18"/>
  <c r="E30" i="18"/>
  <c r="E196" i="18"/>
  <c r="E44" i="18"/>
  <c r="E163" i="18"/>
  <c r="E80" i="18"/>
  <c r="E150" i="18"/>
  <c r="E172" i="18"/>
  <c r="E146" i="18"/>
  <c r="E49" i="18"/>
  <c r="E71" i="18"/>
  <c r="E9" i="18"/>
  <c r="E173" i="18"/>
  <c r="E166" i="18"/>
  <c r="E186" i="18"/>
  <c r="E188" i="18"/>
  <c r="E46" i="18"/>
  <c r="E76" i="18"/>
  <c r="E21" i="18"/>
  <c r="E144" i="18"/>
  <c r="E8" i="18"/>
  <c r="E24" i="18"/>
  <c r="E213" i="18"/>
  <c r="E131" i="18"/>
  <c r="E113" i="18"/>
  <c r="E32" i="18"/>
  <c r="E36" i="18"/>
  <c r="E157" i="18"/>
  <c r="E98" i="18"/>
  <c r="E31" i="18"/>
  <c r="E141" i="18"/>
  <c r="E35"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I4" i="21" s="1"/>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J3" i="21" s="1"/>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43" i="2"/>
  <c r="C244" i="2"/>
  <c r="D244" i="2"/>
  <c r="F244" i="2"/>
  <c r="G244" i="2"/>
  <c r="C245" i="2"/>
  <c r="D245" i="2"/>
  <c r="F245" i="2"/>
  <c r="G245" i="2"/>
  <c r="C246" i="2"/>
  <c r="D246" i="2"/>
  <c r="F246" i="2"/>
  <c r="G246" i="2"/>
  <c r="C247" i="2"/>
  <c r="D247" i="2"/>
  <c r="F247" i="2"/>
  <c r="G247"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4" i="21" s="1"/>
  <c r="C243" i="2"/>
  <c r="F243"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46" i="2"/>
  <c r="O32" i="3"/>
  <c r="N69" i="3"/>
  <c r="O93" i="5"/>
  <c r="L145" i="10"/>
  <c r="I33" i="10"/>
  <c r="I18" i="8"/>
  <c r="C84" i="14"/>
  <c r="O73" i="5"/>
  <c r="F167" i="12"/>
  <c r="F161" i="14"/>
  <c r="M167" i="6"/>
  <c r="K132" i="10"/>
  <c r="M109" i="6"/>
  <c r="H247"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45"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6" i="2"/>
  <c r="F248"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F3" i="21" s="1"/>
  <c r="B151" i="14"/>
  <c r="G3" i="21" s="1"/>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I3" i="21" s="1"/>
  <c r="P151" i="2"/>
  <c r="D3" i="21" s="1"/>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B3" i="21" s="1"/>
  <c r="C155" i="2"/>
  <c r="H3" i="21" s="1"/>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E3" i="21" s="1"/>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4" i="2"/>
  <c r="G248"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8" i="2"/>
  <c r="H244" i="2"/>
  <c r="B192" i="2"/>
  <c r="R192" i="2"/>
  <c r="D192" i="2"/>
  <c r="H192" i="2"/>
  <c r="L192" i="2"/>
  <c r="P192" i="2"/>
  <c r="E247"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S152" i="2"/>
  <c r="D150" i="2"/>
  <c r="H150" i="2"/>
  <c r="L150" i="2"/>
  <c r="P150" i="2"/>
  <c r="B150" i="2"/>
  <c r="M150" i="2"/>
  <c r="R150" i="2"/>
  <c r="E150" i="2"/>
  <c r="Q148" i="2"/>
  <c r="Q146" i="2"/>
  <c r="B144" i="2"/>
  <c r="R144" i="2"/>
  <c r="E144" i="2"/>
  <c r="G144" i="2" s="1"/>
  <c r="P144" i="2"/>
  <c r="C144" i="2"/>
  <c r="F144" i="2" s="1"/>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5" i="2"/>
  <c r="L164" i="2"/>
  <c r="D162" i="2"/>
  <c r="H162" i="2"/>
  <c r="L162" i="2"/>
  <c r="P162" i="2"/>
  <c r="E162" i="2"/>
  <c r="B162" i="2"/>
  <c r="M162" i="2"/>
  <c r="R162" i="2"/>
  <c r="L156" i="2"/>
  <c r="D154" i="2"/>
  <c r="H154" i="2"/>
  <c r="L154" i="2"/>
  <c r="P154" i="2"/>
  <c r="E154" i="2"/>
  <c r="B154" i="2"/>
  <c r="M154" i="2"/>
  <c r="R154" i="2"/>
  <c r="B148" i="2"/>
  <c r="R148" i="2"/>
  <c r="C148" i="2"/>
  <c r="H148" i="2"/>
  <c r="M148" i="2"/>
  <c r="S148" i="2"/>
  <c r="E148" i="2"/>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H4" i="21" s="1"/>
  <c r="S38" i="2"/>
  <c r="E38" i="2"/>
  <c r="J4" i="21" s="1"/>
  <c r="P38" i="2"/>
  <c r="D4" i="21" s="1"/>
  <c r="B38" i="2"/>
  <c r="H38" i="2"/>
  <c r="B4" i="21" s="1"/>
  <c r="M38" i="2"/>
  <c r="R38" i="2"/>
  <c r="E4" i="21" s="1"/>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8"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C3" i="21" s="1"/>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K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O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R16" i="12"/>
  <c r="D16" i="12"/>
  <c r="B12" i="12"/>
  <c r="F12" i="12"/>
  <c r="R12" i="12"/>
  <c r="D12" i="12"/>
  <c r="B8" i="12"/>
  <c r="F8" i="12"/>
  <c r="D8" i="12"/>
  <c r="O35" i="12"/>
  <c r="G35" i="12"/>
  <c r="G31" i="12"/>
  <c r="S27"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G184" i="14" s="1"/>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F22" i="14"/>
  <c r="B54" i="14"/>
  <c r="F54" i="14"/>
  <c r="D42" i="14"/>
  <c r="B42" i="14"/>
  <c r="F42" i="14"/>
  <c r="E40" i="14"/>
  <c r="G37"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K111" i="3" l="1"/>
  <c r="K130" i="3"/>
  <c r="K3" i="21"/>
  <c r="N152" i="2"/>
  <c r="O152" i="2" s="1"/>
  <c r="H114" i="3"/>
  <c r="J57" i="2"/>
  <c r="K57" i="2" s="1"/>
  <c r="E55" i="5"/>
  <c r="E77" i="5"/>
  <c r="L67" i="5"/>
  <c r="E56" i="5"/>
  <c r="E92" i="5"/>
  <c r="L109" i="5"/>
  <c r="M109" i="5" s="1"/>
  <c r="E116" i="5"/>
  <c r="L75" i="5"/>
  <c r="L72" i="5"/>
  <c r="E72" i="5"/>
  <c r="E68" i="5"/>
  <c r="L92" i="5"/>
  <c r="E93" i="5"/>
  <c r="L56" i="5"/>
  <c r="L54" i="5"/>
  <c r="L64" i="5"/>
  <c r="M64" i="5" s="1"/>
  <c r="E33" i="5"/>
  <c r="F33" i="5" s="1"/>
  <c r="G33" i="5" s="1"/>
  <c r="B6" i="28"/>
  <c r="L22" i="5"/>
  <c r="E123" i="5"/>
  <c r="E140" i="5"/>
  <c r="G143" i="14"/>
  <c r="F147" i="2"/>
  <c r="G147" i="2"/>
  <c r="G148" i="2"/>
  <c r="F148" i="2"/>
  <c r="E162" i="5"/>
  <c r="L118" i="5"/>
  <c r="M118" i="5" s="1"/>
  <c r="E157" i="5"/>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27" i="11"/>
  <c r="E228" i="11" s="1"/>
  <c r="J227" i="11"/>
  <c r="H227" i="11"/>
  <c r="H228" i="11" s="1"/>
  <c r="N120" i="2"/>
  <c r="O120" i="2" s="1"/>
  <c r="D227" i="11"/>
  <c r="G227" i="11"/>
  <c r="I228" i="2"/>
  <c r="H228" i="2"/>
  <c r="K227" i="11"/>
  <c r="K228" i="11" s="1"/>
  <c r="M227" i="11"/>
  <c r="N227" i="11"/>
  <c r="N228" i="11" s="1"/>
  <c r="I60" i="8"/>
  <c r="F60" i="8"/>
  <c r="F61" i="8" s="1"/>
  <c r="C8" i="28"/>
  <c r="E50" i="5"/>
  <c r="E60" i="8"/>
  <c r="E61" i="8" s="1"/>
  <c r="E64" i="5"/>
  <c r="H60" i="8"/>
  <c r="H13" i="3"/>
  <c r="H36" i="3"/>
  <c r="E7" i="5"/>
  <c r="F7" i="5" s="1"/>
  <c r="G7" i="5" s="1"/>
  <c r="G231" i="3"/>
  <c r="G232" i="3" s="1"/>
  <c r="E81" i="5"/>
  <c r="E84" i="5"/>
  <c r="E21" i="5"/>
  <c r="F21" i="5" s="1"/>
  <c r="G21" i="5" s="1"/>
  <c r="E51" i="5"/>
  <c r="F51" i="5" s="1"/>
  <c r="G51" i="5" s="1"/>
  <c r="E76" i="5"/>
  <c r="F76" i="5" s="1"/>
  <c r="G76" i="5" s="1"/>
  <c r="I231" i="3"/>
  <c r="J231" i="3"/>
  <c r="J232" i="3" s="1"/>
  <c r="E132" i="5"/>
  <c r="F132" i="5" s="1"/>
  <c r="G132" i="5" s="1"/>
  <c r="H43" i="3"/>
  <c r="F231" i="3"/>
  <c r="E149" i="5"/>
  <c r="E19" i="5"/>
  <c r="F19" i="5" s="1"/>
  <c r="G19" i="5" s="1"/>
  <c r="E227" i="6"/>
  <c r="C227" i="6"/>
  <c r="S7" i="12"/>
  <c r="L227" i="6"/>
  <c r="M7" i="12"/>
  <c r="I227" i="6"/>
  <c r="L7" i="12"/>
  <c r="H227" i="6"/>
  <c r="F227" i="6"/>
  <c r="G227" i="6" s="1"/>
  <c r="N227" i="6"/>
  <c r="B227" i="6"/>
  <c r="K227"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M22"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F134" i="5" s="1"/>
  <c r="G134" i="5" s="1"/>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M160" i="5" s="1"/>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E80" i="7"/>
  <c r="G117" i="7"/>
  <c r="M164" i="7"/>
  <c r="O13" i="7"/>
  <c r="N68" i="7"/>
  <c r="L183" i="7"/>
  <c r="I13" i="7"/>
  <c r="I13" i="12" s="1"/>
  <c r="K91" i="7"/>
  <c r="G96" i="14"/>
  <c r="N62" i="12"/>
  <c r="Q27" i="12"/>
  <c r="K98" i="7"/>
  <c r="J98" i="12" s="1"/>
  <c r="I35" i="7"/>
  <c r="I35" i="12" s="1"/>
  <c r="J53" i="7"/>
  <c r="D35" i="7"/>
  <c r="E90" i="3"/>
  <c r="K122" i="3"/>
  <c r="K156" i="3"/>
  <c r="L25" i="7"/>
  <c r="K25" i="12" s="1"/>
  <c r="K20" i="3"/>
  <c r="K88" i="7"/>
  <c r="F134" i="7"/>
  <c r="M158" i="7"/>
  <c r="O155" i="7"/>
  <c r="B183" i="7"/>
  <c r="I96" i="7"/>
  <c r="I96" i="12" s="1"/>
  <c r="O88" i="7"/>
  <c r="H134" i="7"/>
  <c r="H134" i="12" s="1"/>
  <c r="G35" i="7"/>
  <c r="E28" i="3"/>
  <c r="D33" i="7"/>
  <c r="L104" i="12"/>
  <c r="R24" i="12"/>
  <c r="N156" i="12"/>
  <c r="L135" i="12"/>
  <c r="I90" i="7"/>
  <c r="I90" i="12" s="1"/>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36" i="2"/>
  <c r="L10" i="7"/>
  <c r="K10" i="12" s="1"/>
  <c r="M56" i="5"/>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F128" i="5" s="1"/>
  <c r="G128" i="5" s="1"/>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35"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K127" i="12" s="1"/>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M67" i="5"/>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36"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M75" i="5"/>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F123" i="5"/>
  <c r="G123" i="5" s="1"/>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37"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K40" i="3"/>
  <c r="H131" i="3"/>
  <c r="H96" i="3"/>
  <c r="K119" i="3"/>
  <c r="P79" i="5"/>
  <c r="P123" i="5"/>
  <c r="K32" i="3"/>
  <c r="H112" i="3"/>
  <c r="L64" i="12"/>
  <c r="D47" i="7"/>
  <c r="N73" i="2"/>
  <c r="O73" i="2" s="1"/>
  <c r="G152" i="2"/>
  <c r="O156" i="7"/>
  <c r="D187" i="7"/>
  <c r="J187" i="7"/>
  <c r="I47" i="7"/>
  <c r="I47" i="12" s="1"/>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34"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35"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35" i="2"/>
  <c r="L179" i="12"/>
  <c r="S170" i="12"/>
  <c r="L161" i="5"/>
  <c r="M161" i="5" s="1"/>
  <c r="J112" i="12"/>
  <c r="P95" i="5"/>
  <c r="F166" i="5"/>
  <c r="G166" i="5" s="1"/>
  <c r="E102" i="5"/>
  <c r="F102" i="5" s="1"/>
  <c r="G102" i="5" s="1"/>
  <c r="M72" i="5"/>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35"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36" i="2"/>
  <c r="O164" i="12"/>
  <c r="N171" i="12"/>
  <c r="L176" i="12"/>
  <c r="L185" i="12"/>
  <c r="B234"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6"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34"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4"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7"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J138" i="5"/>
  <c r="H146" i="3"/>
  <c r="H178" i="3"/>
  <c r="J143" i="12"/>
  <c r="E75" i="3"/>
  <c r="J71" i="2"/>
  <c r="K71" i="2" s="1"/>
  <c r="G66" i="2"/>
  <c r="N74" i="2"/>
  <c r="O74" i="2" s="1"/>
  <c r="J160" i="2"/>
  <c r="K160" i="2" s="1"/>
  <c r="P118" i="5"/>
  <c r="N56" i="7"/>
  <c r="K137" i="7"/>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F157" i="5"/>
  <c r="G157" i="5" s="1"/>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F92" i="5"/>
  <c r="G92" i="5" s="1"/>
  <c r="J80" i="2"/>
  <c r="K80" i="2" s="1"/>
  <c r="G91" i="14"/>
  <c r="N133" i="12"/>
  <c r="G144" i="14"/>
  <c r="P34" i="12"/>
  <c r="S133" i="12"/>
  <c r="S165" i="12"/>
  <c r="M163" i="12"/>
  <c r="G73" i="2"/>
  <c r="G97" i="2"/>
  <c r="G121" i="2"/>
  <c r="F29" i="2"/>
  <c r="O191" i="5"/>
  <c r="O192" i="5" s="1"/>
  <c r="J183" i="2"/>
  <c r="K183" i="2" s="1"/>
  <c r="N68" i="2"/>
  <c r="O68" i="2" s="1"/>
  <c r="M54" i="5"/>
  <c r="P137" i="12"/>
  <c r="F93" i="5"/>
  <c r="G93" i="5" s="1"/>
  <c r="E61" i="3"/>
  <c r="H107" i="3"/>
  <c r="K124" i="3"/>
  <c r="G167" i="2"/>
  <c r="G60" i="14"/>
  <c r="P76" i="5"/>
  <c r="P100" i="5"/>
  <c r="K92" i="3"/>
  <c r="L142" i="12"/>
  <c r="G134" i="14"/>
  <c r="P42" i="12"/>
  <c r="M140" i="12"/>
  <c r="K103" i="3"/>
  <c r="E62" i="5"/>
  <c r="F62" i="5" s="1"/>
  <c r="E22" i="3"/>
  <c r="E86" i="3"/>
  <c r="E110" i="5"/>
  <c r="F110" i="5" s="1"/>
  <c r="G110" i="5" s="1"/>
  <c r="H148" i="3"/>
  <c r="E248" i="2"/>
  <c r="J14" i="2"/>
  <c r="K14" i="2" s="1"/>
  <c r="N58" i="2"/>
  <c r="O58" i="2" s="1"/>
  <c r="F100" i="2"/>
  <c r="G127" i="14"/>
  <c r="F140" i="5"/>
  <c r="G140" i="5" s="1"/>
  <c r="P18" i="12"/>
  <c r="M120" i="12"/>
  <c r="L82" i="12"/>
  <c r="F103" i="5"/>
  <c r="G103" i="5" s="1"/>
  <c r="F145" i="5"/>
  <c r="G145" i="5" s="1"/>
  <c r="J160" i="5"/>
  <c r="G171" i="14"/>
  <c r="P50" i="12"/>
  <c r="M123" i="12"/>
  <c r="L74" i="12"/>
  <c r="R40" i="12"/>
  <c r="M132" i="5"/>
  <c r="H21" i="3"/>
  <c r="H79" i="3"/>
  <c r="H130" i="3"/>
  <c r="E169" i="3"/>
  <c r="H248"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O227" i="6"/>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8"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8"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6" i="28" l="1"/>
  <c r="H155" i="12"/>
  <c r="J136" i="12"/>
  <c r="D18" i="28"/>
  <c r="B16" i="28"/>
  <c r="C16" i="28"/>
  <c r="B15" i="28"/>
  <c r="I163" i="12"/>
  <c r="D8" i="28"/>
  <c r="J228" i="2"/>
  <c r="K228" i="2" s="1"/>
  <c r="D227" i="6" s="1"/>
  <c r="F229" i="7"/>
  <c r="F230" i="7" s="1"/>
  <c r="C240" i="7" s="1"/>
  <c r="E229" i="7"/>
  <c r="E230" i="7" s="1"/>
  <c r="B240" i="7" s="1"/>
  <c r="N229" i="7"/>
  <c r="N241" i="12"/>
  <c r="N242" i="12" s="1"/>
  <c r="J60" i="8"/>
  <c r="C69" i="8" s="1"/>
  <c r="H229" i="7"/>
  <c r="H230" i="7" s="1"/>
  <c r="B241" i="7" s="1"/>
  <c r="O241" i="12"/>
  <c r="O242" i="12" s="1"/>
  <c r="L241" i="12"/>
  <c r="L242" i="12" s="1"/>
  <c r="L229" i="7"/>
  <c r="C229" i="7"/>
  <c r="C230" i="7" s="1"/>
  <c r="I229" i="7"/>
  <c r="M241" i="12"/>
  <c r="M242" i="12" s="1"/>
  <c r="K229" i="7"/>
  <c r="K230" i="7" s="1"/>
  <c r="B242" i="7" s="1"/>
  <c r="H61" i="8"/>
  <c r="A69" i="8"/>
  <c r="M227" i="6"/>
  <c r="B229" i="7"/>
  <c r="B230"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7" i="2"/>
  <c r="D237"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28" i="2"/>
  <c r="O228" i="2" s="1"/>
  <c r="O229" i="7"/>
  <c r="O230" i="7" s="1"/>
  <c r="I230" i="7"/>
  <c r="C241" i="7" s="1"/>
  <c r="G58" i="5"/>
  <c r="F191" i="5"/>
  <c r="C235" i="6"/>
  <c r="J227" i="6"/>
  <c r="D228" i="11"/>
  <c r="F228" i="11" s="1"/>
  <c r="F227" i="11"/>
  <c r="N192" i="5"/>
  <c r="P192" i="5" s="1"/>
  <c r="P191" i="5"/>
  <c r="C234" i="6"/>
  <c r="G61" i="8"/>
  <c r="H6" i="6"/>
  <c r="K6" i="6"/>
  <c r="I32" i="12"/>
  <c r="M228" i="11"/>
  <c r="O228" i="11" s="1"/>
  <c r="O227" i="11"/>
  <c r="H231" i="3"/>
  <c r="F232" i="3"/>
  <c r="H232" i="3" s="1"/>
  <c r="B234" i="6"/>
  <c r="G234" i="2"/>
  <c r="C236" i="6"/>
  <c r="G60" i="8"/>
  <c r="B69" i="8"/>
  <c r="I61" i="8"/>
  <c r="K231" i="3"/>
  <c r="I232" i="3"/>
  <c r="K232" i="3" s="1"/>
  <c r="J191" i="5"/>
  <c r="I192" i="5"/>
  <c r="J192" i="5" s="1"/>
  <c r="B6" i="8"/>
  <c r="K6" i="7"/>
  <c r="E6" i="7"/>
  <c r="H6" i="7"/>
  <c r="B235" i="6"/>
  <c r="G235" i="2"/>
  <c r="F235" i="2" s="1"/>
  <c r="I227" i="11"/>
  <c r="G228" i="11"/>
  <c r="I228" i="11" s="1"/>
  <c r="L227" i="11"/>
  <c r="J228" i="11"/>
  <c r="L228" i="11" s="1"/>
  <c r="B236" i="6"/>
  <c r="G236" i="2"/>
  <c r="F236" i="2" s="1"/>
  <c r="D229" i="7" l="1"/>
  <c r="D230" i="7" s="1"/>
  <c r="I241" i="12"/>
  <c r="I242" i="12" s="1"/>
  <c r="J241" i="12"/>
  <c r="J242" i="12" s="1"/>
  <c r="H241" i="12"/>
  <c r="H242" i="12" s="1"/>
  <c r="K241" i="12"/>
  <c r="K242" i="12" s="1"/>
  <c r="J61" i="8"/>
  <c r="M191" i="5"/>
  <c r="N230" i="7"/>
  <c r="B243" i="7"/>
  <c r="G229" i="7"/>
  <c r="G230" i="7" s="1"/>
  <c r="B6" i="10"/>
  <c r="C6" i="8"/>
  <c r="E6" i="8"/>
  <c r="H6" i="8" s="1"/>
  <c r="G237" i="2"/>
  <c r="F234" i="2"/>
  <c r="F237" i="2" s="1"/>
  <c r="D240" i="7"/>
  <c r="J229" i="7"/>
  <c r="J230" i="7" s="1"/>
  <c r="G191" i="5"/>
  <c r="F192" i="5"/>
  <c r="G192" i="5" s="1"/>
  <c r="M229" i="7"/>
  <c r="M230" i="7" s="1"/>
  <c r="L230" i="7"/>
  <c r="C242" i="7" s="1"/>
  <c r="D242" i="7" s="1"/>
  <c r="H236" i="2" s="1"/>
  <c r="D234" i="6"/>
  <c r="H234" i="2" s="1"/>
  <c r="C237" i="6"/>
  <c r="D236" i="6"/>
  <c r="B237" i="6"/>
  <c r="D235" i="6"/>
  <c r="H235" i="2" s="1"/>
  <c r="D241" i="7"/>
  <c r="C243" i="7" l="1"/>
  <c r="D243" i="7" s="1"/>
  <c r="D237" i="6"/>
  <c r="H237"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<sst xmlns="http://schemas.openxmlformats.org/spreadsheetml/2006/main" count="3492" uniqueCount="704">
  <si>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</si>
  <si>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</si>
  <si>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</si>
  <si>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</si>
  <si>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</si>
  <si>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</si>
  <si>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</si>
  <si>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</si>
  <si>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</si>
  <si>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</si>
  <si>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</si>
  <si>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</si>
  <si>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</si>
  <si>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</si>
  <si>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</si>
  <si>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</si>
  <si>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</si>
  <si>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</si>
  <si>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</si>
  <si>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</si>
  <si>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</si>
  <si>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</si>
  <si>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</si>
  <si>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</si>
  <si>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</si>
  <si>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</si>
  <si>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</si>
  <si>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</si>
  <si>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</si>
  <si>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</si>
  <si>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</si>
  <si>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</si>
  <si>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</si>
  <si>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</si>
  <si>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</si>
  <si>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</si>
  <si>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</si>
  <si>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</si>
  <si>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</si>
  <si>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</si>
  <si>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</si>
  <si>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</si>
  <si>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</si>
  <si>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</si>
  <si>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</si>
  <si>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</si>
  <si>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</si>
  <si>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</si>
  <si>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</si>
  <si>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</si>
  <si>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</si>
  <si>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</si>
  <si>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</si>
  <si>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</si>
  <si>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</si>
  <si>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</si>
  <si>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</si>
  <si>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</si>
  <si>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</si>
  <si>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</si>
  <si>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</si>
  <si>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</si>
  <si>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</si>
  <si>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</si>
  <si>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</si>
  <si>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</si>
  <si>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</si>
  <si>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</si>
  <si>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</si>
  <si>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</si>
  <si>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</si>
  <si>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</si>
  <si>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</si>
  <si>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</si>
  <si>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</si>
  <si>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</si>
  <si>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</si>
  <si>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</si>
  <si>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</si>
  <si>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</si>
  <si>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</si>
  <si>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</si>
  <si>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</si>
  <si>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</si>
  <si>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</si>
  <si>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</si>
  <si>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</si>
  <si>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</si>
  <si>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</si>
  <si>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</si>
  <si>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</si>
  <si>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</si>
  <si>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</si>
  <si>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</si>
  <si>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</si>
  <si>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</si>
  <si>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</si>
  <si>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</si>
  <si>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</si>
  <si>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</si>
  <si>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</si>
  <si>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</si>
  <si>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</si>
  <si>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</si>
  <si>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</si>
  <si>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</si>
  <si>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</si>
  <si>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</si>
  <si>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</si>
  <si>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</si>
  <si>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</si>
  <si>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</si>
  <si>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</si>
  <si>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</si>
  <si>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</si>
  <si>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</si>
  <si>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</si>
  <si>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</si>
  <si>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</si>
  <si>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</si>
  <si>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</si>
  <si>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</si>
  <si>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</si>
  <si>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</si>
  <si>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</si>
  <si>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</si>
  <si>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</si>
  <si>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</si>
  <si>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</si>
  <si>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</si>
  <si>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</si>
  <si>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</si>
  <si>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</si>
  <si>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</si>
  <si>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</si>
  <si>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</si>
  <si>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</si>
  <si>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</si>
  <si>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</si>
  <si>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</si>
  <si>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</si>
  <si>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</si>
  <si>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</si>
  <si>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</si>
  <si>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</si>
  <si>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</si>
  <si>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</si>
  <si>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</si>
  <si>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</si>
  <si>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</si>
  <si>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</si>
  <si>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</si>
  <si>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</si>
  <si>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</si>
  <si>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</si>
  <si>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</si>
  <si>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</si>
  <si>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</si>
  <si>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</si>
  <si>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</si>
  <si>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</si>
  <si>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</si>
  <si>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</si>
  <si>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</si>
  <si>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</si>
  <si>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</si>
  <si>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</si>
  <si>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</si>
  <si>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</si>
  <si>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</si>
  <si>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</si>
  <si>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</si>
  <si>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</si>
  <si>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</si>
  <si>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</si>
  <si>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</si>
  <si>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</si>
  <si>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</si>
  <si>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</si>
  <si>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</si>
  <si>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</si>
  <si>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</si>
  <si>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</si>
  <si>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</si>
  <si>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</si>
  <si>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</si>
  <si>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</si>
  <si>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</si>
  <si>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</si>
  <si>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</si>
  <si>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</si>
  <si>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</si>
  <si>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</si>
  <si>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</si>
  <si>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</si>
  <si>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</si>
  <si>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</si>
  <si>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</si>
  <si>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</si>
  <si>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</si>
  <si>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</si>
  <si>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</si>
  <si>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</si>
  <si>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</si>
  <si>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</si>
  <si>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</si>
  <si>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</si>
  <si>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</si>
  <si>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</si>
  <si>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</si>
  <si>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</si>
  <si>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</si>
  <si>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</si>
  <si>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</si>
  <si>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</si>
  <si>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</si>
  <si>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</si>
  <si>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</si>
  <si>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</si>
  <si>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</si>
  <si>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</si>
  <si>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</si>
  <si>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</si>
  <si>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</si>
  <si>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</si>
  <si>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</si>
  <si>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</si>
  <si>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</si>
  <si>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</si>
  <si>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</si>
  <si>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</si>
  <si>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</si>
  <si>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</si>
  <si>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</si>
  <si>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</si>
  <si>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</si>
  <si>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</si>
  <si>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</si>
  <si>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</si>
  <si>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</si>
  <si>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</si>
  <si>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</si>
  <si>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</si>
  <si>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</si>
  <si>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</si>
  <si>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</si>
  <si>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</si>
  <si>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</si>
  <si>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</si>
  <si>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</si>
  <si>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</si>
  <si>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</si>
  <si>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</si>
  <si>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</si>
  <si>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</si>
  <si>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</si>
  <si>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</si>
  <si>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</si>
  <si>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</si>
  <si>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</si>
  <si>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</si>
  <si>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</si>
  <si>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</si>
  <si>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</si>
  <si>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</si>
  <si>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</si>
  <si>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</si>
  <si>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</si>
  <si>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</si>
  <si>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</si>
  <si>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</si>
  <si>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</si>
  <si>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</si>
  <si>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</si>
  <si>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</si>
  <si>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</si>
  <si>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</si>
  <si>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</si>
  <si>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</si>
  <si>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</si>
  <si>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</si>
  <si>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</si>
  <si>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</si>
  <si>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</si>
  <si>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</si>
  <si>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</si>
  <si>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</si>
  <si>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</si>
  <si>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</si>
  <si>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</si>
  <si>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</si>
  <si>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</si>
  <si>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</si>
  <si>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</si>
  <si>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</si>
  <si>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</si>
  <si>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</si>
  <si>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</si>
  <si>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</si>
  <si>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</si>
  <si>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</si>
  <si>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</si>
  <si>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</si>
  <si>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</si>
  <si>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</si>
  <si>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</si>
  <si>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</si>
  <si>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</si>
  <si>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</si>
  <si>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</si>
  <si>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</si>
  <si>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</si>
  <si>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</si>
  <si>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</si>
  <si>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</si>
  <si>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</si>
  <si>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</si>
  <si>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</si>
  <si>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</si>
  <si>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</si>
  <si>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</si>
  <si>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</si>
  <si>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</si>
  <si>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</si>
  <si>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</si>
  <si>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</si>
  <si>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</si>
  <si>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</si>
  <si>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</si>
  <si>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</si>
  <si>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</si>
  <si>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</si>
  <si>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</si>
  <si>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</si>
  <si>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</si>
  <si>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</si>
  <si>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</si>
  <si>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</si>
  <si>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</si>
  <si>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</si>
  <si>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</si>
  <si>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</si>
  <si>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</si>
  <si>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</si>
  <si>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</si>
  <si>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</si>
  <si>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</si>
  <si>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</si>
  <si>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</si>
  <si>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</si>
  <si>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</si>
  <si>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</si>
  <si>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</si>
  <si>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</si>
  <si>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</si>
  <si>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</si>
  <si>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</si>
  <si>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</si>
  <si>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</si>
  <si>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</si>
  <si>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</si>
  <si>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</si>
  <si>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</si>
  <si>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</si>
  <si>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</si>
  <si>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</si>
  <si>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</si>
  <si>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</si>
  <si>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</si>
  <si>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</si>
  <si>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</si>
  <si>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</si>
  <si>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</si>
  <si>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</si>
  <si>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</si>
  <si>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</si>
  <si>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</si>
  <si>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</si>
  <si>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</si>
  <si>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</si>
  <si>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</si>
  <si>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</si>
  <si>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</si>
  <si>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</si>
  <si>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</si>
  <si>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</si>
  <si>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</si>
  <si>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</si>
  <si>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</si>
  <si>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</si>
  <si>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</si>
  <si>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</si>
  <si>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</si>
  <si>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</si>
  <si>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</si>
  <si>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</si>
  <si>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</si>
  <si>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</si>
  <si>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</si>
  <si>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</si>
  <si>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</si>
  <si>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</si>
  <si>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</si>
  <si>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</si>
  <si>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</si>
  <si>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</si>
  <si>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</si>
  <si>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</si>
  <si>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</si>
  <si>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</si>
  <si>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</si>
  <si>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</si>
  <si>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</si>
  <si>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</si>
  <si>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</si>
  <si>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</si>
  <si>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</si>
  <si>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</si>
  <si>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</si>
  <si>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</si>
  <si>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</si>
  <si>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</si>
  <si>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</si>
  <si>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</si>
  <si>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</si>
  <si>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</si>
  <si>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</si>
  <si>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</si>
  <si>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</si>
  <si>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</si>
  <si>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</si>
  <si>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</si>
  <si>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</si>
  <si>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</si>
  <si>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</si>
  <si>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</si>
  <si>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</si>
  <si>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</si>
  <si>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</si>
  <si>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</si>
  <si>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</si>
  <si>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</si>
  <si>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</si>
  <si>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</si>
  <si>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</si>
  <si>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</si>
  <si>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</si>
  <si>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</si>
  <si>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</si>
  <si>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</si>
  <si>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</si>
  <si>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</si>
  <si>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</si>
  <si>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</si>
  <si>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</si>
  <si>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</si>
  <si>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</si>
  <si>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</si>
  <si>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</si>
  <si>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</si>
  <si>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</si>
  <si>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</si>
  <si>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</si>
  <si>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</si>
  <si>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</si>
  <si>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</si>
  <si>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</si>
  <si>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</si>
  <si>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</si>
  <si>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</si>
  <si>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</si>
  <si>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</si>
  <si>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</si>
  <si>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</si>
  <si>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</si>
  <si>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</si>
  <si>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</si>
  <si>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</si>
  <si>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</si>
  <si>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</si>
  <si>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</si>
  <si>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</si>
  <si>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</si>
  <si>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</si>
  <si>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</si>
  <si>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</si>
  <si>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</si>
  <si>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</si>
  <si>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</si>
  <si>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</si>
  <si>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</si>
  <si>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</si>
  <si>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</si>
  <si>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</si>
  <si>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</si>
  <si>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</si>
  <si>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</si>
  <si>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</si>
  <si>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</si>
  <si>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</si>
  <si>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</si>
  <si>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</si>
  <si>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</si>
  <si>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</si>
  <si>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</si>
  <si>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</si>
  <si>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</si>
  <si>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</si>
  <si>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</si>
  <si>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</si>
  <si>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</si>
  <si>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</si>
  <si>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</si>
  <si>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</si>
  <si>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</si>
  <si>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</si>
  <si>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</si>
  <si>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</si>
  <si>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</si>
  <si>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</si>
  <si>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</si>
  <si>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</si>
  <si>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</si>
  <si>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</si>
  <si>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</si>
  <si>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</si>
  <si>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</si>
  <si>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</si>
  <si>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</si>
  <si>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</si>
  <si>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</si>
  <si>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</si>
  <si>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</si>
  <si>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</si>
  <si>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</si>
  <si>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</si>
  <si>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</si>
  <si>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</si>
  <si>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</si>
  <si>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</si>
  <si>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</si>
  <si>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</si>
  <si>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</si>
  <si>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</si>
  <si>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</si>
  <si>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</si>
  <si>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</si>
  <si>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</si>
  <si>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</si>
  <si>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</si>
  <si>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</si>
  <si>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</si>
  <si>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</si>
  <si>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</si>
  <si>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</si>
  <si>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</si>
  <si>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</si>
  <si>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</si>
  <si>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</si>
  <si>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</si>
  <si>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</si>
  <si>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</si>
  <si>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</si>
  <si>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</si>
  <si>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</si>
  <si>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</si>
  <si>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</si>
  <si>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</si>
  <si>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</si>
  <si>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</si>
  <si>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</si>
  <si>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</si>
  <si>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</si>
  <si>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</si>
  <si>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</si>
  <si>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</si>
  <si>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</si>
  <si>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</si>
  <si>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</si>
  <si>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</si>
  <si>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</si>
  <si>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</si>
  <si>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</si>
  <si>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</si>
  <si>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</si>
  <si>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</si>
  <si>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</si>
  <si>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</si>
  <si>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</si>
  <si>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</si>
  <si>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</si>
  <si>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</si>
  <si>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</si>
  <si>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</si>
  <si>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</si>
  <si>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</si>
  <si>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</si>
  <si>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</si>
  <si>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</si>
  <si>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</si>
  <si>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</si>
  <si>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</si>
  <si>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</si>
  <si>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</si>
  <si>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</si>
  <si>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</si>
  <si>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</si>
  <si>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</si>
  <si>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</si>
  <si>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</si>
  <si>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</si>
  <si>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</si>
  <si>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</si>
  <si>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</si>
  <si>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</si>
  <si>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</si>
  <si>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</si>
  <si>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</si>
  <si>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</si>
  <si>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</si>
  <si>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</si>
  <si>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</si>
  <si>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</si>
  <si>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</si>
  <si>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</si>
  <si>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</si>
  <si>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</si>
  <si>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</si>
  <si>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</si>
  <si>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</si>
  <si>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</si>
  <si>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</si>
  <si>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</si>
  <si>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</si>
  <si>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</si>
  <si>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</si>
  <si>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</si>
  <si>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</si>
  <si>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</si>
  <si>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</si>
  <si>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</si>
  <si>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</si>
  <si>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</si>
  <si>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</si>
  <si>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</si>
  <si>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</si>
  <si>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</si>
  <si>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</si>
  <si>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</si>
  <si>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</si>
  <si>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</si>
  <si>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</si>
  <si>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</si>
  <si>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</si>
  <si>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</si>
  <si>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</si>
  <si>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</si>
  <si>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</si>
  <si>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</si>
  <si>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</si>
  <si>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</si>
  <si>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</si>
  <si>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</si>
  <si>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</si>
  <si>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</si>
  <si>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</si>
  <si>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</si>
  <si>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</si>
  <si>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</si>
  <si>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</si>
  <si>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</si>
  <si>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</si>
  <si>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</si>
  <si>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</si>
  <si>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</si>
  <si>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</si>
  <si>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</si>
  <si>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</si>
  <si>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</si>
  <si>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</si>
  <si>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</si>
  <si>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</si>
  <si>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</si>
  <si>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</si>
  <si>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</si>
  <si>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</si>
  <si>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</si>
  <si>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</si>
  <si>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</si>
  <si>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</si>
  <si>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</si>
  <si>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</si>
  <si>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</si>
  <si>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t>
  </si>
  <si>
    <t>Short_Covering</t>
  </si>
  <si>
    <t>HYUNDAI</t>
  </si>
  <si>
    <t>ADANIPOWER</t>
  </si>
  <si>
    <t>COCHINSHIP</t>
  </si>
  <si>
    <t>VMM</t>
  </si>
  <si>
    <t>MOTILALOFS</t>
  </si>
  <si>
    <t>GODFRYPHLP</t>
  </si>
  <si>
    <t>FORCEMOT</t>
  </si>
  <si>
    <t>Others</t>
  </si>
  <si>
    <t>F&amp;O Market Trading Kit for 10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</si>
</sst>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3">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0" fontId="31" fillId="40" borderId="1" xfId="0" applyFont="1" applyFill="1" applyBorder="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tabSelected="1" zoomScale="85" zoomScaleNormal="85" workbookViewId="0">
      <pane ySplit="10" topLeftCell="A11" activePane="bottomLeft" state="frozen"/>
      <selection activeCell="Q163" sqref="Q163"/>
      <selection pane="bottomLeft" activeCell="T6" sqref="T6"/>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5" t="s">
        <v>703</v>
      </c>
      <c r="B6" s="246"/>
      <c r="C6" s="246"/>
      <c r="D6" s="246"/>
      <c r="E6" s="246"/>
      <c r="F6" s="246"/>
      <c r="G6" s="246"/>
      <c r="H6" s="246"/>
      <c r="I6" s="246"/>
      <c r="J6" s="246"/>
      <c r="K6" s="246"/>
      <c r="L6" s="246"/>
      <c r="M6" s="246"/>
      <c r="N6" s="246"/>
      <c r="O6" s="246"/>
      <c r="P6" s="246"/>
      <c r="Q6" s="246"/>
      <c r="R6" s="246"/>
      <c r="S6" s="247"/>
    </row>
    <row r="7" spans="1:19" x14ac:dyDescent="0.25">
      <c r="A7" s="248"/>
      <c r="B7" s="249"/>
      <c r="C7" s="249"/>
      <c r="D7" s="249"/>
      <c r="E7" s="249"/>
      <c r="F7" s="249"/>
      <c r="G7" s="249"/>
      <c r="H7" s="249"/>
      <c r="I7" s="249"/>
      <c r="J7" s="249"/>
      <c r="K7" s="249"/>
      <c r="L7" s="249"/>
      <c r="M7" s="249"/>
      <c r="N7" s="249"/>
      <c r="O7" s="249"/>
      <c r="P7" s="249"/>
      <c r="Q7" s="249"/>
      <c r="R7" s="249"/>
      <c r="S7" s="250"/>
    </row>
    <row r="8" spans="1:19" s="64" customFormat="1" ht="15" customHeight="1" x14ac:dyDescent="0.25">
      <c r="A8" s="251"/>
      <c r="B8" s="2"/>
      <c r="C8" s="253" t="s">
        <v>308</v>
      </c>
      <c r="D8" s="254"/>
      <c r="E8" s="254"/>
      <c r="F8" s="254"/>
      <c r="G8" s="255"/>
      <c r="H8" s="253" t="s">
        <v>309</v>
      </c>
      <c r="I8" s="254"/>
      <c r="J8" s="254"/>
      <c r="K8" s="255"/>
      <c r="L8" s="256" t="s">
        <v>310</v>
      </c>
      <c r="M8" s="257"/>
      <c r="N8" s="257"/>
      <c r="O8" s="258"/>
      <c r="P8" s="253" t="s">
        <v>311</v>
      </c>
      <c r="Q8" s="254"/>
      <c r="R8" s="254"/>
      <c r="S8" s="255"/>
    </row>
    <row r="9" spans="1:19" s="64" customFormat="1" x14ac:dyDescent="0.25">
      <c r="A9" s="252"/>
      <c r="B9" s="2"/>
      <c r="C9" s="2" t="s">
        <v>312</v>
      </c>
      <c r="D9" s="253" t="s">
        <v>313</v>
      </c>
      <c r="E9" s="254"/>
      <c r="F9" s="254"/>
      <c r="G9" s="255"/>
      <c r="H9" s="253" t="s">
        <v>314</v>
      </c>
      <c r="I9" s="254"/>
      <c r="J9" s="254"/>
      <c r="K9" s="255"/>
      <c r="L9" s="253" t="s">
        <v>315</v>
      </c>
      <c r="M9" s="254"/>
      <c r="N9" s="254"/>
      <c r="O9" s="255"/>
      <c r="P9" s="253" t="s">
        <v>316</v>
      </c>
      <c r="Q9" s="255"/>
      <c r="R9" s="253" t="s">
        <v>317</v>
      </c>
      <c r="S9" s="255"/>
    </row>
    <row r="10" spans="1:19" s="67" customFormat="1" ht="27" customHeight="1" x14ac:dyDescent="0.25">
      <c r="A10" s="65" t="s">
        <v>318</v>
      </c>
      <c r="B10" s="65" t="s">
        <v>319</v>
      </c>
      <c r="C10" s="66">
        <f>'Data Vlaue (Cr)'!A2</f>
        <v>46121</v>
      </c>
      <c r="D10" s="66">
        <f>'Data Vlaue (Cr)'!A2</f>
        <v>46121</v>
      </c>
      <c r="E10" s="65" t="s">
        <v>322</v>
      </c>
      <c r="F10" s="65" t="s">
        <v>320</v>
      </c>
      <c r="G10" s="65" t="s">
        <v>321</v>
      </c>
      <c r="H10" s="66">
        <f>D10</f>
        <v>46121</v>
      </c>
      <c r="I10" s="65" t="s">
        <v>322</v>
      </c>
      <c r="J10" s="65" t="s">
        <v>323</v>
      </c>
      <c r="K10" s="65" t="s">
        <v>324</v>
      </c>
      <c r="L10" s="66">
        <f>D10</f>
        <v>46121</v>
      </c>
      <c r="M10" s="65" t="s">
        <v>322</v>
      </c>
      <c r="N10" s="65" t="s">
        <v>323</v>
      </c>
      <c r="O10" s="65" t="s">
        <v>324</v>
      </c>
      <c r="P10" s="66">
        <f>D10</f>
        <v>46121</v>
      </c>
      <c r="Q10" s="65" t="s">
        <v>324</v>
      </c>
      <c r="R10" s="66">
        <f>D10</f>
        <v>46121</v>
      </c>
      <c r="S10" s="65" t="s">
        <v>324</v>
      </c>
    </row>
    <row r="11" spans="1:19" x14ac:dyDescent="0.25">
      <c r="A11" s="96" t="str">
        <f>'Data Vlaue (Cr)'!C2</f>
        <v>360ONE</v>
      </c>
      <c r="B11" s="75">
        <f>VLOOKUP($A11,'Data Vlaue (Cr)'!$C:$FB,2)</f>
        <v>500</v>
      </c>
      <c r="C11" s="75">
        <f>VLOOKUP($A11,'Data Vlaue (Cr)'!$C:$FB,8)</f>
        <v>998.1</v>
      </c>
      <c r="D11" s="75">
        <f>VLOOKUP($A11,'Data Vlaue (Cr)'!$C:$FB,4)</f>
        <v>1001.3</v>
      </c>
      <c r="E11" s="75">
        <f>VLOOKUP($A11,'Data Vlaue (Cr)'!$C:$FB,5)</f>
        <v>973.85</v>
      </c>
      <c r="F11" s="75">
        <f>D11-C11</f>
        <v>3.1999999999999318</v>
      </c>
      <c r="G11" s="75">
        <f>(D11-E11)/D11*100</f>
        <v>2.741436133027058</v>
      </c>
      <c r="H11" s="75">
        <f>VLOOKUP($A11,'Data Vlaue (Cr)'!$C:$FB,99)</f>
        <v>655</v>
      </c>
      <c r="I11" s="75">
        <f>VLOOKUP($A11,'Data Vlaue (Cr)'!$C:$FB,100)</f>
        <v>601</v>
      </c>
      <c r="J11" s="75">
        <f>H11-I11</f>
        <v>54</v>
      </c>
      <c r="K11" s="75">
        <f>J11/H11*100</f>
        <v>8.2442748091603058</v>
      </c>
      <c r="L11" s="75">
        <f>VLOOKUP($A11,'Data Vlaue (Cr)'!$C:$FB,67)</f>
        <v>691</v>
      </c>
      <c r="M11" s="75">
        <f>VLOOKUP($A11,'Data Vlaue (Cr)'!$C:$FB,68)</f>
        <v>672</v>
      </c>
      <c r="N11" s="75">
        <f>L11-M11</f>
        <v>19</v>
      </c>
      <c r="O11" s="75">
        <f>N11/L11*100</f>
        <v>2.7496382054992763</v>
      </c>
      <c r="P11" s="75">
        <f>VLOOKUP($A11,'Data Vlaue (Cr)'!$C:$FB,119)</f>
        <v>0.78</v>
      </c>
      <c r="Q11" s="75">
        <f>VLOOKUP($A11,'Data Vlaue (Cr)'!$C:$FB,122)*100</f>
        <v>36.840000000000003</v>
      </c>
      <c r="R11" s="75">
        <f>VLOOKUP($A11,'Data Vlaue (Cr)'!$C:$FB,125)</f>
        <v>0.2</v>
      </c>
      <c r="S11" s="75">
        <f>VLOOKUP($A11,'Data Vlaue (Cr)'!$C:$FB,128)*100</f>
        <v>-16.669999999999998</v>
      </c>
    </row>
    <row r="12" spans="1:19" x14ac:dyDescent="0.25">
      <c r="A12" s="96" t="str">
        <f>'Data Vlaue (Cr)'!C3</f>
        <v>ABB</v>
      </c>
      <c r="B12" s="75">
        <f>VLOOKUP($A12,'Data Vlaue (Cr)'!$C:$FB,2)</f>
        <v>125</v>
      </c>
      <c r="C12" s="75">
        <f>VLOOKUP($A12,'Data Vlaue (Cr)'!$C:$FB,8)</f>
        <v>6614</v>
      </c>
      <c r="D12" s="75">
        <f>VLOOKUP($A12,'Data Vlaue (Cr)'!$C:$FB,4)</f>
        <v>6646.5</v>
      </c>
      <c r="E12" s="75">
        <f>VLOOKUP($A12,'Data Vlaue (Cr)'!$C:$FB,5)</f>
        <v>6557</v>
      </c>
      <c r="F12" s="75">
        <f t="shared" ref="F12:F75" si="0">D12-C12</f>
        <v>32.5</v>
      </c>
      <c r="G12" s="75">
        <f t="shared" ref="G12:G74" si="1">(D12-E12)/D12*100</f>
        <v>1.3465733844880765</v>
      </c>
      <c r="H12" s="75">
        <f>VLOOKUP($A12,'Data Vlaue (Cr)'!$C:$FB,99)</f>
        <v>2352</v>
      </c>
      <c r="I12" s="75">
        <f>VLOOKUP($A12,'Data Vlaue (Cr)'!$C:$FB,100)</f>
        <v>2241</v>
      </c>
      <c r="J12" s="75">
        <f t="shared" ref="J12:J75" si="2">H12-I12</f>
        <v>111</v>
      </c>
      <c r="K12" s="75">
        <f t="shared" ref="K12:K75" si="3">J12/H12*100</f>
        <v>4.7193877551020407</v>
      </c>
      <c r="L12" s="75">
        <f>VLOOKUP($A12,'Data Vlaue (Cr)'!$C:$FB,67)</f>
        <v>1979</v>
      </c>
      <c r="M12" s="75">
        <f>VLOOKUP($A12,'Data Vlaue (Cr)'!$C:$FB,68)</f>
        <v>2605</v>
      </c>
      <c r="N12" s="75">
        <f t="shared" ref="N12:N75" si="4">L12-M12</f>
        <v>-626</v>
      </c>
      <c r="O12" s="75">
        <f t="shared" ref="O12:O75" si="5">N12/L12*100</f>
        <v>-31.632137443153109</v>
      </c>
      <c r="P12" s="75">
        <f>VLOOKUP($A12,'Data Vlaue (Cr)'!$C:$FB,119)</f>
        <v>1.05</v>
      </c>
      <c r="Q12" s="75">
        <f>VLOOKUP($A12,'Data Vlaue (Cr)'!$C:$FB,122)*100</f>
        <v>8.25</v>
      </c>
      <c r="R12" s="75">
        <f>VLOOKUP($A12,'Data Vlaue (Cr)'!$C:$FB,125)</f>
        <v>0.48</v>
      </c>
      <c r="S12" s="75">
        <f>VLOOKUP($A12,'Data Vlaue (Cr)'!$C:$FB,128)*100</f>
        <v>11.63</v>
      </c>
    </row>
    <row r="13" spans="1:19" x14ac:dyDescent="0.25">
      <c r="A13" s="96" t="str">
        <f>'Data Vlaue (Cr)'!C4</f>
        <v>ABCAPITAL</v>
      </c>
      <c r="B13" s="75">
        <f>VLOOKUP($A13,'Data Vlaue (Cr)'!$C:$FB,2)</f>
        <v>3100</v>
      </c>
      <c r="C13" s="75">
        <f>VLOOKUP($A13,'Data Vlaue (Cr)'!$C:$FB,8)</f>
        <v>334.55</v>
      </c>
      <c r="D13" s="75">
        <f>VLOOKUP($A13,'Data Vlaue (Cr)'!$C:$FB,4)</f>
        <v>335.75</v>
      </c>
      <c r="E13" s="75">
        <f>VLOOKUP($A13,'Data Vlaue (Cr)'!$C:$FB,5)</f>
        <v>340.15</v>
      </c>
      <c r="F13" s="75">
        <f t="shared" si="0"/>
        <v>1.1999999999999886</v>
      </c>
      <c r="G13" s="75">
        <f t="shared" si="1"/>
        <v>-1.3104988830975361</v>
      </c>
      <c r="H13" s="75">
        <f>VLOOKUP($A13,'Data Vlaue (Cr)'!$C:$FB,99)</f>
        <v>2020</v>
      </c>
      <c r="I13" s="75">
        <f>VLOOKUP($A13,'Data Vlaue (Cr)'!$C:$FB,100)</f>
        <v>1951</v>
      </c>
      <c r="J13" s="75">
        <f t="shared" si="2"/>
        <v>69</v>
      </c>
      <c r="K13" s="75">
        <f t="shared" si="3"/>
        <v>3.4158415841584162</v>
      </c>
      <c r="L13" s="75">
        <f>VLOOKUP($A13,'Data Vlaue (Cr)'!$C:$FB,67)</f>
        <v>978</v>
      </c>
      <c r="M13" s="75">
        <f>VLOOKUP($A13,'Data Vlaue (Cr)'!$C:$FB,68)</f>
        <v>1869</v>
      </c>
      <c r="N13" s="75">
        <f t="shared" si="4"/>
        <v>-891</v>
      </c>
      <c r="O13" s="75">
        <f t="shared" si="5"/>
        <v>-91.104294478527606</v>
      </c>
      <c r="P13" s="75">
        <f>VLOOKUP($A13,'Data Vlaue (Cr)'!$C:$FB,119)</f>
        <v>0.97</v>
      </c>
      <c r="Q13" s="75">
        <f>VLOOKUP($A13,'Data Vlaue (Cr)'!$C:$FB,122)*100</f>
        <v>-1.02</v>
      </c>
      <c r="R13" s="75">
        <f>VLOOKUP($A13,'Data Vlaue (Cr)'!$C:$FB,125)</f>
        <v>0.97</v>
      </c>
      <c r="S13" s="75">
        <f>VLOOKUP($A13,'Data Vlaue (Cr)'!$C:$FB,128)*100</f>
        <v>2.11</v>
      </c>
    </row>
    <row r="14" spans="1:19" x14ac:dyDescent="0.25">
      <c r="A14" s="96" t="str">
        <f>'Data Vlaue (Cr)'!C5</f>
        <v>ADANIENSOL</v>
      </c>
      <c r="B14" s="75">
        <f>VLOOKUP($A14,'Data Vlaue (Cr)'!$C:$FB,2)</f>
        <v>675</v>
      </c>
      <c r="C14" s="75">
        <f>VLOOKUP($A14,'Data Vlaue (Cr)'!$C:$FB,8)</f>
        <v>1078.75</v>
      </c>
      <c r="D14" s="75">
        <f>VLOOKUP($A14,'Data Vlaue (Cr)'!$C:$FB,4)</f>
        <v>1080.05</v>
      </c>
      <c r="E14" s="75">
        <f>VLOOKUP($A14,'Data Vlaue (Cr)'!$C:$FB,5)</f>
        <v>1080</v>
      </c>
      <c r="F14" s="75">
        <f t="shared" si="0"/>
        <v>1.2999999999999545</v>
      </c>
      <c r="G14" s="75">
        <f t="shared" si="1"/>
        <v>4.6294153048427877E-3</v>
      </c>
      <c r="H14" s="75">
        <f>VLOOKUP($A14,'Data Vlaue (Cr)'!$C:$FB,99)</f>
        <v>2620</v>
      </c>
      <c r="I14" s="75">
        <f>VLOOKUP($A14,'Data Vlaue (Cr)'!$C:$FB,100)</f>
        <v>2628</v>
      </c>
      <c r="J14" s="75">
        <f t="shared" si="2"/>
        <v>-8</v>
      </c>
      <c r="K14" s="75">
        <f t="shared" si="3"/>
        <v>-0.30534351145038169</v>
      </c>
      <c r="L14" s="75">
        <f>VLOOKUP($A14,'Data Vlaue (Cr)'!$C:$FB,67)</f>
        <v>983</v>
      </c>
      <c r="M14" s="75">
        <f>VLOOKUP($A14,'Data Vlaue (Cr)'!$C:$FB,68)</f>
        <v>2175</v>
      </c>
      <c r="N14" s="75">
        <f t="shared" si="4"/>
        <v>-1192</v>
      </c>
      <c r="O14" s="75">
        <f>N14/L14*100</f>
        <v>-121.26144455747712</v>
      </c>
      <c r="P14" s="75">
        <f>VLOOKUP($A14,'Data Vlaue (Cr)'!$C:$FB,119)</f>
        <v>0.53</v>
      </c>
      <c r="Q14" s="75">
        <f>VLOOKUP($A14,'Data Vlaue (Cr)'!$C:$FB,122)*100</f>
        <v>10.42</v>
      </c>
      <c r="R14" s="75">
        <f>VLOOKUP($A14,'Data Vlaue (Cr)'!$C:$FB,125)</f>
        <v>0.36</v>
      </c>
      <c r="S14" s="75">
        <f>VLOOKUP($A14,'Data Vlaue (Cr)'!$C:$FB,128)*100</f>
        <v>28.57</v>
      </c>
    </row>
    <row r="15" spans="1:19" x14ac:dyDescent="0.25">
      <c r="A15" s="96" t="str">
        <f>'Data Vlaue (Cr)'!C6</f>
        <v>ADANIENT</v>
      </c>
      <c r="B15" s="75">
        <f>VLOOKUP($A15,'Data Vlaue (Cr)'!$C:$FB,2)</f>
        <v>309</v>
      </c>
      <c r="C15" s="75">
        <f>VLOOKUP($A15,'Data Vlaue (Cr)'!$C:$FB,8)</f>
        <v>2040.5</v>
      </c>
      <c r="D15" s="75">
        <f>VLOOKUP($A15,'Data Vlaue (Cr)'!$C:$FB,4)</f>
        <v>2050.8000000000002</v>
      </c>
      <c r="E15" s="75">
        <f>VLOOKUP($A15,'Data Vlaue (Cr)'!$C:$FB,5)</f>
        <v>2053.6999999999998</v>
      </c>
      <c r="F15" s="75">
        <f t="shared" si="0"/>
        <v>10.300000000000182</v>
      </c>
      <c r="G15" s="75">
        <f t="shared" si="1"/>
        <v>-0.14140823093425181</v>
      </c>
      <c r="H15" s="75">
        <f>VLOOKUP($A15,'Data Vlaue (Cr)'!$C:$FB,99)</f>
        <v>5789</v>
      </c>
      <c r="I15" s="75">
        <f>VLOOKUP($A15,'Data Vlaue (Cr)'!$C:$FB,100)</f>
        <v>5811</v>
      </c>
      <c r="J15" s="75">
        <f t="shared" si="2"/>
        <v>-22</v>
      </c>
      <c r="K15" s="75">
        <f t="shared" si="3"/>
        <v>-0.38003109345310071</v>
      </c>
      <c r="L15" s="75">
        <f>VLOOKUP($A15,'Data Vlaue (Cr)'!$C:$FB,67)</f>
        <v>2842</v>
      </c>
      <c r="M15" s="75">
        <f>VLOOKUP($A15,'Data Vlaue (Cr)'!$C:$FB,68)</f>
        <v>8510</v>
      </c>
      <c r="N15" s="75">
        <f t="shared" si="4"/>
        <v>-5668</v>
      </c>
      <c r="O15" s="75">
        <f t="shared" si="5"/>
        <v>-199.43701618578467</v>
      </c>
      <c r="P15" s="75">
        <f>VLOOKUP($A15,'Data Vlaue (Cr)'!$C:$FB,119)</f>
        <v>0.88</v>
      </c>
      <c r="Q15" s="75">
        <f>VLOOKUP($A15,'Data Vlaue (Cr)'!$C:$FB,122)*100</f>
        <v>3.53</v>
      </c>
      <c r="R15" s="75">
        <f>VLOOKUP($A15,'Data Vlaue (Cr)'!$C:$FB,125)</f>
        <v>0.43</v>
      </c>
      <c r="S15" s="75">
        <f>VLOOKUP($A15,'Data Vlaue (Cr)'!$C:$FB,128)*100</f>
        <v>10.26</v>
      </c>
    </row>
    <row r="16" spans="1:19" x14ac:dyDescent="0.25">
      <c r="A16" s="96" t="str">
        <f>'Data Vlaue (Cr)'!C7</f>
        <v>ADANIGREEN</v>
      </c>
      <c r="B16" s="75">
        <f>VLOOKUP($A16,'Data Vlaue (Cr)'!$C:$FB,2)</f>
        <v>600</v>
      </c>
      <c r="C16" s="75">
        <f>VLOOKUP($A16,'Data Vlaue (Cr)'!$C:$FB,8)</f>
        <v>1044.55</v>
      </c>
      <c r="D16" s="75">
        <f>VLOOKUP($A16,'Data Vlaue (Cr)'!$C:$FB,4)</f>
        <v>1049.6500000000001</v>
      </c>
      <c r="E16" s="75">
        <f>VLOOKUP($A16,'Data Vlaue (Cr)'!$C:$FB,5)</f>
        <v>1031.6500000000001</v>
      </c>
      <c r="F16" s="75">
        <f t="shared" si="0"/>
        <v>5.1000000000001364</v>
      </c>
      <c r="G16" s="75">
        <f t="shared" si="1"/>
        <v>1.7148573333968464</v>
      </c>
      <c r="H16" s="75">
        <f>VLOOKUP($A16,'Data Vlaue (Cr)'!$C:$FB,99)</f>
        <v>3400</v>
      </c>
      <c r="I16" s="75">
        <f>VLOOKUP($A16,'Data Vlaue (Cr)'!$C:$FB,100)</f>
        <v>3471</v>
      </c>
      <c r="J16" s="75">
        <f t="shared" si="2"/>
        <v>-71</v>
      </c>
      <c r="K16" s="75">
        <f t="shared" si="3"/>
        <v>-2.0882352941176472</v>
      </c>
      <c r="L16" s="75">
        <f>VLOOKUP($A16,'Data Vlaue (Cr)'!$C:$FB,67)</f>
        <v>2300</v>
      </c>
      <c r="M16" s="75">
        <f>VLOOKUP($A16,'Data Vlaue (Cr)'!$C:$FB,68)</f>
        <v>6079</v>
      </c>
      <c r="N16" s="75">
        <f t="shared" si="4"/>
        <v>-3779</v>
      </c>
      <c r="O16" s="75">
        <f t="shared" si="5"/>
        <v>-164.30434782608697</v>
      </c>
      <c r="P16" s="75">
        <f>VLOOKUP($A16,'Data Vlaue (Cr)'!$C:$FB,119)</f>
        <v>0.87</v>
      </c>
      <c r="Q16" s="75">
        <f>VLOOKUP($A16,'Data Vlaue (Cr)'!$C:$FB,122)*100</f>
        <v>16</v>
      </c>
      <c r="R16" s="75">
        <f>VLOOKUP($A16,'Data Vlaue (Cr)'!$C:$FB,125)</f>
        <v>0.57999999999999996</v>
      </c>
      <c r="S16" s="75">
        <f>VLOOKUP($A16,'Data Vlaue (Cr)'!$C:$FB,128)*100</f>
        <v>48.72</v>
      </c>
    </row>
    <row r="17" spans="1:19" x14ac:dyDescent="0.25">
      <c r="A17" s="96" t="str">
        <f>'Data Vlaue (Cr)'!C8</f>
        <v>ADANIPORTS</v>
      </c>
      <c r="B17" s="75">
        <f>VLOOKUP($A17,'Data Vlaue (Cr)'!$C:$FB,2)</f>
        <v>475</v>
      </c>
      <c r="C17" s="75">
        <f>VLOOKUP($A17,'Data Vlaue (Cr)'!$C:$FB,8)</f>
        <v>1447.4</v>
      </c>
      <c r="D17" s="75">
        <f>VLOOKUP($A17,'Data Vlaue (Cr)'!$C:$FB,4)</f>
        <v>1452</v>
      </c>
      <c r="E17" s="75">
        <f>VLOOKUP($A17,'Data Vlaue (Cr)'!$C:$FB,5)</f>
        <v>1460.5</v>
      </c>
      <c r="F17" s="75">
        <f t="shared" si="0"/>
        <v>4.5999999999999091</v>
      </c>
      <c r="G17" s="75">
        <f t="shared" si="1"/>
        <v>-0.58539944903581265</v>
      </c>
      <c r="H17" s="75">
        <f>VLOOKUP($A17,'Data Vlaue (Cr)'!$C:$FB,99)</f>
        <v>5137</v>
      </c>
      <c r="I17" s="75">
        <f>VLOOKUP($A17,'Data Vlaue (Cr)'!$C:$FB,100)</f>
        <v>5098</v>
      </c>
      <c r="J17" s="75">
        <f t="shared" si="2"/>
        <v>39</v>
      </c>
      <c r="K17" s="75">
        <f t="shared" si="3"/>
        <v>0.75919797547206547</v>
      </c>
      <c r="L17" s="75">
        <f>VLOOKUP($A17,'Data Vlaue (Cr)'!$C:$FB,67)</f>
        <v>2996</v>
      </c>
      <c r="M17" s="75">
        <f>VLOOKUP($A17,'Data Vlaue (Cr)'!$C:$FB,68)</f>
        <v>10827</v>
      </c>
      <c r="N17" s="75">
        <f t="shared" si="4"/>
        <v>-7831</v>
      </c>
      <c r="O17" s="75">
        <f t="shared" si="5"/>
        <v>-261.38184245660881</v>
      </c>
      <c r="P17" s="75">
        <f>VLOOKUP($A17,'Data Vlaue (Cr)'!$C:$FB,119)</f>
        <v>0.63</v>
      </c>
      <c r="Q17" s="75">
        <f>VLOOKUP($A17,'Data Vlaue (Cr)'!$C:$FB,122)*100</f>
        <v>10.530000000000001</v>
      </c>
      <c r="R17" s="75">
        <f>VLOOKUP($A17,'Data Vlaue (Cr)'!$C:$FB,125)</f>
        <v>0.62</v>
      </c>
      <c r="S17" s="75">
        <f>VLOOKUP($A17,'Data Vlaue (Cr)'!$C:$FB,128)*100</f>
        <v>26.529999999999998</v>
      </c>
    </row>
    <row r="18" spans="1:19" x14ac:dyDescent="0.25">
      <c r="A18" s="96" t="str">
        <f>'Data Vlaue (Cr)'!C9</f>
        <v>ADANIPOWER</v>
      </c>
      <c r="B18" s="75">
        <f>VLOOKUP($A18,'Data Vlaue (Cr)'!$C:$FB,2)</f>
        <v>3550</v>
      </c>
      <c r="C18" s="75">
        <f>VLOOKUP($A18,'Data Vlaue (Cr)'!$C:$FB,8)</f>
        <v>172.33</v>
      </c>
      <c r="D18" s="75">
        <f>VLOOKUP($A18,'Data Vlaue (Cr)'!$C:$FB,4)</f>
        <v>173.5</v>
      </c>
      <c r="E18" s="75">
        <f>VLOOKUP($A18,'Data Vlaue (Cr)'!$C:$FB,5)</f>
        <v>169.75</v>
      </c>
      <c r="F18" s="75">
        <f t="shared" si="0"/>
        <v>1.1699999999999875</v>
      </c>
      <c r="G18" s="75">
        <f t="shared" si="1"/>
        <v>2.1613832853025938</v>
      </c>
      <c r="H18" s="75">
        <f>VLOOKUP($A18,'Data Vlaue (Cr)'!$C:$FB,99)</f>
        <v>1305</v>
      </c>
      <c r="I18" s="75">
        <f>VLOOKUP($A18,'Data Vlaue (Cr)'!$C:$FB,100)</f>
        <v>1260</v>
      </c>
      <c r="J18" s="75">
        <f t="shared" si="2"/>
        <v>45</v>
      </c>
      <c r="K18" s="75">
        <f t="shared" si="3"/>
        <v>3.4482758620689653</v>
      </c>
      <c r="L18" s="75">
        <f>VLOOKUP($A18,'Data Vlaue (Cr)'!$C:$FB,67)</f>
        <v>914</v>
      </c>
      <c r="M18" s="75">
        <f>VLOOKUP($A18,'Data Vlaue (Cr)'!$C:$FB,68)</f>
        <v>1761</v>
      </c>
      <c r="N18" s="75">
        <f t="shared" si="4"/>
        <v>-847</v>
      </c>
      <c r="O18" s="75">
        <f t="shared" si="5"/>
        <v>-92.669584245076592</v>
      </c>
      <c r="P18" s="75">
        <f>VLOOKUP($A18,'Data Vlaue (Cr)'!$C:$FB,119)</f>
        <v>0.36</v>
      </c>
      <c r="Q18" s="75">
        <f>VLOOKUP($A18,'Data Vlaue (Cr)'!$C:$FB,122)*100</f>
        <v>20</v>
      </c>
      <c r="R18" s="75">
        <f>VLOOKUP($A18,'Data Vlaue (Cr)'!$C:$FB,125)</f>
        <v>0.25</v>
      </c>
      <c r="S18" s="75">
        <f>VLOOKUP($A18,'Data Vlaue (Cr)'!$C:$FB,128)*100</f>
        <v>92.31</v>
      </c>
    </row>
    <row r="19" spans="1:19" x14ac:dyDescent="0.25">
      <c r="A19" s="96" t="str">
        <f>'Data Vlaue (Cr)'!C10</f>
        <v>ALKEM</v>
      </c>
      <c r="B19" s="75">
        <f>VLOOKUP($A19,'Data Vlaue (Cr)'!$C:$FB,2)</f>
        <v>125</v>
      </c>
      <c r="C19" s="75">
        <f>VLOOKUP($A19,'Data Vlaue (Cr)'!$C:$FB,8)</f>
        <v>5370.5</v>
      </c>
      <c r="D19" s="75">
        <f>VLOOKUP($A19,'Data Vlaue (Cr)'!$C:$FB,4)</f>
        <v>5399.5</v>
      </c>
      <c r="E19" s="75">
        <f>VLOOKUP($A19,'Data Vlaue (Cr)'!$C:$FB,5)</f>
        <v>5268.5</v>
      </c>
      <c r="F19" s="75">
        <f t="shared" si="0"/>
        <v>29</v>
      </c>
      <c r="G19" s="75">
        <f t="shared" si="1"/>
        <v>2.4261505694971754</v>
      </c>
      <c r="H19" s="75">
        <f>VLOOKUP($A19,'Data Vlaue (Cr)'!$C:$FB,99)</f>
        <v>777</v>
      </c>
      <c r="I19" s="75">
        <f>VLOOKUP($A19,'Data Vlaue (Cr)'!$C:$FB,100)</f>
        <v>772</v>
      </c>
      <c r="J19" s="75">
        <f t="shared" si="2"/>
        <v>5</v>
      </c>
      <c r="K19" s="75">
        <f t="shared" si="3"/>
        <v>0.64350064350064351</v>
      </c>
      <c r="L19" s="75">
        <f>VLOOKUP($A19,'Data Vlaue (Cr)'!$C:$FB,67)</f>
        <v>378</v>
      </c>
      <c r="M19" s="75">
        <f>VLOOKUP($A19,'Data Vlaue (Cr)'!$C:$FB,68)</f>
        <v>386</v>
      </c>
      <c r="N19" s="75">
        <f t="shared" si="4"/>
        <v>-8</v>
      </c>
      <c r="O19" s="75">
        <f t="shared" si="5"/>
        <v>-2.1164021164021163</v>
      </c>
      <c r="P19" s="75">
        <f>VLOOKUP($A19,'Data Vlaue (Cr)'!$C:$FB,119)</f>
        <v>0.95</v>
      </c>
      <c r="Q19" s="75">
        <f>VLOOKUP($A19,'Data Vlaue (Cr)'!$C:$FB,122)*100</f>
        <v>-11.21</v>
      </c>
      <c r="R19" s="75">
        <f>VLOOKUP($A19,'Data Vlaue (Cr)'!$C:$FB,125)</f>
        <v>0.36</v>
      </c>
      <c r="S19" s="75">
        <f>VLOOKUP($A19,'Data Vlaue (Cr)'!$C:$FB,128)*100</f>
        <v>-18.18</v>
      </c>
    </row>
    <row r="20" spans="1:19" x14ac:dyDescent="0.25">
      <c r="A20" s="96" t="str">
        <f>'Data Vlaue (Cr)'!C11</f>
        <v>AMBER</v>
      </c>
      <c r="B20" s="75">
        <f>VLOOKUP($A20,'Data Vlaue (Cr)'!$C:$FB,2)</f>
        <v>100</v>
      </c>
      <c r="C20" s="75">
        <f>VLOOKUP($A20,'Data Vlaue (Cr)'!$C:$FB,8)</f>
        <v>6888.5</v>
      </c>
      <c r="D20" s="75">
        <f>VLOOKUP($A20,'Data Vlaue (Cr)'!$C:$FB,4)</f>
        <v>6899.5</v>
      </c>
      <c r="E20" s="75">
        <f>VLOOKUP($A20,'Data Vlaue (Cr)'!$C:$FB,5)</f>
        <v>6948</v>
      </c>
      <c r="F20" s="75">
        <f t="shared" si="0"/>
        <v>11</v>
      </c>
      <c r="G20" s="75">
        <f t="shared" si="1"/>
        <v>-0.70294948909341259</v>
      </c>
      <c r="H20" s="75">
        <f>VLOOKUP($A20,'Data Vlaue (Cr)'!$C:$FB,99)</f>
        <v>1411</v>
      </c>
      <c r="I20" s="75">
        <f>VLOOKUP($A20,'Data Vlaue (Cr)'!$C:$FB,100)</f>
        <v>1283</v>
      </c>
      <c r="J20" s="75">
        <f t="shared" si="2"/>
        <v>128</v>
      </c>
      <c r="K20" s="75">
        <f t="shared" si="3"/>
        <v>9.0715804394046771</v>
      </c>
      <c r="L20" s="75">
        <f>VLOOKUP($A20,'Data Vlaue (Cr)'!$C:$FB,67)</f>
        <v>1387</v>
      </c>
      <c r="M20" s="75">
        <f>VLOOKUP($A20,'Data Vlaue (Cr)'!$C:$FB,68)</f>
        <v>2161</v>
      </c>
      <c r="N20" s="75">
        <f t="shared" si="4"/>
        <v>-774</v>
      </c>
      <c r="O20" s="75">
        <f t="shared" si="5"/>
        <v>-55.803893294881036</v>
      </c>
      <c r="P20" s="75">
        <f>VLOOKUP($A20,'Data Vlaue (Cr)'!$C:$FB,119)</f>
        <v>0.64</v>
      </c>
      <c r="Q20" s="75">
        <f>VLOOKUP($A20,'Data Vlaue (Cr)'!$C:$FB,122)*100</f>
        <v>1.59</v>
      </c>
      <c r="R20" s="75">
        <f>VLOOKUP($A20,'Data Vlaue (Cr)'!$C:$FB,125)</f>
        <v>0.55000000000000004</v>
      </c>
      <c r="S20" s="75">
        <f>VLOOKUP($A20,'Data Vlaue (Cr)'!$C:$FB,128)*100</f>
        <v>30.95</v>
      </c>
    </row>
    <row r="21" spans="1:19" x14ac:dyDescent="0.25">
      <c r="A21" s="96" t="str">
        <f>'Data Vlaue (Cr)'!C12</f>
        <v>AMBUJACEM</v>
      </c>
      <c r="B21" s="75">
        <f>VLOOKUP($A21,'Data Vlaue (Cr)'!$C:$FB,2)</f>
        <v>1050</v>
      </c>
      <c r="C21" s="75">
        <f>VLOOKUP($A21,'Data Vlaue (Cr)'!$C:$FB,8)</f>
        <v>434.05</v>
      </c>
      <c r="D21" s="75">
        <f>VLOOKUP($A21,'Data Vlaue (Cr)'!$C:$FB,4)</f>
        <v>434.5</v>
      </c>
      <c r="E21" s="75">
        <f>VLOOKUP($A21,'Data Vlaue (Cr)'!$C:$FB,5)</f>
        <v>447.65</v>
      </c>
      <c r="F21" s="75">
        <f t="shared" si="0"/>
        <v>0.44999999999998863</v>
      </c>
      <c r="G21" s="75">
        <f t="shared" si="1"/>
        <v>-3.0264672036823885</v>
      </c>
      <c r="H21" s="75">
        <f>VLOOKUP($A21,'Data Vlaue (Cr)'!$C:$FB,99)</f>
        <v>3492</v>
      </c>
      <c r="I21" s="75">
        <f>VLOOKUP($A21,'Data Vlaue (Cr)'!$C:$FB,100)</f>
        <v>3458</v>
      </c>
      <c r="J21" s="75">
        <f t="shared" si="2"/>
        <v>34</v>
      </c>
      <c r="K21" s="75">
        <f t="shared" si="3"/>
        <v>0.97365406643757157</v>
      </c>
      <c r="L21" s="75">
        <f>VLOOKUP($A21,'Data Vlaue (Cr)'!$C:$FB,67)</f>
        <v>1188</v>
      </c>
      <c r="M21" s="75">
        <f>VLOOKUP($A21,'Data Vlaue (Cr)'!$C:$FB,68)</f>
        <v>2320</v>
      </c>
      <c r="N21" s="75">
        <f t="shared" si="4"/>
        <v>-1132</v>
      </c>
      <c r="O21" s="75">
        <f t="shared" si="5"/>
        <v>-95.28619528619528</v>
      </c>
      <c r="P21" s="75">
        <f>VLOOKUP($A21,'Data Vlaue (Cr)'!$C:$FB,119)</f>
        <v>0.87</v>
      </c>
      <c r="Q21" s="75">
        <f>VLOOKUP($A21,'Data Vlaue (Cr)'!$C:$FB,122)*100</f>
        <v>-5.43</v>
      </c>
      <c r="R21" s="75">
        <f>VLOOKUP($A21,'Data Vlaue (Cr)'!$C:$FB,125)</f>
        <v>0.5</v>
      </c>
      <c r="S21" s="75">
        <f>VLOOKUP($A21,'Data Vlaue (Cr)'!$C:$FB,128)*100</f>
        <v>19.05</v>
      </c>
    </row>
    <row r="22" spans="1:19" x14ac:dyDescent="0.25">
      <c r="A22" s="96" t="str">
        <f>'Data Vlaue (Cr)'!C13</f>
        <v>ANGELONE</v>
      </c>
      <c r="B22" s="75">
        <f>VLOOKUP($A22,'Data Vlaue (Cr)'!$C:$FB,2)</f>
        <v>2500</v>
      </c>
      <c r="C22" s="75">
        <f>VLOOKUP($A22,'Data Vlaue (Cr)'!$C:$FB,8)</f>
        <v>281.8</v>
      </c>
      <c r="D22" s="75">
        <f>VLOOKUP($A22,'Data Vlaue (Cr)'!$C:$FB,4)</f>
        <v>276.13</v>
      </c>
      <c r="E22" s="75">
        <f>VLOOKUP($A22,'Data Vlaue (Cr)'!$C:$FB,5)</f>
        <v>265.43</v>
      </c>
      <c r="F22" s="75">
        <f t="shared" si="0"/>
        <v>-5.6700000000000159</v>
      </c>
      <c r="G22" s="75">
        <f t="shared" si="1"/>
        <v>3.8749864194401149</v>
      </c>
      <c r="H22" s="75">
        <f>VLOOKUP($A22,'Data Vlaue (Cr)'!$C:$FB,99)</f>
        <v>1351</v>
      </c>
      <c r="I22" s="75">
        <f>VLOOKUP($A22,'Data Vlaue (Cr)'!$C:$FB,100)</f>
        <v>1173</v>
      </c>
      <c r="J22" s="75">
        <f t="shared" si="2"/>
        <v>178</v>
      </c>
      <c r="K22" s="75">
        <f t="shared" si="3"/>
        <v>13.175425610658772</v>
      </c>
      <c r="L22" s="75">
        <f>VLOOKUP($A22,'Data Vlaue (Cr)'!$C:$FB,67)</f>
        <v>3010</v>
      </c>
      <c r="M22" s="75">
        <f>VLOOKUP($A22,'Data Vlaue (Cr)'!$C:$FB,68)</f>
        <v>1864</v>
      </c>
      <c r="N22" s="75">
        <f t="shared" si="4"/>
        <v>1146</v>
      </c>
      <c r="O22" s="75">
        <f t="shared" si="5"/>
        <v>38.073089700996675</v>
      </c>
      <c r="P22" s="75">
        <f>VLOOKUP($A22,'Data Vlaue (Cr)'!$C:$FB,119)</f>
        <v>0.82</v>
      </c>
      <c r="Q22" s="75">
        <f>VLOOKUP($A22,'Data Vlaue (Cr)'!$C:$FB,122)*100</f>
        <v>-4.6500000000000004</v>
      </c>
      <c r="R22" s="75">
        <f>VLOOKUP($A22,'Data Vlaue (Cr)'!$C:$FB,125)</f>
        <v>0.46</v>
      </c>
      <c r="S22" s="75">
        <f>VLOOKUP($A22,'Data Vlaue (Cr)'!$C:$FB,128)*100</f>
        <v>-4.17</v>
      </c>
    </row>
    <row r="23" spans="1:19" x14ac:dyDescent="0.25">
      <c r="A23" s="96" t="str">
        <f>'Data Vlaue (Cr)'!C14</f>
        <v>APLAPOLLO</v>
      </c>
      <c r="B23" s="75">
        <f>VLOOKUP($A23,'Data Vlaue (Cr)'!$C:$FB,2)</f>
        <v>350</v>
      </c>
      <c r="C23" s="75">
        <f>VLOOKUP($A23,'Data Vlaue (Cr)'!$C:$FB,8)</f>
        <v>2040.3</v>
      </c>
      <c r="D23" s="75">
        <f>VLOOKUP($A23,'Data Vlaue (Cr)'!$C:$FB,4)</f>
        <v>2048.5</v>
      </c>
      <c r="E23" s="75">
        <f>VLOOKUP($A23,'Data Vlaue (Cr)'!$C:$FB,5)</f>
        <v>2052.1999999999998</v>
      </c>
      <c r="F23" s="75">
        <f t="shared" si="0"/>
        <v>8.2000000000000455</v>
      </c>
      <c r="G23" s="75">
        <f t="shared" si="1"/>
        <v>-0.18061996582864623</v>
      </c>
      <c r="H23" s="75">
        <f>VLOOKUP($A23,'Data Vlaue (Cr)'!$C:$FB,99)</f>
        <v>1316</v>
      </c>
      <c r="I23" s="75">
        <f>VLOOKUP($A23,'Data Vlaue (Cr)'!$C:$FB,100)</f>
        <v>1295</v>
      </c>
      <c r="J23" s="75">
        <f t="shared" si="2"/>
        <v>21</v>
      </c>
      <c r="K23" s="75">
        <f t="shared" si="3"/>
        <v>1.5957446808510638</v>
      </c>
      <c r="L23" s="75">
        <f>VLOOKUP($A23,'Data Vlaue (Cr)'!$C:$FB,67)</f>
        <v>393</v>
      </c>
      <c r="M23" s="75">
        <f>VLOOKUP($A23,'Data Vlaue (Cr)'!$C:$FB,68)</f>
        <v>858</v>
      </c>
      <c r="N23" s="75">
        <f t="shared" si="4"/>
        <v>-465</v>
      </c>
      <c r="O23" s="75">
        <f t="shared" si="5"/>
        <v>-118.32061068702291</v>
      </c>
      <c r="P23" s="75">
        <f>VLOOKUP($A23,'Data Vlaue (Cr)'!$C:$FB,119)</f>
        <v>0.79</v>
      </c>
      <c r="Q23" s="75">
        <f>VLOOKUP($A23,'Data Vlaue (Cr)'!$C:$FB,122)*100</f>
        <v>3.95</v>
      </c>
      <c r="R23" s="75">
        <f>VLOOKUP($A23,'Data Vlaue (Cr)'!$C:$FB,125)</f>
        <v>0.42</v>
      </c>
      <c r="S23" s="75">
        <f>VLOOKUP($A23,'Data Vlaue (Cr)'!$C:$FB,128)*100</f>
        <v>-8.6999999999999993</v>
      </c>
    </row>
    <row r="24" spans="1:19" x14ac:dyDescent="0.25">
      <c r="A24" s="96" t="str">
        <f>'Data Vlaue (Cr)'!C15</f>
        <v>APOLLOHOSP</v>
      </c>
      <c r="B24" s="75">
        <f>VLOOKUP($A24,'Data Vlaue (Cr)'!$C:$FB,2)</f>
        <v>125</v>
      </c>
      <c r="C24" s="75">
        <f>VLOOKUP($A24,'Data Vlaue (Cr)'!$C:$FB,8)</f>
        <v>7481.5</v>
      </c>
      <c r="D24" s="75">
        <f>VLOOKUP($A24,'Data Vlaue (Cr)'!$C:$FB,4)</f>
        <v>7495</v>
      </c>
      <c r="E24" s="75">
        <f>VLOOKUP($A24,'Data Vlaue (Cr)'!$C:$FB,5)</f>
        <v>7417</v>
      </c>
      <c r="F24" s="75">
        <f t="shared" si="0"/>
        <v>13.5</v>
      </c>
      <c r="G24" s="75">
        <f t="shared" si="1"/>
        <v>1.0406937958639093</v>
      </c>
      <c r="H24" s="75">
        <f>VLOOKUP($A24,'Data Vlaue (Cr)'!$C:$FB,99)</f>
        <v>2888</v>
      </c>
      <c r="I24" s="75">
        <f>VLOOKUP($A24,'Data Vlaue (Cr)'!$C:$FB,100)</f>
        <v>2890</v>
      </c>
      <c r="J24" s="75">
        <f t="shared" si="2"/>
        <v>-2</v>
      </c>
      <c r="K24" s="75">
        <f t="shared" si="3"/>
        <v>-6.9252077562326875E-2</v>
      </c>
      <c r="L24" s="75">
        <f>VLOOKUP($A24,'Data Vlaue (Cr)'!$C:$FB,67)</f>
        <v>2339</v>
      </c>
      <c r="M24" s="75">
        <f>VLOOKUP($A24,'Data Vlaue (Cr)'!$C:$FB,68)</f>
        <v>2426</v>
      </c>
      <c r="N24" s="75">
        <f t="shared" si="4"/>
        <v>-87</v>
      </c>
      <c r="O24" s="75">
        <f t="shared" si="5"/>
        <v>-3.7195382642154766</v>
      </c>
      <c r="P24" s="75">
        <f>VLOOKUP($A24,'Data Vlaue (Cr)'!$C:$FB,119)</f>
        <v>0.92</v>
      </c>
      <c r="Q24" s="75">
        <f>VLOOKUP($A24,'Data Vlaue (Cr)'!$C:$FB,122)*100</f>
        <v>-2.13</v>
      </c>
      <c r="R24" s="75">
        <f>VLOOKUP($A24,'Data Vlaue (Cr)'!$C:$FB,125)</f>
        <v>0.34</v>
      </c>
      <c r="S24" s="75">
        <f>VLOOKUP($A24,'Data Vlaue (Cr)'!$C:$FB,128)*100</f>
        <v>-24.44</v>
      </c>
    </row>
    <row r="25" spans="1:19" x14ac:dyDescent="0.25">
      <c r="A25" s="96" t="str">
        <f>'Data Vlaue (Cr)'!C16</f>
        <v>ASHOKLEY</v>
      </c>
      <c r="B25" s="75">
        <f>VLOOKUP($A25,'Data Vlaue (Cr)'!$C:$FB,2)</f>
        <v>5000</v>
      </c>
      <c r="C25" s="75">
        <f>VLOOKUP($A25,'Data Vlaue (Cr)'!$C:$FB,8)</f>
        <v>170.38</v>
      </c>
      <c r="D25" s="75">
        <f>VLOOKUP($A25,'Data Vlaue (Cr)'!$C:$FB,4)</f>
        <v>170.54</v>
      </c>
      <c r="E25" s="75">
        <f>VLOOKUP($A25,'Data Vlaue (Cr)'!$C:$FB,5)</f>
        <v>172.62</v>
      </c>
      <c r="F25" s="75">
        <f t="shared" si="0"/>
        <v>0.15999999999999659</v>
      </c>
      <c r="G25" s="75">
        <f t="shared" si="1"/>
        <v>-1.2196552128532969</v>
      </c>
      <c r="H25" s="75">
        <f>VLOOKUP($A25,'Data Vlaue (Cr)'!$C:$FB,99)</f>
        <v>4956</v>
      </c>
      <c r="I25" s="75">
        <f>VLOOKUP($A25,'Data Vlaue (Cr)'!$C:$FB,100)</f>
        <v>4898</v>
      </c>
      <c r="J25" s="75">
        <f t="shared" si="2"/>
        <v>58</v>
      </c>
      <c r="K25" s="75">
        <f t="shared" si="3"/>
        <v>1.1702986279257466</v>
      </c>
      <c r="L25" s="75">
        <f>VLOOKUP($A25,'Data Vlaue (Cr)'!$C:$FB,67)</f>
        <v>4279</v>
      </c>
      <c r="M25" s="75">
        <f>VLOOKUP($A25,'Data Vlaue (Cr)'!$C:$FB,68)</f>
        <v>10229</v>
      </c>
      <c r="N25" s="75">
        <f t="shared" si="4"/>
        <v>-5950</v>
      </c>
      <c r="O25" s="75">
        <f t="shared" si="5"/>
        <v>-139.05118018228558</v>
      </c>
      <c r="P25" s="75">
        <f>VLOOKUP($A25,'Data Vlaue (Cr)'!$C:$FB,119)</f>
        <v>0.69</v>
      </c>
      <c r="Q25" s="75">
        <f>VLOOKUP($A25,'Data Vlaue (Cr)'!$C:$FB,122)*100</f>
        <v>-9.2100000000000009</v>
      </c>
      <c r="R25" s="75">
        <f>VLOOKUP($A25,'Data Vlaue (Cr)'!$C:$FB,125)</f>
        <v>0.61</v>
      </c>
      <c r="S25" s="75">
        <f>VLOOKUP($A25,'Data Vlaue (Cr)'!$C:$FB,128)*100</f>
        <v>38.64</v>
      </c>
    </row>
    <row r="26" spans="1:19" x14ac:dyDescent="0.25">
      <c r="A26" s="96" t="str">
        <f>'Data Vlaue (Cr)'!C17</f>
        <v>ASIANPAINT</v>
      </c>
      <c r="B26" s="75">
        <f>VLOOKUP($A26,'Data Vlaue (Cr)'!$C:$FB,2)</f>
        <v>250</v>
      </c>
      <c r="C26" s="75">
        <f>VLOOKUP($A26,'Data Vlaue (Cr)'!$C:$FB,8)</f>
        <v>2269.6</v>
      </c>
      <c r="D26" s="75">
        <f>VLOOKUP($A26,'Data Vlaue (Cr)'!$C:$FB,4)</f>
        <v>2274.9</v>
      </c>
      <c r="E26" s="75">
        <f>VLOOKUP($A26,'Data Vlaue (Cr)'!$C:$FB,5)</f>
        <v>2293.1</v>
      </c>
      <c r="F26" s="75">
        <f t="shared" si="0"/>
        <v>5.3000000000001819</v>
      </c>
      <c r="G26" s="75">
        <f t="shared" si="1"/>
        <v>-0.80003516638093175</v>
      </c>
      <c r="H26" s="75">
        <f>VLOOKUP($A26,'Data Vlaue (Cr)'!$C:$FB,99)</f>
        <v>5005</v>
      </c>
      <c r="I26" s="75">
        <f>VLOOKUP($A26,'Data Vlaue (Cr)'!$C:$FB,100)</f>
        <v>4944</v>
      </c>
      <c r="J26" s="75">
        <f t="shared" si="2"/>
        <v>61</v>
      </c>
      <c r="K26" s="75">
        <f t="shared" si="3"/>
        <v>1.2187812187812188</v>
      </c>
      <c r="L26" s="75">
        <f>VLOOKUP($A26,'Data Vlaue (Cr)'!$C:$FB,67)</f>
        <v>1586</v>
      </c>
      <c r="M26" s="75">
        <f>VLOOKUP($A26,'Data Vlaue (Cr)'!$C:$FB,68)</f>
        <v>4274</v>
      </c>
      <c r="N26" s="75">
        <f t="shared" si="4"/>
        <v>-2688</v>
      </c>
      <c r="O26" s="75">
        <f t="shared" si="5"/>
        <v>-169.48297604035309</v>
      </c>
      <c r="P26" s="75">
        <f>VLOOKUP($A26,'Data Vlaue (Cr)'!$C:$FB,119)</f>
        <v>1.08</v>
      </c>
      <c r="Q26" s="75">
        <f>VLOOKUP($A26,'Data Vlaue (Cr)'!$C:$FB,122)*100</f>
        <v>0.92999999999999994</v>
      </c>
      <c r="R26" s="75">
        <f>VLOOKUP($A26,'Data Vlaue (Cr)'!$C:$FB,125)</f>
        <v>0.64</v>
      </c>
      <c r="S26" s="75">
        <f>VLOOKUP($A26,'Data Vlaue (Cr)'!$C:$FB,128)*100</f>
        <v>20.75</v>
      </c>
    </row>
    <row r="27" spans="1:19" x14ac:dyDescent="0.25">
      <c r="A27" s="96" t="str">
        <f>'Data Vlaue (Cr)'!C18</f>
        <v>ASTRAL</v>
      </c>
      <c r="B27" s="75">
        <f>VLOOKUP($A27,'Data Vlaue (Cr)'!$C:$FB,2)</f>
        <v>425</v>
      </c>
      <c r="C27" s="75">
        <f>VLOOKUP($A27,'Data Vlaue (Cr)'!$C:$FB,8)</f>
        <v>1563.7</v>
      </c>
      <c r="D27" s="75">
        <f>VLOOKUP($A27,'Data Vlaue (Cr)'!$C:$FB,4)</f>
        <v>1557.8</v>
      </c>
      <c r="E27" s="75">
        <f>VLOOKUP($A27,'Data Vlaue (Cr)'!$C:$FB,5)</f>
        <v>1529.3</v>
      </c>
      <c r="F27" s="75">
        <f t="shared" si="0"/>
        <v>-5.9000000000000909</v>
      </c>
      <c r="G27" s="75">
        <f t="shared" si="1"/>
        <v>1.8295031454615485</v>
      </c>
      <c r="H27" s="75">
        <f>VLOOKUP($A27,'Data Vlaue (Cr)'!$C:$FB,99)</f>
        <v>1908</v>
      </c>
      <c r="I27" s="75">
        <f>VLOOKUP($A27,'Data Vlaue (Cr)'!$C:$FB,100)</f>
        <v>1897</v>
      </c>
      <c r="J27" s="75">
        <f t="shared" si="2"/>
        <v>11</v>
      </c>
      <c r="K27" s="75">
        <f t="shared" si="3"/>
        <v>0.5765199161425576</v>
      </c>
      <c r="L27" s="75">
        <f>VLOOKUP($A27,'Data Vlaue (Cr)'!$C:$FB,67)</f>
        <v>1012</v>
      </c>
      <c r="M27" s="75">
        <f>VLOOKUP($A27,'Data Vlaue (Cr)'!$C:$FB,68)</f>
        <v>1583</v>
      </c>
      <c r="N27" s="75">
        <f t="shared" si="4"/>
        <v>-571</v>
      </c>
      <c r="O27" s="75">
        <f t="shared" si="5"/>
        <v>-56.422924901185766</v>
      </c>
      <c r="P27" s="75">
        <f>VLOOKUP($A27,'Data Vlaue (Cr)'!$C:$FB,119)</f>
        <v>0.67</v>
      </c>
      <c r="Q27" s="75">
        <f>VLOOKUP($A27,'Data Vlaue (Cr)'!$C:$FB,122)*100</f>
        <v>0</v>
      </c>
      <c r="R27" s="75">
        <f>VLOOKUP($A27,'Data Vlaue (Cr)'!$C:$FB,125)</f>
        <v>0.78</v>
      </c>
      <c r="S27" s="75">
        <f>VLOOKUP($A27,'Data Vlaue (Cr)'!$C:$FB,128)*100</f>
        <v>14.71</v>
      </c>
    </row>
    <row r="28" spans="1:19" x14ac:dyDescent="0.25">
      <c r="A28" s="96" t="str">
        <f>'Data Vlaue (Cr)'!C19</f>
        <v>AUBANK</v>
      </c>
      <c r="B28" s="75">
        <f>VLOOKUP($A28,'Data Vlaue (Cr)'!$C:$FB,2)</f>
        <v>1000</v>
      </c>
      <c r="C28" s="75">
        <f>VLOOKUP($A28,'Data Vlaue (Cr)'!$C:$FB,8)</f>
        <v>963</v>
      </c>
      <c r="D28" s="75">
        <f>VLOOKUP($A28,'Data Vlaue (Cr)'!$C:$FB,4)</f>
        <v>964.55</v>
      </c>
      <c r="E28" s="75">
        <f>VLOOKUP($A28,'Data Vlaue (Cr)'!$C:$FB,5)</f>
        <v>969.8</v>
      </c>
      <c r="F28" s="75">
        <f t="shared" si="0"/>
        <v>1.5499999999999545</v>
      </c>
      <c r="G28" s="75">
        <f t="shared" si="1"/>
        <v>-0.54429526722305743</v>
      </c>
      <c r="H28" s="75">
        <f>VLOOKUP($A28,'Data Vlaue (Cr)'!$C:$FB,99)</f>
        <v>3419</v>
      </c>
      <c r="I28" s="75">
        <f>VLOOKUP($A28,'Data Vlaue (Cr)'!$C:$FB,100)</f>
        <v>3357</v>
      </c>
      <c r="J28" s="75">
        <f t="shared" si="2"/>
        <v>62</v>
      </c>
      <c r="K28" s="75">
        <f t="shared" si="3"/>
        <v>1.8133957297455396</v>
      </c>
      <c r="L28" s="75">
        <f>VLOOKUP($A28,'Data Vlaue (Cr)'!$C:$FB,67)</f>
        <v>1302</v>
      </c>
      <c r="M28" s="75">
        <f>VLOOKUP($A28,'Data Vlaue (Cr)'!$C:$FB,68)</f>
        <v>2898</v>
      </c>
      <c r="N28" s="75">
        <f t="shared" si="4"/>
        <v>-1596</v>
      </c>
      <c r="O28" s="75">
        <f t="shared" si="5"/>
        <v>-122.58064516129032</v>
      </c>
      <c r="P28" s="75">
        <f>VLOOKUP($A28,'Data Vlaue (Cr)'!$C:$FB,119)</f>
        <v>0.89</v>
      </c>
      <c r="Q28" s="75">
        <f>VLOOKUP($A28,'Data Vlaue (Cr)'!$C:$FB,122)*100</f>
        <v>7.23</v>
      </c>
      <c r="R28" s="75">
        <f>VLOOKUP($A28,'Data Vlaue (Cr)'!$C:$FB,125)</f>
        <v>0.76</v>
      </c>
      <c r="S28" s="75">
        <f>VLOOKUP($A28,'Data Vlaue (Cr)'!$C:$FB,128)*100</f>
        <v>-16.48</v>
      </c>
    </row>
    <row r="29" spans="1:19" x14ac:dyDescent="0.25">
      <c r="A29" s="96" t="str">
        <f>'Data Vlaue (Cr)'!C20</f>
        <v>AUROPHARMA</v>
      </c>
      <c r="B29" s="75">
        <f>VLOOKUP($A29,'Data Vlaue (Cr)'!$C:$FB,2)</f>
        <v>550</v>
      </c>
      <c r="C29" s="75">
        <f>VLOOKUP($A29,'Data Vlaue (Cr)'!$C:$FB,8)</f>
        <v>1340.4</v>
      </c>
      <c r="D29" s="75">
        <f>VLOOKUP($A29,'Data Vlaue (Cr)'!$C:$FB,4)</f>
        <v>1345.8</v>
      </c>
      <c r="E29" s="75">
        <f>VLOOKUP($A29,'Data Vlaue (Cr)'!$C:$FB,5)</f>
        <v>1342.2</v>
      </c>
      <c r="F29" s="75">
        <f t="shared" si="0"/>
        <v>5.3999999999998636</v>
      </c>
      <c r="G29" s="75">
        <f t="shared" si="1"/>
        <v>0.26749888542130396</v>
      </c>
      <c r="H29" s="75">
        <f>VLOOKUP($A29,'Data Vlaue (Cr)'!$C:$FB,99)</f>
        <v>3675</v>
      </c>
      <c r="I29" s="75">
        <f>VLOOKUP($A29,'Data Vlaue (Cr)'!$C:$FB,100)</f>
        <v>3682</v>
      </c>
      <c r="J29" s="75">
        <f t="shared" si="2"/>
        <v>-7</v>
      </c>
      <c r="K29" s="75">
        <f t="shared" si="3"/>
        <v>-0.19047619047619047</v>
      </c>
      <c r="L29" s="75">
        <f>VLOOKUP($A29,'Data Vlaue (Cr)'!$C:$FB,67)</f>
        <v>677</v>
      </c>
      <c r="M29" s="75">
        <f>VLOOKUP($A29,'Data Vlaue (Cr)'!$C:$FB,68)</f>
        <v>1379</v>
      </c>
      <c r="N29" s="75">
        <f t="shared" si="4"/>
        <v>-702</v>
      </c>
      <c r="O29" s="75">
        <f t="shared" si="5"/>
        <v>-103.6927621861152</v>
      </c>
      <c r="P29" s="75">
        <f>VLOOKUP($A29,'Data Vlaue (Cr)'!$C:$FB,119)</f>
        <v>0.67</v>
      </c>
      <c r="Q29" s="75">
        <f>VLOOKUP($A29,'Data Vlaue (Cr)'!$C:$FB,122)*100</f>
        <v>6.35</v>
      </c>
      <c r="R29" s="75">
        <f>VLOOKUP($A29,'Data Vlaue (Cr)'!$C:$FB,125)</f>
        <v>0.5</v>
      </c>
      <c r="S29" s="75">
        <f>VLOOKUP($A29,'Data Vlaue (Cr)'!$C:$FB,128)*100</f>
        <v>-12.280000000000001</v>
      </c>
    </row>
    <row r="30" spans="1:19" x14ac:dyDescent="0.25">
      <c r="A30" s="96" t="str">
        <f>'Data Vlaue (Cr)'!C21</f>
        <v>AXISBANK</v>
      </c>
      <c r="B30" s="75">
        <f>VLOOKUP($A30,'Data Vlaue (Cr)'!$C:$FB,2)</f>
        <v>625</v>
      </c>
      <c r="C30" s="75">
        <f>VLOOKUP($A30,'Data Vlaue (Cr)'!$C:$FB,8)</f>
        <v>1318.5</v>
      </c>
      <c r="D30" s="75">
        <f>VLOOKUP($A30,'Data Vlaue (Cr)'!$C:$FB,4)</f>
        <v>1323.2</v>
      </c>
      <c r="E30" s="75">
        <f>VLOOKUP($A30,'Data Vlaue (Cr)'!$C:$FB,5)</f>
        <v>1335.6</v>
      </c>
      <c r="F30" s="75">
        <f t="shared" si="0"/>
        <v>4.7000000000000455</v>
      </c>
      <c r="G30" s="75">
        <f t="shared" si="1"/>
        <v>-0.93712212817411289</v>
      </c>
      <c r="H30" s="75">
        <f>VLOOKUP($A30,'Data Vlaue (Cr)'!$C:$FB,99)</f>
        <v>12206</v>
      </c>
      <c r="I30" s="75">
        <f>VLOOKUP($A30,'Data Vlaue (Cr)'!$C:$FB,100)</f>
        <v>12156</v>
      </c>
      <c r="J30" s="75">
        <f t="shared" si="2"/>
        <v>50</v>
      </c>
      <c r="K30" s="75">
        <f t="shared" si="3"/>
        <v>0.40963460593150908</v>
      </c>
      <c r="L30" s="75">
        <f>VLOOKUP($A30,'Data Vlaue (Cr)'!$C:$FB,67)</f>
        <v>4998</v>
      </c>
      <c r="M30" s="75">
        <f>VLOOKUP($A30,'Data Vlaue (Cr)'!$C:$FB,68)</f>
        <v>7680</v>
      </c>
      <c r="N30" s="75">
        <f t="shared" si="4"/>
        <v>-2682</v>
      </c>
      <c r="O30" s="75">
        <f t="shared" si="5"/>
        <v>-53.661464585834331</v>
      </c>
      <c r="P30" s="75">
        <f>VLOOKUP($A30,'Data Vlaue (Cr)'!$C:$FB,119)</f>
        <v>0.9</v>
      </c>
      <c r="Q30" s="75">
        <f>VLOOKUP($A30,'Data Vlaue (Cr)'!$C:$FB,122)*100</f>
        <v>-10</v>
      </c>
      <c r="R30" s="75">
        <f>VLOOKUP($A30,'Data Vlaue (Cr)'!$C:$FB,125)</f>
        <v>1.2</v>
      </c>
      <c r="S30" s="75">
        <f>VLOOKUP($A30,'Data Vlaue (Cr)'!$C:$FB,128)*100</f>
        <v>13.209999999999999</v>
      </c>
    </row>
    <row r="31" spans="1:19" x14ac:dyDescent="0.25">
      <c r="A31" s="96" t="str">
        <f>'Data Vlaue (Cr)'!C22</f>
        <v>BAJAJ-AUTO</v>
      </c>
      <c r="B31" s="75">
        <f>VLOOKUP($A31,'Data Vlaue (Cr)'!$C:$FB,2)</f>
        <v>75</v>
      </c>
      <c r="C31" s="75">
        <f>VLOOKUP($A31,'Data Vlaue (Cr)'!$C:$FB,8)</f>
        <v>9517</v>
      </c>
      <c r="D31" s="75">
        <f>VLOOKUP($A31,'Data Vlaue (Cr)'!$C:$FB,4)</f>
        <v>9516.5</v>
      </c>
      <c r="E31" s="75">
        <f>VLOOKUP($A31,'Data Vlaue (Cr)'!$C:$FB,5)</f>
        <v>9381</v>
      </c>
      <c r="F31" s="75">
        <f t="shared" si="0"/>
        <v>-0.5</v>
      </c>
      <c r="G31" s="75">
        <f t="shared" si="1"/>
        <v>1.4238427993485001</v>
      </c>
      <c r="H31" s="75">
        <f>VLOOKUP($A31,'Data Vlaue (Cr)'!$C:$FB,99)</f>
        <v>4659</v>
      </c>
      <c r="I31" s="75">
        <f>VLOOKUP($A31,'Data Vlaue (Cr)'!$C:$FB,100)</f>
        <v>4413</v>
      </c>
      <c r="J31" s="75">
        <f t="shared" si="2"/>
        <v>246</v>
      </c>
      <c r="K31" s="75">
        <f t="shared" si="3"/>
        <v>5.2801030264005151</v>
      </c>
      <c r="L31" s="75">
        <f>VLOOKUP($A31,'Data Vlaue (Cr)'!$C:$FB,67)</f>
        <v>5933</v>
      </c>
      <c r="M31" s="75">
        <f>VLOOKUP($A31,'Data Vlaue (Cr)'!$C:$FB,68)</f>
        <v>2701</v>
      </c>
      <c r="N31" s="75">
        <f t="shared" si="4"/>
        <v>3232</v>
      </c>
      <c r="O31" s="75">
        <f t="shared" si="5"/>
        <v>54.474970503960897</v>
      </c>
      <c r="P31" s="75">
        <f>VLOOKUP($A31,'Data Vlaue (Cr)'!$C:$FB,119)</f>
        <v>0.88</v>
      </c>
      <c r="Q31" s="75">
        <f>VLOOKUP($A31,'Data Vlaue (Cr)'!$C:$FB,122)*100</f>
        <v>0</v>
      </c>
      <c r="R31" s="75">
        <f>VLOOKUP($A31,'Data Vlaue (Cr)'!$C:$FB,125)</f>
        <v>0.42</v>
      </c>
      <c r="S31" s="75">
        <f>VLOOKUP($A31,'Data Vlaue (Cr)'!$C:$FB,128)*100</f>
        <v>-28.810000000000002</v>
      </c>
    </row>
    <row r="32" spans="1:19" x14ac:dyDescent="0.25">
      <c r="A32" s="96" t="str">
        <f>'Data Vlaue (Cr)'!C23</f>
        <v>BAJAJFINSV</v>
      </c>
      <c r="B32" s="75">
        <f>VLOOKUP($A32,'Data Vlaue (Cr)'!$C:$FB,2)</f>
        <v>250</v>
      </c>
      <c r="C32" s="75">
        <f>VLOOKUP($A32,'Data Vlaue (Cr)'!$C:$FB,8)</f>
        <v>1767.7</v>
      </c>
      <c r="D32" s="75">
        <f>VLOOKUP($A32,'Data Vlaue (Cr)'!$C:$FB,4)</f>
        <v>1773.5</v>
      </c>
      <c r="E32" s="75">
        <f>VLOOKUP($A32,'Data Vlaue (Cr)'!$C:$FB,5)</f>
        <v>1793.7</v>
      </c>
      <c r="F32" s="75">
        <f t="shared" si="0"/>
        <v>5.7999999999999545</v>
      </c>
      <c r="G32" s="75">
        <f t="shared" si="1"/>
        <v>-1.1389906963631264</v>
      </c>
      <c r="H32" s="75">
        <f>VLOOKUP($A32,'Data Vlaue (Cr)'!$C:$FB,99)</f>
        <v>3220</v>
      </c>
      <c r="I32" s="75">
        <f>VLOOKUP($A32,'Data Vlaue (Cr)'!$C:$FB,100)</f>
        <v>3123</v>
      </c>
      <c r="J32" s="75">
        <f t="shared" si="2"/>
        <v>97</v>
      </c>
      <c r="K32" s="75">
        <f t="shared" si="3"/>
        <v>3.012422360248447</v>
      </c>
      <c r="L32" s="75">
        <f>VLOOKUP($A32,'Data Vlaue (Cr)'!$C:$FB,67)</f>
        <v>820</v>
      </c>
      <c r="M32" s="75">
        <f>VLOOKUP($A32,'Data Vlaue (Cr)'!$C:$FB,68)</f>
        <v>1637</v>
      </c>
      <c r="N32" s="75">
        <f t="shared" si="4"/>
        <v>-817</v>
      </c>
      <c r="O32" s="75">
        <f t="shared" si="5"/>
        <v>-99.634146341463421</v>
      </c>
      <c r="P32" s="75">
        <f>VLOOKUP($A32,'Data Vlaue (Cr)'!$C:$FB,119)</f>
        <v>1.1000000000000001</v>
      </c>
      <c r="Q32" s="75">
        <f>VLOOKUP($A32,'Data Vlaue (Cr)'!$C:$FB,122)*100</f>
        <v>8.91</v>
      </c>
      <c r="R32" s="75">
        <f>VLOOKUP($A32,'Data Vlaue (Cr)'!$C:$FB,125)</f>
        <v>0.93</v>
      </c>
      <c r="S32" s="75">
        <f>VLOOKUP($A32,'Data Vlaue (Cr)'!$C:$FB,128)*100</f>
        <v>57.63</v>
      </c>
    </row>
    <row r="33" spans="1:19" x14ac:dyDescent="0.25">
      <c r="A33" s="96" t="str">
        <f>'Data Vlaue (Cr)'!C24</f>
        <v>BAJAJHLDNG</v>
      </c>
      <c r="B33" s="75">
        <f>VLOOKUP($A33,'Data Vlaue (Cr)'!$C:$FB,2)</f>
        <v>50</v>
      </c>
      <c r="C33" s="75">
        <f>VLOOKUP($A33,'Data Vlaue (Cr)'!$C:$FB,8)</f>
        <v>9912.5</v>
      </c>
      <c r="D33" s="75">
        <f>VLOOKUP($A33,'Data Vlaue (Cr)'!$C:$FB,4)</f>
        <v>9933</v>
      </c>
      <c r="E33" s="75">
        <f>VLOOKUP($A33,'Data Vlaue (Cr)'!$C:$FB,5)</f>
        <v>10025</v>
      </c>
      <c r="F33" s="75">
        <f t="shared" si="0"/>
        <v>20.5</v>
      </c>
      <c r="G33" s="75">
        <f t="shared" si="1"/>
        <v>-0.92620557736836817</v>
      </c>
      <c r="H33" s="75">
        <f>VLOOKUP($A33,'Data Vlaue (Cr)'!$C:$FB,99)</f>
        <v>366</v>
      </c>
      <c r="I33" s="75">
        <f>VLOOKUP($A33,'Data Vlaue (Cr)'!$C:$FB,100)</f>
        <v>353</v>
      </c>
      <c r="J33" s="75">
        <f t="shared" si="2"/>
        <v>13</v>
      </c>
      <c r="K33" s="75">
        <f t="shared" si="3"/>
        <v>3.5519125683060109</v>
      </c>
      <c r="L33" s="75">
        <f>VLOOKUP($A33,'Data Vlaue (Cr)'!$C:$FB,67)</f>
        <v>73</v>
      </c>
      <c r="M33" s="75">
        <f>VLOOKUP($A33,'Data Vlaue (Cr)'!$C:$FB,68)</f>
        <v>154</v>
      </c>
      <c r="N33" s="75">
        <f t="shared" si="4"/>
        <v>-81</v>
      </c>
      <c r="O33" s="75">
        <f t="shared" si="5"/>
        <v>-110.95890410958904</v>
      </c>
      <c r="P33" s="75">
        <f>VLOOKUP($A33,'Data Vlaue (Cr)'!$C:$FB,119)</f>
        <v>0.67</v>
      </c>
      <c r="Q33" s="75">
        <f>VLOOKUP($A33,'Data Vlaue (Cr)'!$C:$FB,122)*100</f>
        <v>0</v>
      </c>
      <c r="R33" s="75">
        <f>VLOOKUP($A33,'Data Vlaue (Cr)'!$C:$FB,125)</f>
        <v>0.45</v>
      </c>
      <c r="S33" s="75">
        <f>VLOOKUP($A33,'Data Vlaue (Cr)'!$C:$FB,128)*100</f>
        <v>73.08</v>
      </c>
    </row>
    <row r="34" spans="1:19" x14ac:dyDescent="0.25">
      <c r="A34" s="96" t="str">
        <f>'Data Vlaue (Cr)'!C25</f>
        <v>BAJFINANCE</v>
      </c>
      <c r="B34" s="75">
        <f>VLOOKUP($A34,'Data Vlaue (Cr)'!$C:$FB,2)</f>
        <v>750</v>
      </c>
      <c r="C34" s="75">
        <f>VLOOKUP($A34,'Data Vlaue (Cr)'!$C:$FB,8)</f>
        <v>903.25</v>
      </c>
      <c r="D34" s="75">
        <f>VLOOKUP($A34,'Data Vlaue (Cr)'!$C:$FB,4)</f>
        <v>904.25</v>
      </c>
      <c r="E34" s="75">
        <f>VLOOKUP($A34,'Data Vlaue (Cr)'!$C:$FB,5)</f>
        <v>916.6</v>
      </c>
      <c r="F34" s="75">
        <f t="shared" si="0"/>
        <v>1</v>
      </c>
      <c r="G34" s="75">
        <f t="shared" si="1"/>
        <v>-1.3657727398396486</v>
      </c>
      <c r="H34" s="180">
        <f>VLOOKUP($A34,'Data Vlaue (Cr)'!$C:$FB,99)</f>
        <v>9458</v>
      </c>
      <c r="I34" s="180">
        <f>VLOOKUP($A34,'Data Vlaue (Cr)'!$C:$FB,100)</f>
        <v>9252</v>
      </c>
      <c r="J34" s="180">
        <f t="shared" si="2"/>
        <v>206</v>
      </c>
      <c r="K34" s="180">
        <f t="shared" si="3"/>
        <v>2.1780503277648555</v>
      </c>
      <c r="L34" s="180">
        <f>VLOOKUP($A34,'Data Vlaue (Cr)'!$C:$FB,67)</f>
        <v>3328</v>
      </c>
      <c r="M34" s="180">
        <f>VLOOKUP($A34,'Data Vlaue (Cr)'!$C:$FB,68)</f>
        <v>6699</v>
      </c>
      <c r="N34" s="180">
        <f t="shared" si="4"/>
        <v>-3371</v>
      </c>
      <c r="O34" s="180">
        <f t="shared" si="5"/>
        <v>-101.29206730769231</v>
      </c>
      <c r="P34" s="180">
        <f>VLOOKUP($A34,'Data Vlaue (Cr)'!$C:$FB,119)</f>
        <v>0.83</v>
      </c>
      <c r="Q34" s="180">
        <f>VLOOKUP($A34,'Data Vlaue (Cr)'!$C:$FB,122)*100</f>
        <v>1.22</v>
      </c>
      <c r="R34" s="180">
        <f>VLOOKUP($A34,'Data Vlaue (Cr)'!$C:$FB,125)</f>
        <v>0.9</v>
      </c>
      <c r="S34" s="180">
        <f>VLOOKUP($A34,'Data Vlaue (Cr)'!$C:$FB,128)*100</f>
        <v>38.46</v>
      </c>
    </row>
    <row r="35" spans="1:19" x14ac:dyDescent="0.25">
      <c r="A35" s="96" t="str">
        <f>'Data Vlaue (Cr)'!C26</f>
        <v>BANDHANBNK</v>
      </c>
      <c r="B35" s="75">
        <f>VLOOKUP($A35,'Data Vlaue (Cr)'!$C:$FB,2)</f>
        <v>3600</v>
      </c>
      <c r="C35" s="75">
        <f>VLOOKUP($A35,'Data Vlaue (Cr)'!$C:$FB,8)</f>
        <v>165.94</v>
      </c>
      <c r="D35" s="75">
        <f>VLOOKUP($A35,'Data Vlaue (Cr)'!$C:$FB,4)</f>
        <v>166.35</v>
      </c>
      <c r="E35" s="75">
        <f>VLOOKUP($A35,'Data Vlaue (Cr)'!$C:$FB,5)</f>
        <v>165.47</v>
      </c>
      <c r="F35" s="75">
        <f t="shared" si="0"/>
        <v>0.40999999999999659</v>
      </c>
      <c r="G35" s="75">
        <f t="shared" si="1"/>
        <v>0.52900510970844328</v>
      </c>
      <c r="H35" s="75">
        <f>VLOOKUP($A35,'Data Vlaue (Cr)'!$C:$FB,99)</f>
        <v>2186</v>
      </c>
      <c r="I35" s="75">
        <f>VLOOKUP($A35,'Data Vlaue (Cr)'!$C:$FB,100)</f>
        <v>2140</v>
      </c>
      <c r="J35" s="75">
        <f t="shared" si="2"/>
        <v>46</v>
      </c>
      <c r="K35" s="75">
        <f t="shared" si="3"/>
        <v>2.1043000914913081</v>
      </c>
      <c r="L35" s="75">
        <f>VLOOKUP($A35,'Data Vlaue (Cr)'!$C:$FB,67)</f>
        <v>883</v>
      </c>
      <c r="M35" s="75">
        <f>VLOOKUP($A35,'Data Vlaue (Cr)'!$C:$FB,68)</f>
        <v>1768</v>
      </c>
      <c r="N35" s="75">
        <f t="shared" si="4"/>
        <v>-885</v>
      </c>
      <c r="O35" s="75">
        <f t="shared" si="5"/>
        <v>-100.22650056625142</v>
      </c>
      <c r="P35" s="75">
        <f>VLOOKUP($A35,'Data Vlaue (Cr)'!$C:$FB,119)</f>
        <v>0.76</v>
      </c>
      <c r="Q35" s="75">
        <f>VLOOKUP($A35,'Data Vlaue (Cr)'!$C:$FB,122)*100</f>
        <v>0</v>
      </c>
      <c r="R35" s="75">
        <f>VLOOKUP($A35,'Data Vlaue (Cr)'!$C:$FB,125)</f>
        <v>0.64</v>
      </c>
      <c r="S35" s="75">
        <f>VLOOKUP($A35,'Data Vlaue (Cr)'!$C:$FB,128)*100</f>
        <v>-1.54</v>
      </c>
    </row>
    <row r="36" spans="1:19" x14ac:dyDescent="0.25">
      <c r="A36" s="96" t="str">
        <f>'Data Vlaue (Cr)'!C27</f>
        <v>BANKBARODA</v>
      </c>
      <c r="B36" s="75">
        <f>VLOOKUP($A36,'Data Vlaue (Cr)'!$C:$FB,2)</f>
        <v>2925</v>
      </c>
      <c r="C36" s="75">
        <f>VLOOKUP($A36,'Data Vlaue (Cr)'!$C:$FB,8)</f>
        <v>274.24</v>
      </c>
      <c r="D36" s="75">
        <f>VLOOKUP($A36,'Data Vlaue (Cr)'!$C:$FB,4)</f>
        <v>274.48</v>
      </c>
      <c r="E36" s="75">
        <f>VLOOKUP($A36,'Data Vlaue (Cr)'!$C:$FB,5)</f>
        <v>277.18</v>
      </c>
      <c r="F36" s="75">
        <f t="shared" si="0"/>
        <v>0.24000000000000909</v>
      </c>
      <c r="G36" s="75">
        <f t="shared" si="1"/>
        <v>-0.98367822792188453</v>
      </c>
      <c r="H36" s="75">
        <f>VLOOKUP($A36,'Data Vlaue (Cr)'!$C:$FB,99)</f>
        <v>4817</v>
      </c>
      <c r="I36" s="75">
        <f>VLOOKUP($A36,'Data Vlaue (Cr)'!$C:$FB,100)</f>
        <v>4681</v>
      </c>
      <c r="J36" s="75">
        <f t="shared" si="2"/>
        <v>136</v>
      </c>
      <c r="K36" s="75">
        <f t="shared" si="3"/>
        <v>2.8233340253269668</v>
      </c>
      <c r="L36" s="75">
        <f>VLOOKUP($A36,'Data Vlaue (Cr)'!$C:$FB,67)</f>
        <v>2192</v>
      </c>
      <c r="M36" s="75">
        <f>VLOOKUP($A36,'Data Vlaue (Cr)'!$C:$FB,68)</f>
        <v>3488</v>
      </c>
      <c r="N36" s="75">
        <f t="shared" si="4"/>
        <v>-1296</v>
      </c>
      <c r="O36" s="75">
        <f t="shared" si="5"/>
        <v>-59.12408759124088</v>
      </c>
      <c r="P36" s="75">
        <f>VLOOKUP($A36,'Data Vlaue (Cr)'!$C:$FB,119)</f>
        <v>0.93</v>
      </c>
      <c r="Q36" s="75">
        <f>VLOOKUP($A36,'Data Vlaue (Cr)'!$C:$FB,122)*100</f>
        <v>-4.12</v>
      </c>
      <c r="R36" s="75">
        <f>VLOOKUP($A36,'Data Vlaue (Cr)'!$C:$FB,125)</f>
        <v>0.7</v>
      </c>
      <c r="S36" s="75">
        <f>VLOOKUP($A36,'Data Vlaue (Cr)'!$C:$FB,128)*100</f>
        <v>-4.1099999999999994</v>
      </c>
    </row>
    <row r="37" spans="1:19" x14ac:dyDescent="0.25">
      <c r="A37" s="96" t="str">
        <f>'Data Vlaue (Cr)'!C28</f>
        <v>BANKINDIA</v>
      </c>
      <c r="B37" s="75">
        <f>VLOOKUP($A37,'Data Vlaue (Cr)'!$C:$FB,2)</f>
        <v>5200</v>
      </c>
      <c r="C37" s="75">
        <f>VLOOKUP($A37,'Data Vlaue (Cr)'!$C:$FB,8)</f>
        <v>144.29</v>
      </c>
      <c r="D37" s="75">
        <f>VLOOKUP($A37,'Data Vlaue (Cr)'!$C:$FB,4)</f>
        <v>144.79</v>
      </c>
      <c r="E37" s="75">
        <f>VLOOKUP($A37,'Data Vlaue (Cr)'!$C:$FB,5)</f>
        <v>147.02000000000001</v>
      </c>
      <c r="F37" s="75">
        <f t="shared" si="0"/>
        <v>0.5</v>
      </c>
      <c r="G37" s="75">
        <f t="shared" si="1"/>
        <v>-1.5401616133711018</v>
      </c>
      <c r="H37" s="75">
        <f>VLOOKUP($A37,'Data Vlaue (Cr)'!$C:$FB,99)</f>
        <v>1397</v>
      </c>
      <c r="I37" s="75">
        <f>VLOOKUP($A37,'Data Vlaue (Cr)'!$C:$FB,100)</f>
        <v>1294</v>
      </c>
      <c r="J37" s="75">
        <f t="shared" si="2"/>
        <v>103</v>
      </c>
      <c r="K37" s="75">
        <f t="shared" si="3"/>
        <v>7.3729420186113099</v>
      </c>
      <c r="L37" s="75">
        <f>VLOOKUP($A37,'Data Vlaue (Cr)'!$C:$FB,67)</f>
        <v>648</v>
      </c>
      <c r="M37" s="75">
        <f>VLOOKUP($A37,'Data Vlaue (Cr)'!$C:$FB,68)</f>
        <v>1027</v>
      </c>
      <c r="N37" s="75">
        <f t="shared" si="4"/>
        <v>-379</v>
      </c>
      <c r="O37" s="75">
        <f t="shared" si="5"/>
        <v>-58.487654320987659</v>
      </c>
      <c r="P37" s="75">
        <f>VLOOKUP($A37,'Data Vlaue (Cr)'!$C:$FB,119)</f>
        <v>1.19</v>
      </c>
      <c r="Q37" s="75">
        <f>VLOOKUP($A37,'Data Vlaue (Cr)'!$C:$FB,122)*100</f>
        <v>14.42</v>
      </c>
      <c r="R37" s="75">
        <f>VLOOKUP($A37,'Data Vlaue (Cr)'!$C:$FB,125)</f>
        <v>0.75</v>
      </c>
      <c r="S37" s="75">
        <f>VLOOKUP($A37,'Data Vlaue (Cr)'!$C:$FB,128)*100</f>
        <v>41.510000000000005</v>
      </c>
    </row>
    <row r="38" spans="1:19" x14ac:dyDescent="0.25">
      <c r="A38" s="96" t="str">
        <f>'Data Vlaue (Cr)'!C29</f>
        <v>BANKNIFTY</v>
      </c>
      <c r="B38" s="75">
        <f>VLOOKUP($A38,'Data Vlaue (Cr)'!$C:$FB,2)</f>
        <v>30</v>
      </c>
      <c r="C38" s="75">
        <f>VLOOKUP($A38,'Data Vlaue (Cr)'!$C:$FB,8)</f>
        <v>54821.7</v>
      </c>
      <c r="D38" s="75">
        <f>VLOOKUP($A38,'Data Vlaue (Cr)'!$C:$FB,4)</f>
        <v>55080</v>
      </c>
      <c r="E38" s="75">
        <f>VLOOKUP($A38,'Data Vlaue (Cr)'!$C:$FB,5)</f>
        <v>55928</v>
      </c>
      <c r="F38" s="75">
        <f t="shared" si="0"/>
        <v>258.30000000000291</v>
      </c>
      <c r="G38" s="75">
        <f t="shared" si="1"/>
        <v>-1.5395787944807553</v>
      </c>
      <c r="H38" s="75">
        <f>VLOOKUP($A38,'Data Vlaue (Cr)'!$C:$FB,99)</f>
        <v>178189</v>
      </c>
      <c r="I38" s="75">
        <f>VLOOKUP($A38,'Data Vlaue (Cr)'!$C:$FB,100)</f>
        <v>170309</v>
      </c>
      <c r="J38" s="75">
        <f t="shared" si="2"/>
        <v>7880</v>
      </c>
      <c r="K38" s="75">
        <f t="shared" si="3"/>
        <v>4.422270735006089</v>
      </c>
      <c r="L38" s="75">
        <f>VLOOKUP($A38,'Data Vlaue (Cr)'!$C:$FB,67)</f>
        <v>361870</v>
      </c>
      <c r="M38" s="75">
        <f>VLOOKUP($A38,'Data Vlaue (Cr)'!$C:$FB,68)</f>
        <v>483952</v>
      </c>
      <c r="N38" s="75">
        <f t="shared" si="4"/>
        <v>-122082</v>
      </c>
      <c r="O38" s="75">
        <f t="shared" si="5"/>
        <v>-33.736424682897173</v>
      </c>
      <c r="P38" s="75">
        <f>VLOOKUP($A38,'Data Vlaue (Cr)'!$C:$FB,119)</f>
        <v>0.77</v>
      </c>
      <c r="Q38" s="75">
        <f>VLOOKUP($A38,'Data Vlaue (Cr)'!$C:$FB,122)*100</f>
        <v>-3.75</v>
      </c>
      <c r="R38" s="75">
        <f>VLOOKUP($A38,'Data Vlaue (Cr)'!$C:$FB,125)</f>
        <v>0.86</v>
      </c>
      <c r="S38" s="75">
        <f>VLOOKUP($A38,'Data Vlaue (Cr)'!$C:$FB,128)*100</f>
        <v>26.47</v>
      </c>
    </row>
    <row r="39" spans="1:19" x14ac:dyDescent="0.25">
      <c r="A39" s="96" t="str">
        <f>'Data Vlaue (Cr)'!C30</f>
        <v>BDL</v>
      </c>
      <c r="B39" s="75">
        <f>VLOOKUP($A39,'Data Vlaue (Cr)'!$C:$FB,2)</f>
        <v>350</v>
      </c>
      <c r="C39" s="75">
        <f>VLOOKUP($A39,'Data Vlaue (Cr)'!$C:$FB,8)</f>
        <v>1325.5</v>
      </c>
      <c r="D39" s="75">
        <f>VLOOKUP($A39,'Data Vlaue (Cr)'!$C:$FB,4)</f>
        <v>1326.5</v>
      </c>
      <c r="E39" s="75">
        <f>VLOOKUP($A39,'Data Vlaue (Cr)'!$C:$FB,5)</f>
        <v>1289.7</v>
      </c>
      <c r="F39" s="75">
        <f t="shared" si="0"/>
        <v>1</v>
      </c>
      <c r="G39" s="75">
        <f t="shared" si="1"/>
        <v>2.7742178665661479</v>
      </c>
      <c r="H39" s="75">
        <f>VLOOKUP($A39,'Data Vlaue (Cr)'!$C:$FB,99)</f>
        <v>1154</v>
      </c>
      <c r="I39" s="75">
        <f>VLOOKUP($A39,'Data Vlaue (Cr)'!$C:$FB,100)</f>
        <v>1123</v>
      </c>
      <c r="J39" s="75">
        <f t="shared" si="2"/>
        <v>31</v>
      </c>
      <c r="K39" s="75">
        <f t="shared" si="3"/>
        <v>2.6863084922010398</v>
      </c>
      <c r="L39" s="75">
        <f>VLOOKUP($A39,'Data Vlaue (Cr)'!$C:$FB,67)</f>
        <v>1791</v>
      </c>
      <c r="M39" s="75">
        <f>VLOOKUP($A39,'Data Vlaue (Cr)'!$C:$FB,68)</f>
        <v>1412</v>
      </c>
      <c r="N39" s="75">
        <f t="shared" si="4"/>
        <v>379</v>
      </c>
      <c r="O39" s="75">
        <f t="shared" si="5"/>
        <v>21.16136236739252</v>
      </c>
      <c r="P39" s="75">
        <f>VLOOKUP($A39,'Data Vlaue (Cr)'!$C:$FB,119)</f>
        <v>0.84</v>
      </c>
      <c r="Q39" s="75">
        <f>VLOOKUP($A39,'Data Vlaue (Cr)'!$C:$FB,122)*100</f>
        <v>9.09</v>
      </c>
      <c r="R39" s="75">
        <f>VLOOKUP($A39,'Data Vlaue (Cr)'!$C:$FB,125)</f>
        <v>0.64</v>
      </c>
      <c r="S39" s="75">
        <f>VLOOKUP($A39,'Data Vlaue (Cr)'!$C:$FB,128)*100</f>
        <v>-31.91</v>
      </c>
    </row>
    <row r="40" spans="1:19" x14ac:dyDescent="0.25">
      <c r="A40" s="96" t="str">
        <f>'Data Vlaue (Cr)'!C31</f>
        <v>BEL</v>
      </c>
      <c r="B40" s="75">
        <f>VLOOKUP($A40,'Data Vlaue (Cr)'!$C:$FB,2)</f>
        <v>1425</v>
      </c>
      <c r="C40" s="75">
        <f>VLOOKUP($A40,'Data Vlaue (Cr)'!$C:$FB,8)</f>
        <v>439.75</v>
      </c>
      <c r="D40" s="75">
        <f>VLOOKUP($A40,'Data Vlaue (Cr)'!$C:$FB,4)</f>
        <v>441.85</v>
      </c>
      <c r="E40" s="75">
        <f>VLOOKUP($A40,'Data Vlaue (Cr)'!$C:$FB,5)</f>
        <v>435.1</v>
      </c>
      <c r="F40" s="75">
        <f t="shared" si="0"/>
        <v>2.1000000000000227</v>
      </c>
      <c r="G40" s="75">
        <f t="shared" si="1"/>
        <v>1.5276677605522235</v>
      </c>
      <c r="H40" s="75">
        <f>VLOOKUP($A40,'Data Vlaue (Cr)'!$C:$FB,99)</f>
        <v>7401</v>
      </c>
      <c r="I40" s="75">
        <f>VLOOKUP($A40,'Data Vlaue (Cr)'!$C:$FB,100)</f>
        <v>7281</v>
      </c>
      <c r="J40" s="75">
        <f t="shared" si="2"/>
        <v>120</v>
      </c>
      <c r="K40" s="75">
        <f t="shared" si="3"/>
        <v>1.6214025131738954</v>
      </c>
      <c r="L40" s="75">
        <f>VLOOKUP($A40,'Data Vlaue (Cr)'!$C:$FB,67)</f>
        <v>5944</v>
      </c>
      <c r="M40" s="75">
        <f>VLOOKUP($A40,'Data Vlaue (Cr)'!$C:$FB,68)</f>
        <v>4976</v>
      </c>
      <c r="N40" s="75">
        <f t="shared" si="4"/>
        <v>968</v>
      </c>
      <c r="O40" s="75">
        <f t="shared" si="5"/>
        <v>16.285329744279949</v>
      </c>
      <c r="P40" s="75">
        <f>VLOOKUP($A40,'Data Vlaue (Cr)'!$C:$FB,119)</f>
        <v>0.66</v>
      </c>
      <c r="Q40" s="75">
        <f>VLOOKUP($A40,'Data Vlaue (Cr)'!$C:$FB,122)*100</f>
        <v>8.2000000000000011</v>
      </c>
      <c r="R40" s="75">
        <f>VLOOKUP($A40,'Data Vlaue (Cr)'!$C:$FB,125)</f>
        <v>0.4</v>
      </c>
      <c r="S40" s="75">
        <f>VLOOKUP($A40,'Data Vlaue (Cr)'!$C:$FB,128)*100</f>
        <v>-18.37</v>
      </c>
    </row>
    <row r="41" spans="1:19" x14ac:dyDescent="0.25">
      <c r="A41" s="96" t="str">
        <f>'Data Vlaue (Cr)'!C32</f>
        <v>BHARATFORG</v>
      </c>
      <c r="B41" s="75">
        <f>VLOOKUP($A41,'Data Vlaue (Cr)'!$C:$FB,2)</f>
        <v>500</v>
      </c>
      <c r="C41" s="75">
        <f>VLOOKUP($A41,'Data Vlaue (Cr)'!$C:$FB,8)</f>
        <v>1739.4</v>
      </c>
      <c r="D41" s="75">
        <f>VLOOKUP($A41,'Data Vlaue (Cr)'!$C:$FB,4)</f>
        <v>1748.2</v>
      </c>
      <c r="E41" s="75">
        <f>VLOOKUP($A41,'Data Vlaue (Cr)'!$C:$FB,5)</f>
        <v>1790.4</v>
      </c>
      <c r="F41" s="75">
        <f t="shared" si="0"/>
        <v>8.7999999999999545</v>
      </c>
      <c r="G41" s="75">
        <f t="shared" si="1"/>
        <v>-2.4139114517789753</v>
      </c>
      <c r="H41" s="75">
        <f>VLOOKUP($A41,'Data Vlaue (Cr)'!$C:$FB,99)</f>
        <v>2233</v>
      </c>
      <c r="I41" s="75">
        <f>VLOOKUP($A41,'Data Vlaue (Cr)'!$C:$FB,100)</f>
        <v>2159</v>
      </c>
      <c r="J41" s="75">
        <f t="shared" si="2"/>
        <v>74</v>
      </c>
      <c r="K41" s="75">
        <f t="shared" si="3"/>
        <v>3.3139274518584867</v>
      </c>
      <c r="L41" s="75">
        <f>VLOOKUP($A41,'Data Vlaue (Cr)'!$C:$FB,67)</f>
        <v>1302</v>
      </c>
      <c r="M41" s="75">
        <f>VLOOKUP($A41,'Data Vlaue (Cr)'!$C:$FB,68)</f>
        <v>2092</v>
      </c>
      <c r="N41" s="75">
        <f t="shared" si="4"/>
        <v>-790</v>
      </c>
      <c r="O41" s="75">
        <f t="shared" si="5"/>
        <v>-60.675883256528415</v>
      </c>
      <c r="P41" s="75">
        <f>VLOOKUP($A41,'Data Vlaue (Cr)'!$C:$FB,119)</f>
        <v>0.54</v>
      </c>
      <c r="Q41" s="75">
        <f>VLOOKUP($A41,'Data Vlaue (Cr)'!$C:$FB,122)*100</f>
        <v>-8.4699999999999989</v>
      </c>
      <c r="R41" s="75">
        <f>VLOOKUP($A41,'Data Vlaue (Cr)'!$C:$FB,125)</f>
        <v>0.56999999999999995</v>
      </c>
      <c r="S41" s="75">
        <f>VLOOKUP($A41,'Data Vlaue (Cr)'!$C:$FB,128)*100</f>
        <v>29.549999999999997</v>
      </c>
    </row>
    <row r="42" spans="1:19" x14ac:dyDescent="0.25">
      <c r="A42" s="96" t="str">
        <f>'Data Vlaue (Cr)'!C33</f>
        <v>BHARTIARTL</v>
      </c>
      <c r="B42" s="75">
        <f>VLOOKUP($A42,'Data Vlaue (Cr)'!$C:$FB,2)</f>
        <v>475</v>
      </c>
      <c r="C42" s="75">
        <f>VLOOKUP($A42,'Data Vlaue (Cr)'!$C:$FB,8)</f>
        <v>1859.4</v>
      </c>
      <c r="D42" s="75">
        <f>VLOOKUP($A42,'Data Vlaue (Cr)'!$C:$FB,4)</f>
        <v>1866.1</v>
      </c>
      <c r="E42" s="75">
        <f>VLOOKUP($A42,'Data Vlaue (Cr)'!$C:$FB,5)</f>
        <v>1865.5</v>
      </c>
      <c r="F42" s="75">
        <f t="shared" si="0"/>
        <v>6.6999999999998181</v>
      </c>
      <c r="G42" s="75">
        <f t="shared" si="1"/>
        <v>3.2152617758957669E-2</v>
      </c>
      <c r="H42" s="75">
        <f>VLOOKUP($A42,'Data Vlaue (Cr)'!$C:$FB,99)</f>
        <v>14081</v>
      </c>
      <c r="I42" s="75">
        <f>VLOOKUP($A42,'Data Vlaue (Cr)'!$C:$FB,100)</f>
        <v>14056</v>
      </c>
      <c r="J42" s="75">
        <f t="shared" si="2"/>
        <v>25</v>
      </c>
      <c r="K42" s="75">
        <f t="shared" si="3"/>
        <v>0.17754420850791847</v>
      </c>
      <c r="L42" s="75">
        <f>VLOOKUP($A42,'Data Vlaue (Cr)'!$C:$FB,67)</f>
        <v>3923</v>
      </c>
      <c r="M42" s="75">
        <f>VLOOKUP($A42,'Data Vlaue (Cr)'!$C:$FB,68)</f>
        <v>7713</v>
      </c>
      <c r="N42" s="75">
        <f t="shared" si="4"/>
        <v>-3790</v>
      </c>
      <c r="O42" s="75">
        <f t="shared" si="5"/>
        <v>-96.609737445832266</v>
      </c>
      <c r="P42" s="75">
        <f>VLOOKUP($A42,'Data Vlaue (Cr)'!$C:$FB,119)</f>
        <v>0.88</v>
      </c>
      <c r="Q42" s="75">
        <f>VLOOKUP($A42,'Data Vlaue (Cr)'!$C:$FB,122)*100</f>
        <v>1.1499999999999999</v>
      </c>
      <c r="R42" s="75">
        <f>VLOOKUP($A42,'Data Vlaue (Cr)'!$C:$FB,125)</f>
        <v>0.56999999999999995</v>
      </c>
      <c r="S42" s="75">
        <f>VLOOKUP($A42,'Data Vlaue (Cr)'!$C:$FB,128)*100</f>
        <v>39.019999999999996</v>
      </c>
    </row>
    <row r="43" spans="1:19" x14ac:dyDescent="0.25">
      <c r="A43" s="96" t="str">
        <f>'Data Vlaue (Cr)'!C34</f>
        <v>BHEL</v>
      </c>
      <c r="B43" s="75">
        <f>VLOOKUP($A43,'Data Vlaue (Cr)'!$C:$FB,2)</f>
        <v>2625</v>
      </c>
      <c r="C43" s="75">
        <f>VLOOKUP($A43,'Data Vlaue (Cr)'!$C:$FB,8)</f>
        <v>277.2</v>
      </c>
      <c r="D43" s="75">
        <f>VLOOKUP($A43,'Data Vlaue (Cr)'!$C:$FB,4)</f>
        <v>277.77</v>
      </c>
      <c r="E43" s="75">
        <f>VLOOKUP($A43,'Data Vlaue (Cr)'!$C:$FB,5)</f>
        <v>267.24</v>
      </c>
      <c r="F43" s="75">
        <f t="shared" si="0"/>
        <v>0.56999999999999318</v>
      </c>
      <c r="G43" s="75">
        <f t="shared" si="1"/>
        <v>3.7909061453720612</v>
      </c>
      <c r="H43" s="75">
        <f>VLOOKUP($A43,'Data Vlaue (Cr)'!$C:$FB,99)</f>
        <v>4313</v>
      </c>
      <c r="I43" s="75">
        <f>VLOOKUP($A43,'Data Vlaue (Cr)'!$C:$FB,100)</f>
        <v>4203</v>
      </c>
      <c r="J43" s="75">
        <f t="shared" si="2"/>
        <v>110</v>
      </c>
      <c r="K43" s="75">
        <f t="shared" si="3"/>
        <v>2.5504289357755625</v>
      </c>
      <c r="L43" s="75">
        <f>VLOOKUP($A43,'Data Vlaue (Cr)'!$C:$FB,67)</f>
        <v>6121</v>
      </c>
      <c r="M43" s="75">
        <f>VLOOKUP($A43,'Data Vlaue (Cr)'!$C:$FB,68)</f>
        <v>2736</v>
      </c>
      <c r="N43" s="75">
        <f t="shared" si="4"/>
        <v>3385</v>
      </c>
      <c r="O43" s="75">
        <f t="shared" si="5"/>
        <v>55.301421336382937</v>
      </c>
      <c r="P43" s="75">
        <f>VLOOKUP($A43,'Data Vlaue (Cr)'!$C:$FB,119)</f>
        <v>0.81</v>
      </c>
      <c r="Q43" s="75">
        <f>VLOOKUP($A43,'Data Vlaue (Cr)'!$C:$FB,122)*100</f>
        <v>0</v>
      </c>
      <c r="R43" s="75">
        <f>VLOOKUP($A43,'Data Vlaue (Cr)'!$C:$FB,125)</f>
        <v>0.42</v>
      </c>
      <c r="S43" s="75">
        <f>VLOOKUP($A43,'Data Vlaue (Cr)'!$C:$FB,128)*100</f>
        <v>-20.75</v>
      </c>
    </row>
    <row r="44" spans="1:19" x14ac:dyDescent="0.25">
      <c r="A44" s="96" t="str">
        <f>'Data Vlaue (Cr)'!C35</f>
        <v>BIOCON</v>
      </c>
      <c r="B44" s="75">
        <f>VLOOKUP($A44,'Data Vlaue (Cr)'!$C:$FB,2)</f>
        <v>2500</v>
      </c>
      <c r="C44" s="75">
        <f>VLOOKUP($A44,'Data Vlaue (Cr)'!$C:$FB,8)</f>
        <v>345.7</v>
      </c>
      <c r="D44" s="75">
        <f>VLOOKUP($A44,'Data Vlaue (Cr)'!$C:$FB,4)</f>
        <v>346.8</v>
      </c>
      <c r="E44" s="75">
        <f>VLOOKUP($A44,'Data Vlaue (Cr)'!$C:$FB,5)</f>
        <v>351.4</v>
      </c>
      <c r="F44" s="75">
        <f t="shared" si="0"/>
        <v>1.1000000000000227</v>
      </c>
      <c r="G44" s="75">
        <f t="shared" si="1"/>
        <v>-1.3264129181084101</v>
      </c>
      <c r="H44" s="75">
        <f>VLOOKUP($A44,'Data Vlaue (Cr)'!$C:$FB,99)</f>
        <v>2507</v>
      </c>
      <c r="I44" s="75">
        <f>VLOOKUP($A44,'Data Vlaue (Cr)'!$C:$FB,100)</f>
        <v>2385</v>
      </c>
      <c r="J44" s="75">
        <f t="shared" si="2"/>
        <v>122</v>
      </c>
      <c r="K44" s="75">
        <f t="shared" si="3"/>
        <v>4.8663741523733544</v>
      </c>
      <c r="L44" s="75">
        <f>VLOOKUP($A44,'Data Vlaue (Cr)'!$C:$FB,67)</f>
        <v>885</v>
      </c>
      <c r="M44" s="75">
        <f>VLOOKUP($A44,'Data Vlaue (Cr)'!$C:$FB,68)</f>
        <v>2134</v>
      </c>
      <c r="N44" s="75">
        <f t="shared" si="4"/>
        <v>-1249</v>
      </c>
      <c r="O44" s="75">
        <f t="shared" si="5"/>
        <v>-141.12994350282486</v>
      </c>
      <c r="P44" s="75">
        <f>VLOOKUP($A44,'Data Vlaue (Cr)'!$C:$FB,119)</f>
        <v>0.7</v>
      </c>
      <c r="Q44" s="75">
        <f>VLOOKUP($A44,'Data Vlaue (Cr)'!$C:$FB,122)*100</f>
        <v>-5.41</v>
      </c>
      <c r="R44" s="75">
        <f>VLOOKUP($A44,'Data Vlaue (Cr)'!$C:$FB,125)</f>
        <v>0.4</v>
      </c>
      <c r="S44" s="75">
        <f>VLOOKUP($A44,'Data Vlaue (Cr)'!$C:$FB,128)*100</f>
        <v>-27.27</v>
      </c>
    </row>
    <row r="45" spans="1:19" x14ac:dyDescent="0.25">
      <c r="A45" s="96" t="str">
        <f>'Data Vlaue (Cr)'!C36</f>
        <v>BLUESTARCO</v>
      </c>
      <c r="B45" s="75">
        <f>VLOOKUP($A45,'Data Vlaue (Cr)'!$C:$FB,2)</f>
        <v>325</v>
      </c>
      <c r="C45" s="75">
        <f>VLOOKUP($A45,'Data Vlaue (Cr)'!$C:$FB,8)</f>
        <v>1655.6</v>
      </c>
      <c r="D45" s="75">
        <f>VLOOKUP($A45,'Data Vlaue (Cr)'!$C:$FB,4)</f>
        <v>1648.9</v>
      </c>
      <c r="E45" s="75">
        <f>VLOOKUP($A45,'Data Vlaue (Cr)'!$C:$FB,5)</f>
        <v>1622</v>
      </c>
      <c r="F45" s="75">
        <f t="shared" si="0"/>
        <v>-6.6999999999998181</v>
      </c>
      <c r="G45" s="75">
        <f t="shared" si="1"/>
        <v>1.6313906240524041</v>
      </c>
      <c r="H45" s="75">
        <f>VLOOKUP($A45,'Data Vlaue (Cr)'!$C:$FB,99)</f>
        <v>746</v>
      </c>
      <c r="I45" s="75">
        <f>VLOOKUP($A45,'Data Vlaue (Cr)'!$C:$FB,100)</f>
        <v>708</v>
      </c>
      <c r="J45" s="75">
        <f t="shared" si="2"/>
        <v>38</v>
      </c>
      <c r="K45" s="75">
        <f t="shared" si="3"/>
        <v>5.0938337801608577</v>
      </c>
      <c r="L45" s="75">
        <f>VLOOKUP($A45,'Data Vlaue (Cr)'!$C:$FB,67)</f>
        <v>627</v>
      </c>
      <c r="M45" s="75">
        <f>VLOOKUP($A45,'Data Vlaue (Cr)'!$C:$FB,68)</f>
        <v>798</v>
      </c>
      <c r="N45" s="75">
        <f t="shared" si="4"/>
        <v>-171</v>
      </c>
      <c r="O45" s="75">
        <f t="shared" si="5"/>
        <v>-27.27272727272727</v>
      </c>
      <c r="P45" s="75">
        <f>VLOOKUP($A45,'Data Vlaue (Cr)'!$C:$FB,119)</f>
        <v>0.59</v>
      </c>
      <c r="Q45" s="75">
        <f>VLOOKUP($A45,'Data Vlaue (Cr)'!$C:$FB,122)*100</f>
        <v>7.2700000000000005</v>
      </c>
      <c r="R45" s="75">
        <f>VLOOKUP($A45,'Data Vlaue (Cr)'!$C:$FB,125)</f>
        <v>0.35</v>
      </c>
      <c r="S45" s="75">
        <f>VLOOKUP($A45,'Data Vlaue (Cr)'!$C:$FB,128)*100</f>
        <v>-49.28</v>
      </c>
    </row>
    <row r="46" spans="1:19" x14ac:dyDescent="0.25">
      <c r="A46" s="96" t="str">
        <f>'Data Vlaue (Cr)'!C37</f>
        <v>BOSCHLTD</v>
      </c>
      <c r="B46" s="75">
        <f>VLOOKUP($A46,'Data Vlaue (Cr)'!$C:$FB,2)</f>
        <v>25</v>
      </c>
      <c r="C46" s="75">
        <f>VLOOKUP($A46,'Data Vlaue (Cr)'!$C:$FB,8)</f>
        <v>36770</v>
      </c>
      <c r="D46" s="75">
        <f>VLOOKUP($A46,'Data Vlaue (Cr)'!$C:$FB,4)</f>
        <v>36840</v>
      </c>
      <c r="E46" s="75">
        <f>VLOOKUP($A46,'Data Vlaue (Cr)'!$C:$FB,5)</f>
        <v>36125</v>
      </c>
      <c r="F46" s="75">
        <f t="shared" si="0"/>
        <v>70</v>
      </c>
      <c r="G46" s="75">
        <f t="shared" si="1"/>
        <v>1.940825190010858</v>
      </c>
      <c r="H46" s="75">
        <f>VLOOKUP($A46,'Data Vlaue (Cr)'!$C:$FB,99)</f>
        <v>2992</v>
      </c>
      <c r="I46" s="75">
        <f>VLOOKUP($A46,'Data Vlaue (Cr)'!$C:$FB,100)</f>
        <v>2815</v>
      </c>
      <c r="J46" s="75">
        <f t="shared" si="2"/>
        <v>177</v>
      </c>
      <c r="K46" s="75">
        <f t="shared" si="3"/>
        <v>5.9157754010695189</v>
      </c>
      <c r="L46" s="75">
        <f>VLOOKUP($A46,'Data Vlaue (Cr)'!$C:$FB,67)</f>
        <v>8683</v>
      </c>
      <c r="M46" s="75">
        <f>VLOOKUP($A46,'Data Vlaue (Cr)'!$C:$FB,68)</f>
        <v>4764</v>
      </c>
      <c r="N46" s="75">
        <f t="shared" si="4"/>
        <v>3919</v>
      </c>
      <c r="O46" s="75">
        <f t="shared" si="5"/>
        <v>45.1341702176667</v>
      </c>
      <c r="P46" s="75">
        <f>VLOOKUP($A46,'Data Vlaue (Cr)'!$C:$FB,119)</f>
        <v>0.71</v>
      </c>
      <c r="Q46" s="75">
        <f>VLOOKUP($A46,'Data Vlaue (Cr)'!$C:$FB,122)*100</f>
        <v>12.7</v>
      </c>
      <c r="R46" s="75">
        <f>VLOOKUP($A46,'Data Vlaue (Cr)'!$C:$FB,125)</f>
        <v>0.33</v>
      </c>
      <c r="S46" s="75">
        <f>VLOOKUP($A46,'Data Vlaue (Cr)'!$C:$FB,128)*100</f>
        <v>17.86</v>
      </c>
    </row>
    <row r="47" spans="1:19" x14ac:dyDescent="0.25">
      <c r="A47" s="96" t="str">
        <f>'Data Vlaue (Cr)'!C38</f>
        <v>BPCL</v>
      </c>
      <c r="B47" s="75">
        <f>VLOOKUP($A47,'Data Vlaue (Cr)'!$C:$FB,2)</f>
        <v>1975</v>
      </c>
      <c r="C47" s="75">
        <f>VLOOKUP($A47,'Data Vlaue (Cr)'!$C:$FB,8)</f>
        <v>297.35000000000002</v>
      </c>
      <c r="D47" s="75">
        <f>VLOOKUP($A47,'Data Vlaue (Cr)'!$C:$FB,4)</f>
        <v>297.95</v>
      </c>
      <c r="E47" s="75">
        <f>VLOOKUP($A47,'Data Vlaue (Cr)'!$C:$FB,5)</f>
        <v>298.64999999999998</v>
      </c>
      <c r="F47" s="75">
        <f t="shared" si="0"/>
        <v>0.59999999999996589</v>
      </c>
      <c r="G47" s="75">
        <f t="shared" si="1"/>
        <v>-0.23493874811209553</v>
      </c>
      <c r="H47" s="75">
        <f>VLOOKUP($A47,'Data Vlaue (Cr)'!$C:$FB,99)</f>
        <v>2623</v>
      </c>
      <c r="I47" s="75">
        <f>VLOOKUP($A47,'Data Vlaue (Cr)'!$C:$FB,100)</f>
        <v>2532</v>
      </c>
      <c r="J47" s="75">
        <f t="shared" si="2"/>
        <v>91</v>
      </c>
      <c r="K47" s="75">
        <f t="shared" si="3"/>
        <v>3.4693099504384288</v>
      </c>
      <c r="L47" s="75">
        <f>VLOOKUP($A47,'Data Vlaue (Cr)'!$C:$FB,67)</f>
        <v>1612</v>
      </c>
      <c r="M47" s="75">
        <f>VLOOKUP($A47,'Data Vlaue (Cr)'!$C:$FB,68)</f>
        <v>3403</v>
      </c>
      <c r="N47" s="75">
        <f t="shared" si="4"/>
        <v>-1791</v>
      </c>
      <c r="O47" s="75">
        <f t="shared" si="5"/>
        <v>-111.10421836228288</v>
      </c>
      <c r="P47" s="75">
        <f>VLOOKUP($A47,'Data Vlaue (Cr)'!$C:$FB,119)</f>
        <v>0.82</v>
      </c>
      <c r="Q47" s="75">
        <f>VLOOKUP($A47,'Data Vlaue (Cr)'!$C:$FB,122)*100</f>
        <v>30.159999999999997</v>
      </c>
      <c r="R47" s="75">
        <f>VLOOKUP($A47,'Data Vlaue (Cr)'!$C:$FB,125)</f>
        <v>0.7</v>
      </c>
      <c r="S47" s="75">
        <f>VLOOKUP($A47,'Data Vlaue (Cr)'!$C:$FB,128)*100</f>
        <v>59.089999999999996</v>
      </c>
    </row>
    <row r="48" spans="1:19" x14ac:dyDescent="0.25">
      <c r="A48" s="96" t="str">
        <f>'Data Vlaue (Cr)'!C39</f>
        <v>BRITANNIA</v>
      </c>
      <c r="B48" s="75">
        <f>VLOOKUP($A48,'Data Vlaue (Cr)'!$C:$FB,2)</f>
        <v>125</v>
      </c>
      <c r="C48" s="75">
        <f>VLOOKUP($A48,'Data Vlaue (Cr)'!$C:$FB,8)</f>
        <v>5475</v>
      </c>
      <c r="D48" s="75">
        <f>VLOOKUP($A48,'Data Vlaue (Cr)'!$C:$FB,4)</f>
        <v>5485</v>
      </c>
      <c r="E48" s="75">
        <f>VLOOKUP($A48,'Data Vlaue (Cr)'!$C:$FB,5)</f>
        <v>5617</v>
      </c>
      <c r="F48" s="75">
        <f t="shared" si="0"/>
        <v>10</v>
      </c>
      <c r="G48" s="75">
        <f t="shared" si="1"/>
        <v>-2.4065633546034642</v>
      </c>
      <c r="H48" s="75">
        <f>VLOOKUP($A48,'Data Vlaue (Cr)'!$C:$FB,99)</f>
        <v>2214</v>
      </c>
      <c r="I48" s="75">
        <f>VLOOKUP($A48,'Data Vlaue (Cr)'!$C:$FB,100)</f>
        <v>1951</v>
      </c>
      <c r="J48" s="75">
        <f t="shared" si="2"/>
        <v>263</v>
      </c>
      <c r="K48" s="75">
        <f t="shared" si="3"/>
        <v>11.878952122854562</v>
      </c>
      <c r="L48" s="75">
        <f>VLOOKUP($A48,'Data Vlaue (Cr)'!$C:$FB,67)</f>
        <v>1986</v>
      </c>
      <c r="M48" s="75">
        <f>VLOOKUP($A48,'Data Vlaue (Cr)'!$C:$FB,68)</f>
        <v>740</v>
      </c>
      <c r="N48" s="75">
        <f t="shared" si="4"/>
        <v>1246</v>
      </c>
      <c r="O48" s="75">
        <f t="shared" si="5"/>
        <v>62.73917421953675</v>
      </c>
      <c r="P48" s="75">
        <f>VLOOKUP($A48,'Data Vlaue (Cr)'!$C:$FB,119)</f>
        <v>1.1200000000000001</v>
      </c>
      <c r="Q48" s="75">
        <f>VLOOKUP($A48,'Data Vlaue (Cr)'!$C:$FB,122)*100</f>
        <v>-15.15</v>
      </c>
      <c r="R48" s="75">
        <f>VLOOKUP($A48,'Data Vlaue (Cr)'!$C:$FB,125)</f>
        <v>0.68</v>
      </c>
      <c r="S48" s="75">
        <f>VLOOKUP($A48,'Data Vlaue (Cr)'!$C:$FB,128)*100</f>
        <v>74.36</v>
      </c>
    </row>
    <row r="49" spans="1:19" x14ac:dyDescent="0.25">
      <c r="A49" s="96" t="str">
        <f>'Data Vlaue (Cr)'!C40</f>
        <v>BSE</v>
      </c>
      <c r="B49" s="75">
        <f>VLOOKUP($A49,'Data Vlaue (Cr)'!$C:$FB,2)</f>
        <v>375</v>
      </c>
      <c r="C49" s="75">
        <f>VLOOKUP($A49,'Data Vlaue (Cr)'!$C:$FB,8)</f>
        <v>3257.4</v>
      </c>
      <c r="D49" s="75">
        <f>VLOOKUP($A49,'Data Vlaue (Cr)'!$C:$FB,4)</f>
        <v>3274.4</v>
      </c>
      <c r="E49" s="75">
        <f>VLOOKUP($A49,'Data Vlaue (Cr)'!$C:$FB,5)</f>
        <v>3176.2</v>
      </c>
      <c r="F49" s="75">
        <f t="shared" si="0"/>
        <v>17</v>
      </c>
      <c r="G49" s="75">
        <f t="shared" si="1"/>
        <v>2.999022721720018</v>
      </c>
      <c r="H49" s="75">
        <f>VLOOKUP($A49,'Data Vlaue (Cr)'!$C:$FB,99)</f>
        <v>6588</v>
      </c>
      <c r="I49" s="75">
        <f>VLOOKUP($A49,'Data Vlaue (Cr)'!$C:$FB,100)</f>
        <v>5753</v>
      </c>
      <c r="J49" s="75">
        <f t="shared" si="2"/>
        <v>835</v>
      </c>
      <c r="K49" s="75">
        <f t="shared" si="3"/>
        <v>12.674559805707347</v>
      </c>
      <c r="L49" s="75">
        <f>VLOOKUP($A49,'Data Vlaue (Cr)'!$C:$FB,67)</f>
        <v>13159</v>
      </c>
      <c r="M49" s="75">
        <f>VLOOKUP($A49,'Data Vlaue (Cr)'!$C:$FB,68)</f>
        <v>15308</v>
      </c>
      <c r="N49" s="75">
        <f t="shared" si="4"/>
        <v>-2149</v>
      </c>
      <c r="O49" s="75">
        <f t="shared" si="5"/>
        <v>-16.331028193631735</v>
      </c>
      <c r="P49" s="75">
        <f>VLOOKUP($A49,'Data Vlaue (Cr)'!$C:$FB,119)</f>
        <v>1.08</v>
      </c>
      <c r="Q49" s="75">
        <f>VLOOKUP($A49,'Data Vlaue (Cr)'!$C:$FB,122)*100</f>
        <v>2.86</v>
      </c>
      <c r="R49" s="75">
        <f>VLOOKUP($A49,'Data Vlaue (Cr)'!$C:$FB,125)</f>
        <v>0.54</v>
      </c>
      <c r="S49" s="75">
        <f>VLOOKUP($A49,'Data Vlaue (Cr)'!$C:$FB,128)*100</f>
        <v>0</v>
      </c>
    </row>
    <row r="50" spans="1:19" x14ac:dyDescent="0.25">
      <c r="A50" s="96" t="str">
        <f>'Data Vlaue (Cr)'!C41</f>
        <v>CAMS</v>
      </c>
      <c r="B50" s="75">
        <f>VLOOKUP($A50,'Data Vlaue (Cr)'!$C:$FB,2)</f>
        <v>750</v>
      </c>
      <c r="C50" s="75">
        <f>VLOOKUP($A50,'Data Vlaue (Cr)'!$C:$FB,8)</f>
        <v>699.05</v>
      </c>
      <c r="D50" s="75">
        <f>VLOOKUP($A50,'Data Vlaue (Cr)'!$C:$FB,4)</f>
        <v>698.1</v>
      </c>
      <c r="E50" s="75">
        <f>VLOOKUP($A50,'Data Vlaue (Cr)'!$C:$FB,5)</f>
        <v>707.25</v>
      </c>
      <c r="F50" s="75">
        <f t="shared" si="0"/>
        <v>-0.94999999999993179</v>
      </c>
      <c r="G50" s="75">
        <f t="shared" si="1"/>
        <v>-1.3107004727116427</v>
      </c>
      <c r="H50" s="75">
        <f>VLOOKUP($A50,'Data Vlaue (Cr)'!$C:$FB,99)</f>
        <v>735</v>
      </c>
      <c r="I50" s="75">
        <f>VLOOKUP($A50,'Data Vlaue (Cr)'!$C:$FB,100)</f>
        <v>677</v>
      </c>
      <c r="J50" s="75">
        <f t="shared" si="2"/>
        <v>58</v>
      </c>
      <c r="K50" s="75">
        <f t="shared" si="3"/>
        <v>7.891156462585033</v>
      </c>
      <c r="L50" s="75">
        <f>VLOOKUP($A50,'Data Vlaue (Cr)'!$C:$FB,67)</f>
        <v>575</v>
      </c>
      <c r="M50" s="75">
        <f>VLOOKUP($A50,'Data Vlaue (Cr)'!$C:$FB,68)</f>
        <v>510</v>
      </c>
      <c r="N50" s="75">
        <f t="shared" si="4"/>
        <v>65</v>
      </c>
      <c r="O50" s="75">
        <f t="shared" si="5"/>
        <v>11.304347826086957</v>
      </c>
      <c r="P50" s="75">
        <f>VLOOKUP($A50,'Data Vlaue (Cr)'!$C:$FB,119)</f>
        <v>0.79</v>
      </c>
      <c r="Q50" s="75">
        <f>VLOOKUP($A50,'Data Vlaue (Cr)'!$C:$FB,122)*100</f>
        <v>14.49</v>
      </c>
      <c r="R50" s="75">
        <f>VLOOKUP($A50,'Data Vlaue (Cr)'!$C:$FB,125)</f>
        <v>0.46</v>
      </c>
      <c r="S50" s="75">
        <f>VLOOKUP($A50,'Data Vlaue (Cr)'!$C:$FB,128)*100</f>
        <v>-13.209999999999999</v>
      </c>
    </row>
    <row r="51" spans="1:19" x14ac:dyDescent="0.25">
      <c r="A51" s="96" t="str">
        <f>'Data Vlaue (Cr)'!C42</f>
        <v>CANBK</v>
      </c>
      <c r="B51" s="75">
        <f>VLOOKUP($A51,'Data Vlaue (Cr)'!$C:$FB,2)</f>
        <v>6750</v>
      </c>
      <c r="C51" s="75">
        <f>VLOOKUP($A51,'Data Vlaue (Cr)'!$C:$FB,8)</f>
        <v>137.91</v>
      </c>
      <c r="D51" s="75">
        <f>VLOOKUP($A51,'Data Vlaue (Cr)'!$C:$FB,4)</f>
        <v>138.13999999999999</v>
      </c>
      <c r="E51" s="75">
        <f>VLOOKUP($A51,'Data Vlaue (Cr)'!$C:$FB,5)</f>
        <v>139.83000000000001</v>
      </c>
      <c r="F51" s="75">
        <f t="shared" si="0"/>
        <v>0.22999999999998977</v>
      </c>
      <c r="G51" s="75">
        <f t="shared" si="1"/>
        <v>-1.2233965542203751</v>
      </c>
      <c r="H51" s="75">
        <f>VLOOKUP($A51,'Data Vlaue (Cr)'!$C:$FB,99)</f>
        <v>4533</v>
      </c>
      <c r="I51" s="75">
        <f>VLOOKUP($A51,'Data Vlaue (Cr)'!$C:$FB,100)</f>
        <v>4382</v>
      </c>
      <c r="J51" s="75">
        <f t="shared" si="2"/>
        <v>151</v>
      </c>
      <c r="K51" s="75">
        <f t="shared" si="3"/>
        <v>3.3311272887712331</v>
      </c>
      <c r="L51" s="75">
        <f>VLOOKUP($A51,'Data Vlaue (Cr)'!$C:$FB,67)</f>
        <v>2039</v>
      </c>
      <c r="M51" s="75">
        <f>VLOOKUP($A51,'Data Vlaue (Cr)'!$C:$FB,68)</f>
        <v>3735</v>
      </c>
      <c r="N51" s="75">
        <f t="shared" si="4"/>
        <v>-1696</v>
      </c>
      <c r="O51" s="75">
        <f t="shared" si="5"/>
        <v>-83.178028445316329</v>
      </c>
      <c r="P51" s="75">
        <f>VLOOKUP($A51,'Data Vlaue (Cr)'!$C:$FB,119)</f>
        <v>0.9</v>
      </c>
      <c r="Q51" s="75">
        <f>VLOOKUP($A51,'Data Vlaue (Cr)'!$C:$FB,122)*100</f>
        <v>-4.26</v>
      </c>
      <c r="R51" s="75">
        <f>VLOOKUP($A51,'Data Vlaue (Cr)'!$C:$FB,125)</f>
        <v>0.6</v>
      </c>
      <c r="S51" s="75">
        <f>VLOOKUP($A51,'Data Vlaue (Cr)'!$C:$FB,128)*100</f>
        <v>-3.2300000000000004</v>
      </c>
    </row>
    <row r="52" spans="1:19" x14ac:dyDescent="0.25">
      <c r="A52" s="96" t="str">
        <f>'Data Vlaue (Cr)'!C43</f>
        <v>CDSL</v>
      </c>
      <c r="B52" s="75">
        <f>VLOOKUP($A52,'Data Vlaue (Cr)'!$C:$FB,2)</f>
        <v>475</v>
      </c>
      <c r="C52" s="75">
        <f>VLOOKUP($A52,'Data Vlaue (Cr)'!$C:$FB,8)</f>
        <v>1279.3</v>
      </c>
      <c r="D52" s="75">
        <f>VLOOKUP($A52,'Data Vlaue (Cr)'!$C:$FB,4)</f>
        <v>1277.5999999999999</v>
      </c>
      <c r="E52" s="75">
        <f>VLOOKUP($A52,'Data Vlaue (Cr)'!$C:$FB,5)</f>
        <v>1278.8</v>
      </c>
      <c r="F52" s="75">
        <f t="shared" si="0"/>
        <v>-1.7000000000000455</v>
      </c>
      <c r="G52" s="75">
        <f t="shared" si="1"/>
        <v>-9.3926111458989159E-2</v>
      </c>
      <c r="H52" s="75">
        <f>VLOOKUP($A52,'Data Vlaue (Cr)'!$C:$FB,99)</f>
        <v>2540</v>
      </c>
      <c r="I52" s="75">
        <f>VLOOKUP($A52,'Data Vlaue (Cr)'!$C:$FB,100)</f>
        <v>2442</v>
      </c>
      <c r="J52" s="75">
        <f t="shared" si="2"/>
        <v>98</v>
      </c>
      <c r="K52" s="75">
        <f t="shared" si="3"/>
        <v>3.8582677165354329</v>
      </c>
      <c r="L52" s="75">
        <f>VLOOKUP($A52,'Data Vlaue (Cr)'!$C:$FB,67)</f>
        <v>2214</v>
      </c>
      <c r="M52" s="75">
        <f>VLOOKUP($A52,'Data Vlaue (Cr)'!$C:$FB,68)</f>
        <v>2920</v>
      </c>
      <c r="N52" s="75">
        <f t="shared" si="4"/>
        <v>-706</v>
      </c>
      <c r="O52" s="75">
        <f t="shared" si="5"/>
        <v>-31.887985546522131</v>
      </c>
      <c r="P52" s="75">
        <f>VLOOKUP($A52,'Data Vlaue (Cr)'!$C:$FB,119)</f>
        <v>0.8</v>
      </c>
      <c r="Q52" s="75">
        <f>VLOOKUP($A52,'Data Vlaue (Cr)'!$C:$FB,122)*100</f>
        <v>-3.61</v>
      </c>
      <c r="R52" s="75">
        <f>VLOOKUP($A52,'Data Vlaue (Cr)'!$C:$FB,125)</f>
        <v>0.38</v>
      </c>
      <c r="S52" s="75">
        <f>VLOOKUP($A52,'Data Vlaue (Cr)'!$C:$FB,128)*100</f>
        <v>-11.63</v>
      </c>
    </row>
    <row r="53" spans="1:19" x14ac:dyDescent="0.25">
      <c r="A53" s="96" t="str">
        <f>'Data Vlaue (Cr)'!C44</f>
        <v>CGPOWER</v>
      </c>
      <c r="B53" s="75">
        <f>VLOOKUP($A53,'Data Vlaue (Cr)'!$C:$FB,2)</f>
        <v>850</v>
      </c>
      <c r="C53" s="75">
        <f>VLOOKUP($A53,'Data Vlaue (Cr)'!$C:$FB,8)</f>
        <v>720.6</v>
      </c>
      <c r="D53" s="75">
        <f>VLOOKUP($A53,'Data Vlaue (Cr)'!$C:$FB,4)</f>
        <v>723.9</v>
      </c>
      <c r="E53" s="75">
        <f>VLOOKUP($A53,'Data Vlaue (Cr)'!$C:$FB,5)</f>
        <v>727.95</v>
      </c>
      <c r="F53" s="75">
        <f t="shared" si="0"/>
        <v>3.2999999999999545</v>
      </c>
      <c r="G53" s="75">
        <f t="shared" si="1"/>
        <v>-0.559469539991721</v>
      </c>
      <c r="H53" s="75">
        <f>VLOOKUP($A53,'Data Vlaue (Cr)'!$C:$FB,99)</f>
        <v>1724</v>
      </c>
      <c r="I53" s="75">
        <f>VLOOKUP($A53,'Data Vlaue (Cr)'!$C:$FB,100)</f>
        <v>1672</v>
      </c>
      <c r="J53" s="75">
        <f t="shared" si="2"/>
        <v>52</v>
      </c>
      <c r="K53" s="75">
        <f t="shared" si="3"/>
        <v>3.0162412993039442</v>
      </c>
      <c r="L53" s="75">
        <f>VLOOKUP($A53,'Data Vlaue (Cr)'!$C:$FB,67)</f>
        <v>589</v>
      </c>
      <c r="M53" s="75">
        <f>VLOOKUP($A53,'Data Vlaue (Cr)'!$C:$FB,68)</f>
        <v>895</v>
      </c>
      <c r="N53" s="75">
        <f t="shared" si="4"/>
        <v>-306</v>
      </c>
      <c r="O53" s="75">
        <f t="shared" si="5"/>
        <v>-51.952461799660441</v>
      </c>
      <c r="P53" s="75">
        <f>VLOOKUP($A53,'Data Vlaue (Cr)'!$C:$FB,119)</f>
        <v>0.71</v>
      </c>
      <c r="Q53" s="75">
        <f>VLOOKUP($A53,'Data Vlaue (Cr)'!$C:$FB,122)*100</f>
        <v>-5.33</v>
      </c>
      <c r="R53" s="75">
        <f>VLOOKUP($A53,'Data Vlaue (Cr)'!$C:$FB,125)</f>
        <v>0.59</v>
      </c>
      <c r="S53" s="75">
        <f>VLOOKUP($A53,'Data Vlaue (Cr)'!$C:$FB,128)*100</f>
        <v>-10.61</v>
      </c>
    </row>
    <row r="54" spans="1:19" x14ac:dyDescent="0.25">
      <c r="A54" s="96" t="str">
        <f>'Data Vlaue (Cr)'!C45</f>
        <v>CHOLAFIN</v>
      </c>
      <c r="B54" s="75">
        <f>VLOOKUP($A54,'Data Vlaue (Cr)'!$C:$FB,2)</f>
        <v>625</v>
      </c>
      <c r="C54" s="75">
        <f>VLOOKUP($A54,'Data Vlaue (Cr)'!$C:$FB,8)</f>
        <v>1533.1</v>
      </c>
      <c r="D54" s="75">
        <f>VLOOKUP($A54,'Data Vlaue (Cr)'!$C:$FB,4)</f>
        <v>1535.8</v>
      </c>
      <c r="E54" s="75">
        <f>VLOOKUP($A54,'Data Vlaue (Cr)'!$C:$FB,5)</f>
        <v>1558.1</v>
      </c>
      <c r="F54" s="75">
        <f t="shared" si="0"/>
        <v>2.7000000000000455</v>
      </c>
      <c r="G54" s="75">
        <f t="shared" si="1"/>
        <v>-1.4520119807266541</v>
      </c>
      <c r="H54" s="75">
        <f>VLOOKUP($A54,'Data Vlaue (Cr)'!$C:$FB,99)</f>
        <v>3966</v>
      </c>
      <c r="I54" s="75">
        <f>VLOOKUP($A54,'Data Vlaue (Cr)'!$C:$FB,100)</f>
        <v>3980</v>
      </c>
      <c r="J54" s="75">
        <f t="shared" si="2"/>
        <v>-14</v>
      </c>
      <c r="K54" s="75">
        <f t="shared" si="3"/>
        <v>-0.3530005042864347</v>
      </c>
      <c r="L54" s="75">
        <f>VLOOKUP($A54,'Data Vlaue (Cr)'!$C:$FB,67)</f>
        <v>1704</v>
      </c>
      <c r="M54" s="75">
        <f>VLOOKUP($A54,'Data Vlaue (Cr)'!$C:$FB,68)</f>
        <v>3162</v>
      </c>
      <c r="N54" s="75">
        <f t="shared" si="4"/>
        <v>-1458</v>
      </c>
      <c r="O54" s="75">
        <f t="shared" si="5"/>
        <v>-85.563380281690144</v>
      </c>
      <c r="P54" s="75">
        <f>VLOOKUP($A54,'Data Vlaue (Cr)'!$C:$FB,119)</f>
        <v>0.85</v>
      </c>
      <c r="Q54" s="75">
        <f>VLOOKUP($A54,'Data Vlaue (Cr)'!$C:$FB,122)*100</f>
        <v>2.41</v>
      </c>
      <c r="R54" s="75">
        <f>VLOOKUP($A54,'Data Vlaue (Cr)'!$C:$FB,125)</f>
        <v>1</v>
      </c>
      <c r="S54" s="75">
        <f>VLOOKUP($A54,'Data Vlaue (Cr)'!$C:$FB,128)*100</f>
        <v>61.29</v>
      </c>
    </row>
    <row r="55" spans="1:19" x14ac:dyDescent="0.25">
      <c r="A55" s="96" t="str">
        <f>'Data Vlaue (Cr)'!C46</f>
        <v>CIPLA</v>
      </c>
      <c r="B55" s="75">
        <f>VLOOKUP($A55,'Data Vlaue (Cr)'!$C:$FB,2)</f>
        <v>375</v>
      </c>
      <c r="C55" s="75">
        <f>VLOOKUP($A55,'Data Vlaue (Cr)'!$C:$FB,8)</f>
        <v>1224.4000000000001</v>
      </c>
      <c r="D55" s="75">
        <f>VLOOKUP($A55,'Data Vlaue (Cr)'!$C:$FB,4)</f>
        <v>1227.2</v>
      </c>
      <c r="E55" s="75">
        <f>VLOOKUP($A55,'Data Vlaue (Cr)'!$C:$FB,5)</f>
        <v>1221.8</v>
      </c>
      <c r="F55" s="75">
        <f t="shared" si="0"/>
        <v>2.7999999999999545</v>
      </c>
      <c r="G55" s="75">
        <f t="shared" si="1"/>
        <v>0.44002607561930329</v>
      </c>
      <c r="H55" s="75">
        <f>VLOOKUP($A55,'Data Vlaue (Cr)'!$C:$FB,99)</f>
        <v>2808</v>
      </c>
      <c r="I55" s="75">
        <f>VLOOKUP($A55,'Data Vlaue (Cr)'!$C:$FB,100)</f>
        <v>2768</v>
      </c>
      <c r="J55" s="75">
        <f t="shared" si="2"/>
        <v>40</v>
      </c>
      <c r="K55" s="75">
        <f t="shared" si="3"/>
        <v>1.4245014245014245</v>
      </c>
      <c r="L55" s="75">
        <f>VLOOKUP($A55,'Data Vlaue (Cr)'!$C:$FB,67)</f>
        <v>980</v>
      </c>
      <c r="M55" s="75">
        <f>VLOOKUP($A55,'Data Vlaue (Cr)'!$C:$FB,68)</f>
        <v>1266</v>
      </c>
      <c r="N55" s="75">
        <f t="shared" si="4"/>
        <v>-286</v>
      </c>
      <c r="O55" s="75">
        <f t="shared" si="5"/>
        <v>-29.183673469387756</v>
      </c>
      <c r="P55" s="75">
        <f>VLOOKUP($A55,'Data Vlaue (Cr)'!$C:$FB,119)</f>
        <v>0.78</v>
      </c>
      <c r="Q55" s="75">
        <f>VLOOKUP($A55,'Data Vlaue (Cr)'!$C:$FB,122)*100</f>
        <v>-4.88</v>
      </c>
      <c r="R55" s="75">
        <f>VLOOKUP($A55,'Data Vlaue (Cr)'!$C:$FB,125)</f>
        <v>0.26</v>
      </c>
      <c r="S55" s="75">
        <f>VLOOKUP($A55,'Data Vlaue (Cr)'!$C:$FB,128)*100</f>
        <v>-7.1400000000000006</v>
      </c>
    </row>
    <row r="56" spans="1:19" x14ac:dyDescent="0.25">
      <c r="A56" s="96" t="str">
        <f>'Data Vlaue (Cr)'!C47</f>
        <v>COALINDIA</v>
      </c>
      <c r="B56" s="75">
        <f>VLOOKUP($A56,'Data Vlaue (Cr)'!$C:$FB,2)</f>
        <v>1350</v>
      </c>
      <c r="C56" s="75">
        <f>VLOOKUP($A56,'Data Vlaue (Cr)'!$C:$FB,8)</f>
        <v>454.1</v>
      </c>
      <c r="D56" s="75">
        <f>VLOOKUP($A56,'Data Vlaue (Cr)'!$C:$FB,4)</f>
        <v>452.9</v>
      </c>
      <c r="E56" s="75">
        <f>VLOOKUP($A56,'Data Vlaue (Cr)'!$C:$FB,5)</f>
        <v>445.65</v>
      </c>
      <c r="F56" s="75">
        <f t="shared" si="0"/>
        <v>-1.2000000000000455</v>
      </c>
      <c r="G56" s="75">
        <f t="shared" si="1"/>
        <v>1.600794877456392</v>
      </c>
      <c r="H56" s="75">
        <f>VLOOKUP($A56,'Data Vlaue (Cr)'!$C:$FB,99)</f>
        <v>4791</v>
      </c>
      <c r="I56" s="75">
        <f>VLOOKUP($A56,'Data Vlaue (Cr)'!$C:$FB,100)</f>
        <v>4841</v>
      </c>
      <c r="J56" s="75">
        <f t="shared" si="2"/>
        <v>-50</v>
      </c>
      <c r="K56" s="75">
        <f t="shared" si="3"/>
        <v>-1.0436234606553956</v>
      </c>
      <c r="L56" s="75">
        <f>VLOOKUP($A56,'Data Vlaue (Cr)'!$C:$FB,67)</f>
        <v>2960</v>
      </c>
      <c r="M56" s="75">
        <f>VLOOKUP($A56,'Data Vlaue (Cr)'!$C:$FB,68)</f>
        <v>4221</v>
      </c>
      <c r="N56" s="75">
        <f t="shared" si="4"/>
        <v>-1261</v>
      </c>
      <c r="O56" s="75">
        <f t="shared" si="5"/>
        <v>-42.601351351351354</v>
      </c>
      <c r="P56" s="75">
        <f>VLOOKUP($A56,'Data Vlaue (Cr)'!$C:$FB,119)</f>
        <v>0.64</v>
      </c>
      <c r="Q56" s="75">
        <f>VLOOKUP($A56,'Data Vlaue (Cr)'!$C:$FB,122)*100</f>
        <v>16.36</v>
      </c>
      <c r="R56" s="75">
        <f>VLOOKUP($A56,'Data Vlaue (Cr)'!$C:$FB,125)</f>
        <v>0.37</v>
      </c>
      <c r="S56" s="75">
        <f>VLOOKUP($A56,'Data Vlaue (Cr)'!$C:$FB,128)*100</f>
        <v>-19.57</v>
      </c>
    </row>
    <row r="57" spans="1:19" x14ac:dyDescent="0.25">
      <c r="A57" s="96" t="str">
        <f>'Data Vlaue (Cr)'!C48</f>
        <v>COCHINSHIP</v>
      </c>
      <c r="B57" s="75">
        <f>VLOOKUP($A57,'Data Vlaue (Cr)'!$C:$FB,2)</f>
        <v>400</v>
      </c>
      <c r="C57" s="75">
        <f>VLOOKUP($A57,'Data Vlaue (Cr)'!$C:$FB,8)</f>
        <v>1423.9</v>
      </c>
      <c r="D57" s="75">
        <f>VLOOKUP($A57,'Data Vlaue (Cr)'!$C:$FB,4)</f>
        <v>1430.3</v>
      </c>
      <c r="E57" s="75">
        <f>VLOOKUP($A57,'Data Vlaue (Cr)'!$C:$FB,5)</f>
        <v>1376.6</v>
      </c>
      <c r="F57" s="75">
        <f t="shared" si="0"/>
        <v>6.3999999999998636</v>
      </c>
      <c r="G57" s="75">
        <f t="shared" si="1"/>
        <v>3.7544571069006536</v>
      </c>
      <c r="H57" s="75">
        <f>VLOOKUP($A57,'Data Vlaue (Cr)'!$C:$FB,99)</f>
        <v>323</v>
      </c>
      <c r="I57" s="75">
        <f>VLOOKUP($A57,'Data Vlaue (Cr)'!$C:$FB,100)</f>
        <v>233</v>
      </c>
      <c r="J57" s="75">
        <f t="shared" si="2"/>
        <v>90</v>
      </c>
      <c r="K57" s="75">
        <f t="shared" si="3"/>
        <v>27.86377708978328</v>
      </c>
      <c r="L57" s="75">
        <f>VLOOKUP($A57,'Data Vlaue (Cr)'!$C:$FB,67)</f>
        <v>1317</v>
      </c>
      <c r="M57" s="75">
        <f>VLOOKUP($A57,'Data Vlaue (Cr)'!$C:$FB,68)</f>
        <v>204</v>
      </c>
      <c r="N57" s="75">
        <f t="shared" si="4"/>
        <v>1113</v>
      </c>
      <c r="O57" s="75">
        <f t="shared" si="5"/>
        <v>84.510250569476085</v>
      </c>
      <c r="P57" s="75">
        <f>VLOOKUP($A57,'Data Vlaue (Cr)'!$C:$FB,119)</f>
        <v>0.61</v>
      </c>
      <c r="Q57" s="75">
        <f>VLOOKUP($A57,'Data Vlaue (Cr)'!$C:$FB,122)*100</f>
        <v>-4.6899999999999995</v>
      </c>
      <c r="R57" s="75">
        <f>VLOOKUP($A57,'Data Vlaue (Cr)'!$C:$FB,125)</f>
        <v>0.28000000000000003</v>
      </c>
      <c r="S57" s="75">
        <f>VLOOKUP($A57,'Data Vlaue (Cr)'!$C:$FB,128)*100</f>
        <v>-24.32</v>
      </c>
    </row>
    <row r="58" spans="1:19" x14ac:dyDescent="0.25">
      <c r="A58" s="96" t="str">
        <f>'Data Vlaue (Cr)'!C49</f>
        <v>COFORGE</v>
      </c>
      <c r="B58" s="75">
        <f>VLOOKUP($A58,'Data Vlaue (Cr)'!$C:$FB,2)</f>
        <v>375</v>
      </c>
      <c r="C58" s="75">
        <f>VLOOKUP($A58,'Data Vlaue (Cr)'!$C:$FB,8)</f>
        <v>1264.9000000000001</v>
      </c>
      <c r="D58" s="75">
        <f>VLOOKUP($A58,'Data Vlaue (Cr)'!$C:$FB,4)</f>
        <v>1270.2</v>
      </c>
      <c r="E58" s="75">
        <f>VLOOKUP($A58,'Data Vlaue (Cr)'!$C:$FB,5)</f>
        <v>1273</v>
      </c>
      <c r="F58" s="75">
        <f t="shared" si="0"/>
        <v>5.2999999999999545</v>
      </c>
      <c r="G58" s="75">
        <f t="shared" si="1"/>
        <v>-0.22043772634230471</v>
      </c>
      <c r="H58" s="75">
        <f>VLOOKUP($A58,'Data Vlaue (Cr)'!$C:$FB,99)</f>
        <v>3616</v>
      </c>
      <c r="I58" s="75">
        <f>VLOOKUP($A58,'Data Vlaue (Cr)'!$C:$FB,100)</f>
        <v>3541</v>
      </c>
      <c r="J58" s="75">
        <f t="shared" si="2"/>
        <v>75</v>
      </c>
      <c r="K58" s="75">
        <f t="shared" si="3"/>
        <v>2.0741150442477876</v>
      </c>
      <c r="L58" s="75">
        <f>VLOOKUP($A58,'Data Vlaue (Cr)'!$C:$FB,67)</f>
        <v>2188</v>
      </c>
      <c r="M58" s="75">
        <f>VLOOKUP($A58,'Data Vlaue (Cr)'!$C:$FB,68)</f>
        <v>2634</v>
      </c>
      <c r="N58" s="75">
        <f t="shared" si="4"/>
        <v>-446</v>
      </c>
      <c r="O58" s="75">
        <f t="shared" si="5"/>
        <v>-20.383912248628885</v>
      </c>
      <c r="P58" s="75">
        <f>VLOOKUP($A58,'Data Vlaue (Cr)'!$C:$FB,119)</f>
        <v>0.65</v>
      </c>
      <c r="Q58" s="75">
        <f>VLOOKUP($A58,'Data Vlaue (Cr)'!$C:$FB,122)*100</f>
        <v>4.84</v>
      </c>
      <c r="R58" s="75">
        <f>VLOOKUP($A58,'Data Vlaue (Cr)'!$C:$FB,125)</f>
        <v>0.49</v>
      </c>
      <c r="S58" s="75">
        <f>VLOOKUP($A58,'Data Vlaue (Cr)'!$C:$FB,128)*100</f>
        <v>28.95</v>
      </c>
    </row>
    <row r="59" spans="1:19" x14ac:dyDescent="0.25">
      <c r="A59" s="96" t="str">
        <f>'Data Vlaue (Cr)'!C50</f>
        <v>COLPAL</v>
      </c>
      <c r="B59" s="75">
        <f>VLOOKUP($A59,'Data Vlaue (Cr)'!$C:$FB,2)</f>
        <v>225</v>
      </c>
      <c r="C59" s="75">
        <f>VLOOKUP($A59,'Data Vlaue (Cr)'!$C:$FB,8)</f>
        <v>1906.7</v>
      </c>
      <c r="D59" s="75">
        <f>VLOOKUP($A59,'Data Vlaue (Cr)'!$C:$FB,4)</f>
        <v>1916.3</v>
      </c>
      <c r="E59" s="75">
        <f>VLOOKUP($A59,'Data Vlaue (Cr)'!$C:$FB,5)</f>
        <v>1908.9</v>
      </c>
      <c r="F59" s="75">
        <f t="shared" si="0"/>
        <v>9.5999999999999091</v>
      </c>
      <c r="G59" s="75">
        <f t="shared" si="1"/>
        <v>0.38616083076761798</v>
      </c>
      <c r="H59" s="75">
        <f>VLOOKUP($A59,'Data Vlaue (Cr)'!$C:$FB,99)</f>
        <v>1794</v>
      </c>
      <c r="I59" s="75">
        <f>VLOOKUP($A59,'Data Vlaue (Cr)'!$C:$FB,100)</f>
        <v>1789</v>
      </c>
      <c r="J59" s="75">
        <f t="shared" si="2"/>
        <v>5</v>
      </c>
      <c r="K59" s="75">
        <f t="shared" si="3"/>
        <v>0.27870680044593088</v>
      </c>
      <c r="L59" s="75">
        <f>VLOOKUP($A59,'Data Vlaue (Cr)'!$C:$FB,67)</f>
        <v>685</v>
      </c>
      <c r="M59" s="75">
        <f>VLOOKUP($A59,'Data Vlaue (Cr)'!$C:$FB,68)</f>
        <v>987</v>
      </c>
      <c r="N59" s="75">
        <f t="shared" si="4"/>
        <v>-302</v>
      </c>
      <c r="O59" s="75">
        <f t="shared" si="5"/>
        <v>-44.087591240875909</v>
      </c>
      <c r="P59" s="75">
        <f>VLOOKUP($A59,'Data Vlaue (Cr)'!$C:$FB,119)</f>
        <v>0.69</v>
      </c>
      <c r="Q59" s="75">
        <f>VLOOKUP($A59,'Data Vlaue (Cr)'!$C:$FB,122)*100</f>
        <v>9.5200000000000014</v>
      </c>
      <c r="R59" s="75">
        <f>VLOOKUP($A59,'Data Vlaue (Cr)'!$C:$FB,125)</f>
        <v>0.31</v>
      </c>
      <c r="S59" s="75">
        <f>VLOOKUP($A59,'Data Vlaue (Cr)'!$C:$FB,128)*100</f>
        <v>6.9</v>
      </c>
    </row>
    <row r="60" spans="1:19" x14ac:dyDescent="0.25">
      <c r="A60" s="96" t="str">
        <f>'Data Vlaue (Cr)'!C51</f>
        <v>CONCOR</v>
      </c>
      <c r="B60" s="75">
        <f>VLOOKUP($A60,'Data Vlaue (Cr)'!$C:$FB,2)</f>
        <v>1250</v>
      </c>
      <c r="C60" s="75">
        <f>VLOOKUP($A60,'Data Vlaue (Cr)'!$C:$FB,8)</f>
        <v>482.25</v>
      </c>
      <c r="D60" s="75">
        <f>VLOOKUP($A60,'Data Vlaue (Cr)'!$C:$FB,4)</f>
        <v>483.15</v>
      </c>
      <c r="E60" s="75">
        <f>VLOOKUP($A60,'Data Vlaue (Cr)'!$C:$FB,5)</f>
        <v>475.05</v>
      </c>
      <c r="F60" s="75">
        <f t="shared" si="0"/>
        <v>0.89999999999997726</v>
      </c>
      <c r="G60" s="75">
        <f t="shared" si="1"/>
        <v>1.6764979819931629</v>
      </c>
      <c r="H60" s="75">
        <f>VLOOKUP($A60,'Data Vlaue (Cr)'!$C:$FB,99)</f>
        <v>1746</v>
      </c>
      <c r="I60" s="75">
        <f>VLOOKUP($A60,'Data Vlaue (Cr)'!$C:$FB,100)</f>
        <v>1720</v>
      </c>
      <c r="J60" s="75">
        <f t="shared" si="2"/>
        <v>26</v>
      </c>
      <c r="K60" s="75">
        <f t="shared" si="3"/>
        <v>1.4891179839633446</v>
      </c>
      <c r="L60" s="75">
        <f>VLOOKUP($A60,'Data Vlaue (Cr)'!$C:$FB,67)</f>
        <v>1032</v>
      </c>
      <c r="M60" s="75">
        <f>VLOOKUP($A60,'Data Vlaue (Cr)'!$C:$FB,68)</f>
        <v>643</v>
      </c>
      <c r="N60" s="75">
        <f t="shared" si="4"/>
        <v>389</v>
      </c>
      <c r="O60" s="75">
        <f t="shared" si="5"/>
        <v>37.693798449612402</v>
      </c>
      <c r="P60" s="75">
        <f>VLOOKUP($A60,'Data Vlaue (Cr)'!$C:$FB,119)</f>
        <v>0.78</v>
      </c>
      <c r="Q60" s="75">
        <f>VLOOKUP($A60,'Data Vlaue (Cr)'!$C:$FB,122)*100</f>
        <v>-9.3000000000000007</v>
      </c>
      <c r="R60" s="75">
        <f>VLOOKUP($A60,'Data Vlaue (Cr)'!$C:$FB,125)</f>
        <v>0.21</v>
      </c>
      <c r="S60" s="75">
        <f>VLOOKUP($A60,'Data Vlaue (Cr)'!$C:$FB,128)*100</f>
        <v>-27.589999999999996</v>
      </c>
    </row>
    <row r="61" spans="1:19" x14ac:dyDescent="0.25">
      <c r="A61" s="96" t="str">
        <f>'Data Vlaue (Cr)'!C52</f>
        <v>CROMPTON</v>
      </c>
      <c r="B61" s="75">
        <f>VLOOKUP($A61,'Data Vlaue (Cr)'!$C:$FB,2)</f>
        <v>1800</v>
      </c>
      <c r="C61" s="75">
        <f>VLOOKUP($A61,'Data Vlaue (Cr)'!$C:$FB,8)</f>
        <v>237.9</v>
      </c>
      <c r="D61" s="75">
        <f>VLOOKUP($A61,'Data Vlaue (Cr)'!$C:$FB,4)</f>
        <v>238.37</v>
      </c>
      <c r="E61" s="75">
        <f>VLOOKUP($A61,'Data Vlaue (Cr)'!$C:$FB,5)</f>
        <v>247.24</v>
      </c>
      <c r="F61" s="75">
        <f t="shared" si="0"/>
        <v>0.46999999999999886</v>
      </c>
      <c r="G61" s="75">
        <f t="shared" si="1"/>
        <v>-3.7211058438561921</v>
      </c>
      <c r="H61" s="75">
        <f>VLOOKUP($A61,'Data Vlaue (Cr)'!$C:$FB,99)</f>
        <v>1422</v>
      </c>
      <c r="I61" s="75">
        <f>VLOOKUP($A61,'Data Vlaue (Cr)'!$C:$FB,100)</f>
        <v>1395</v>
      </c>
      <c r="J61" s="75">
        <f t="shared" si="2"/>
        <v>27</v>
      </c>
      <c r="K61" s="75">
        <f t="shared" si="3"/>
        <v>1.89873417721519</v>
      </c>
      <c r="L61" s="75">
        <f>VLOOKUP($A61,'Data Vlaue (Cr)'!$C:$FB,67)</f>
        <v>458</v>
      </c>
      <c r="M61" s="75">
        <f>VLOOKUP($A61,'Data Vlaue (Cr)'!$C:$FB,68)</f>
        <v>452</v>
      </c>
      <c r="N61" s="75">
        <f t="shared" si="4"/>
        <v>6</v>
      </c>
      <c r="O61" s="75">
        <f t="shared" si="5"/>
        <v>1.3100436681222707</v>
      </c>
      <c r="P61" s="75">
        <f>VLOOKUP($A61,'Data Vlaue (Cr)'!$C:$FB,119)</f>
        <v>0.75</v>
      </c>
      <c r="Q61" s="75">
        <f>VLOOKUP($A61,'Data Vlaue (Cr)'!$C:$FB,122)*100</f>
        <v>-16.669999999999998</v>
      </c>
      <c r="R61" s="75">
        <f>VLOOKUP($A61,'Data Vlaue (Cr)'!$C:$FB,125)</f>
        <v>0.56000000000000005</v>
      </c>
      <c r="S61" s="75">
        <f>VLOOKUP($A61,'Data Vlaue (Cr)'!$C:$FB,128)*100</f>
        <v>16.669999999999998</v>
      </c>
    </row>
    <row r="62" spans="1:19" x14ac:dyDescent="0.25">
      <c r="A62" s="96" t="str">
        <f>'Data Vlaue (Cr)'!C53</f>
        <v>CUMMINSIND</v>
      </c>
      <c r="B62" s="75">
        <f>VLOOKUP($A62,'Data Vlaue (Cr)'!$C:$FB,2)</f>
        <v>200</v>
      </c>
      <c r="C62" s="75">
        <f>VLOOKUP($A62,'Data Vlaue (Cr)'!$C:$FB,8)</f>
        <v>4907.3999999999996</v>
      </c>
      <c r="D62" s="75">
        <f>VLOOKUP($A62,'Data Vlaue (Cr)'!$C:$FB,4)</f>
        <v>4914.6000000000004</v>
      </c>
      <c r="E62" s="75">
        <f>VLOOKUP($A62,'Data Vlaue (Cr)'!$C:$FB,5)</f>
        <v>4822.1000000000004</v>
      </c>
      <c r="F62" s="75">
        <f t="shared" si="0"/>
        <v>7.2000000000007276</v>
      </c>
      <c r="G62" s="75">
        <f t="shared" si="1"/>
        <v>1.8821470719895821</v>
      </c>
      <c r="H62" s="75">
        <f>VLOOKUP($A62,'Data Vlaue (Cr)'!$C:$FB,99)</f>
        <v>2484</v>
      </c>
      <c r="I62" s="75">
        <f>VLOOKUP($A62,'Data Vlaue (Cr)'!$C:$FB,100)</f>
        <v>2357</v>
      </c>
      <c r="J62" s="75">
        <f t="shared" si="2"/>
        <v>127</v>
      </c>
      <c r="K62" s="75">
        <f t="shared" si="3"/>
        <v>5.1127214170692428</v>
      </c>
      <c r="L62" s="75">
        <f>VLOOKUP($A62,'Data Vlaue (Cr)'!$C:$FB,67)</f>
        <v>2109</v>
      </c>
      <c r="M62" s="75">
        <f>VLOOKUP($A62,'Data Vlaue (Cr)'!$C:$FB,68)</f>
        <v>2057</v>
      </c>
      <c r="N62" s="75">
        <f t="shared" si="4"/>
        <v>52</v>
      </c>
      <c r="O62" s="75">
        <f t="shared" si="5"/>
        <v>2.4656235182550974</v>
      </c>
      <c r="P62" s="75">
        <f>VLOOKUP($A62,'Data Vlaue (Cr)'!$C:$FB,119)</f>
        <v>0.65</v>
      </c>
      <c r="Q62" s="75">
        <f>VLOOKUP($A62,'Data Vlaue (Cr)'!$C:$FB,122)*100</f>
        <v>3.17</v>
      </c>
      <c r="R62" s="75">
        <f>VLOOKUP($A62,'Data Vlaue (Cr)'!$C:$FB,125)</f>
        <v>0.33</v>
      </c>
      <c r="S62" s="75">
        <f>VLOOKUP($A62,'Data Vlaue (Cr)'!$C:$FB,128)*100</f>
        <v>26.919999999999998</v>
      </c>
    </row>
    <row r="63" spans="1:19" x14ac:dyDescent="0.25">
      <c r="A63" s="96" t="str">
        <f>'Data Vlaue (Cr)'!C54</f>
        <v>DABUR</v>
      </c>
      <c r="B63" s="75">
        <f>VLOOKUP($A63,'Data Vlaue (Cr)'!$C:$FB,2)</f>
        <v>1250</v>
      </c>
      <c r="C63" s="75">
        <f>VLOOKUP($A63,'Data Vlaue (Cr)'!$C:$FB,8)</f>
        <v>429.4</v>
      </c>
      <c r="D63" s="75">
        <f>VLOOKUP($A63,'Data Vlaue (Cr)'!$C:$FB,4)</f>
        <v>430.3</v>
      </c>
      <c r="E63" s="75">
        <f>VLOOKUP($A63,'Data Vlaue (Cr)'!$C:$FB,5)</f>
        <v>429.65</v>
      </c>
      <c r="F63" s="75">
        <f t="shared" si="0"/>
        <v>0.90000000000003411</v>
      </c>
      <c r="G63" s="75">
        <f t="shared" si="1"/>
        <v>0.15105740181269672</v>
      </c>
      <c r="H63" s="75">
        <f>VLOOKUP($A63,'Data Vlaue (Cr)'!$C:$FB,99)</f>
        <v>1947</v>
      </c>
      <c r="I63" s="75">
        <f>VLOOKUP($A63,'Data Vlaue (Cr)'!$C:$FB,100)</f>
        <v>1952</v>
      </c>
      <c r="J63" s="75">
        <f t="shared" si="2"/>
        <v>-5</v>
      </c>
      <c r="K63" s="75">
        <f t="shared" si="3"/>
        <v>-0.25680534155110424</v>
      </c>
      <c r="L63" s="75">
        <f>VLOOKUP($A63,'Data Vlaue (Cr)'!$C:$FB,67)</f>
        <v>567</v>
      </c>
      <c r="M63" s="75">
        <f>VLOOKUP($A63,'Data Vlaue (Cr)'!$C:$FB,68)</f>
        <v>1102</v>
      </c>
      <c r="N63" s="75">
        <f t="shared" si="4"/>
        <v>-535</v>
      </c>
      <c r="O63" s="75">
        <f t="shared" si="5"/>
        <v>-94.356261022927697</v>
      </c>
      <c r="P63" s="75">
        <f>VLOOKUP($A63,'Data Vlaue (Cr)'!$C:$FB,119)</f>
        <v>0.75</v>
      </c>
      <c r="Q63" s="75">
        <f>VLOOKUP($A63,'Data Vlaue (Cr)'!$C:$FB,122)*100</f>
        <v>2.74</v>
      </c>
      <c r="R63" s="75">
        <f>VLOOKUP($A63,'Data Vlaue (Cr)'!$C:$FB,125)</f>
        <v>0.28999999999999998</v>
      </c>
      <c r="S63" s="75">
        <f>VLOOKUP($A63,'Data Vlaue (Cr)'!$C:$FB,128)*100</f>
        <v>-19.439999999999998</v>
      </c>
    </row>
    <row r="64" spans="1:19" x14ac:dyDescent="0.25">
      <c r="A64" s="96" t="str">
        <f>'Data Vlaue (Cr)'!C55</f>
        <v>DALBHARAT</v>
      </c>
      <c r="B64" s="75">
        <f>VLOOKUP($A64,'Data Vlaue (Cr)'!$C:$FB,2)</f>
        <v>325</v>
      </c>
      <c r="C64" s="75">
        <f>VLOOKUP($A64,'Data Vlaue (Cr)'!$C:$FB,8)</f>
        <v>1910.6</v>
      </c>
      <c r="D64" s="75">
        <f>VLOOKUP($A64,'Data Vlaue (Cr)'!$C:$FB,4)</f>
        <v>1913.9</v>
      </c>
      <c r="E64" s="75">
        <f>VLOOKUP($A64,'Data Vlaue (Cr)'!$C:$FB,5)</f>
        <v>1926.8</v>
      </c>
      <c r="F64" s="75">
        <f t="shared" si="0"/>
        <v>3.3000000000001819</v>
      </c>
      <c r="G64" s="75">
        <f t="shared" si="1"/>
        <v>-0.67401640629081261</v>
      </c>
      <c r="H64" s="75">
        <f>VLOOKUP($A64,'Data Vlaue (Cr)'!$C:$FB,99)</f>
        <v>787</v>
      </c>
      <c r="I64" s="75">
        <f>VLOOKUP($A64,'Data Vlaue (Cr)'!$C:$FB,100)</f>
        <v>778</v>
      </c>
      <c r="J64" s="75">
        <f t="shared" si="2"/>
        <v>9</v>
      </c>
      <c r="K64" s="75">
        <f t="shared" si="3"/>
        <v>1.1435832274459974</v>
      </c>
      <c r="L64" s="75">
        <f>VLOOKUP($A64,'Data Vlaue (Cr)'!$C:$FB,67)</f>
        <v>179</v>
      </c>
      <c r="M64" s="75">
        <f>VLOOKUP($A64,'Data Vlaue (Cr)'!$C:$FB,68)</f>
        <v>773</v>
      </c>
      <c r="N64" s="75">
        <f t="shared" si="4"/>
        <v>-594</v>
      </c>
      <c r="O64" s="75">
        <f t="shared" si="5"/>
        <v>-331.84357541899442</v>
      </c>
      <c r="P64" s="75">
        <f>VLOOKUP($A64,'Data Vlaue (Cr)'!$C:$FB,119)</f>
        <v>1.36</v>
      </c>
      <c r="Q64" s="75">
        <f>VLOOKUP($A64,'Data Vlaue (Cr)'!$C:$FB,122)*100</f>
        <v>-1.4500000000000002</v>
      </c>
      <c r="R64" s="75">
        <f>VLOOKUP($A64,'Data Vlaue (Cr)'!$C:$FB,125)</f>
        <v>0.64</v>
      </c>
      <c r="S64" s="75">
        <f>VLOOKUP($A64,'Data Vlaue (Cr)'!$C:$FB,128)*100</f>
        <v>-55.559999999999995</v>
      </c>
    </row>
    <row r="65" spans="1:19" x14ac:dyDescent="0.25">
      <c r="A65" s="96" t="str">
        <f>'Data Vlaue (Cr)'!C56</f>
        <v>DELHIVERY</v>
      </c>
      <c r="B65" s="75">
        <f>VLOOKUP($A65,'Data Vlaue (Cr)'!$C:$FB,2)</f>
        <v>2075</v>
      </c>
      <c r="C65" s="75">
        <f>VLOOKUP($A65,'Data Vlaue (Cr)'!$C:$FB,8)</f>
        <v>469.85</v>
      </c>
      <c r="D65" s="75">
        <f>VLOOKUP($A65,'Data Vlaue (Cr)'!$C:$FB,4)</f>
        <v>471.35</v>
      </c>
      <c r="E65" s="75">
        <f>VLOOKUP($A65,'Data Vlaue (Cr)'!$C:$FB,5)</f>
        <v>462.05</v>
      </c>
      <c r="F65" s="75">
        <f t="shared" si="0"/>
        <v>1.5</v>
      </c>
      <c r="G65" s="75">
        <f t="shared" si="1"/>
        <v>1.9730561154131774</v>
      </c>
      <c r="H65" s="75">
        <f>VLOOKUP($A65,'Data Vlaue (Cr)'!$C:$FB,99)</f>
        <v>1917</v>
      </c>
      <c r="I65" s="75">
        <f>VLOOKUP($A65,'Data Vlaue (Cr)'!$C:$FB,100)</f>
        <v>1858</v>
      </c>
      <c r="J65" s="75">
        <f t="shared" si="2"/>
        <v>59</v>
      </c>
      <c r="K65" s="75">
        <f t="shared" si="3"/>
        <v>3.0777256129368809</v>
      </c>
      <c r="L65" s="75">
        <f>VLOOKUP($A65,'Data Vlaue (Cr)'!$C:$FB,67)</f>
        <v>1554</v>
      </c>
      <c r="M65" s="75">
        <f>VLOOKUP($A65,'Data Vlaue (Cr)'!$C:$FB,68)</f>
        <v>1497</v>
      </c>
      <c r="N65" s="75">
        <f t="shared" si="4"/>
        <v>57</v>
      </c>
      <c r="O65" s="75">
        <f t="shared" si="5"/>
        <v>3.6679536679536682</v>
      </c>
      <c r="P65" s="75">
        <f>VLOOKUP($A65,'Data Vlaue (Cr)'!$C:$FB,119)</f>
        <v>0.56000000000000005</v>
      </c>
      <c r="Q65" s="75">
        <f>VLOOKUP($A65,'Data Vlaue (Cr)'!$C:$FB,122)*100</f>
        <v>9.8000000000000007</v>
      </c>
      <c r="R65" s="75">
        <f>VLOOKUP($A65,'Data Vlaue (Cr)'!$C:$FB,125)</f>
        <v>0.4</v>
      </c>
      <c r="S65" s="75">
        <f>VLOOKUP($A65,'Data Vlaue (Cr)'!$C:$FB,128)*100</f>
        <v>-6.98</v>
      </c>
    </row>
    <row r="66" spans="1:19" x14ac:dyDescent="0.25">
      <c r="A66" s="96" t="str">
        <f>'Data Vlaue (Cr)'!C57</f>
        <v>DIVISLAB</v>
      </c>
      <c r="B66" s="75">
        <f>VLOOKUP($A66,'Data Vlaue (Cr)'!$C:$FB,2)</f>
        <v>100</v>
      </c>
      <c r="C66" s="75">
        <f>VLOOKUP($A66,'Data Vlaue (Cr)'!$C:$FB,8)</f>
        <v>5952.5</v>
      </c>
      <c r="D66" s="75">
        <f>VLOOKUP($A66,'Data Vlaue (Cr)'!$C:$FB,4)</f>
        <v>5967</v>
      </c>
      <c r="E66" s="75">
        <f>VLOOKUP($A66,'Data Vlaue (Cr)'!$C:$FB,5)</f>
        <v>5909.5</v>
      </c>
      <c r="F66" s="75">
        <f t="shared" si="0"/>
        <v>14.5</v>
      </c>
      <c r="G66" s="75">
        <f t="shared" si="1"/>
        <v>0.96363331657449303</v>
      </c>
      <c r="H66" s="75">
        <f>VLOOKUP($A66,'Data Vlaue (Cr)'!$C:$FB,99)</f>
        <v>2514</v>
      </c>
      <c r="I66" s="75">
        <f>VLOOKUP($A66,'Data Vlaue (Cr)'!$C:$FB,100)</f>
        <v>2509</v>
      </c>
      <c r="J66" s="75">
        <f t="shared" si="2"/>
        <v>5</v>
      </c>
      <c r="K66" s="75">
        <f t="shared" si="3"/>
        <v>0.19888623707239461</v>
      </c>
      <c r="L66" s="75">
        <f>VLOOKUP($A66,'Data Vlaue (Cr)'!$C:$FB,67)</f>
        <v>924</v>
      </c>
      <c r="M66" s="75">
        <f>VLOOKUP($A66,'Data Vlaue (Cr)'!$C:$FB,68)</f>
        <v>1217</v>
      </c>
      <c r="N66" s="75">
        <f t="shared" si="4"/>
        <v>-293</v>
      </c>
      <c r="O66" s="75">
        <f t="shared" si="5"/>
        <v>-31.70995670995671</v>
      </c>
      <c r="P66" s="75">
        <f>VLOOKUP($A66,'Data Vlaue (Cr)'!$C:$FB,119)</f>
        <v>1.06</v>
      </c>
      <c r="Q66" s="75">
        <f>VLOOKUP($A66,'Data Vlaue (Cr)'!$C:$FB,122)*100</f>
        <v>7.07</v>
      </c>
      <c r="R66" s="75">
        <f>VLOOKUP($A66,'Data Vlaue (Cr)'!$C:$FB,125)</f>
        <v>0.37</v>
      </c>
      <c r="S66" s="75">
        <f>VLOOKUP($A66,'Data Vlaue (Cr)'!$C:$FB,128)*100</f>
        <v>0</v>
      </c>
    </row>
    <row r="67" spans="1:19" x14ac:dyDescent="0.25">
      <c r="A67" s="96" t="str">
        <f>'Data Vlaue (Cr)'!C58</f>
        <v>DIXON</v>
      </c>
      <c r="B67" s="75">
        <f>VLOOKUP($A67,'Data Vlaue (Cr)'!$C:$FB,2)</f>
        <v>50</v>
      </c>
      <c r="C67" s="75">
        <f>VLOOKUP($A67,'Data Vlaue (Cr)'!$C:$FB,8)</f>
        <v>10625.5</v>
      </c>
      <c r="D67" s="75">
        <f>VLOOKUP($A67,'Data Vlaue (Cr)'!$C:$FB,4)</f>
        <v>10657.5</v>
      </c>
      <c r="E67" s="75">
        <f>VLOOKUP($A67,'Data Vlaue (Cr)'!$C:$FB,5)</f>
        <v>10669.5</v>
      </c>
      <c r="F67" s="75">
        <f t="shared" si="0"/>
        <v>32</v>
      </c>
      <c r="G67" s="75">
        <f t="shared" si="1"/>
        <v>-0.11259676284306826</v>
      </c>
      <c r="H67" s="75">
        <f>VLOOKUP($A67,'Data Vlaue (Cr)'!$C:$FB,99)</f>
        <v>6327</v>
      </c>
      <c r="I67" s="75">
        <f>VLOOKUP($A67,'Data Vlaue (Cr)'!$C:$FB,100)</f>
        <v>6269</v>
      </c>
      <c r="J67" s="75">
        <f t="shared" si="2"/>
        <v>58</v>
      </c>
      <c r="K67" s="75">
        <f t="shared" si="3"/>
        <v>0.91670617986407466</v>
      </c>
      <c r="L67" s="75">
        <f>VLOOKUP($A67,'Data Vlaue (Cr)'!$C:$FB,67)</f>
        <v>3779</v>
      </c>
      <c r="M67" s="75">
        <f>VLOOKUP($A67,'Data Vlaue (Cr)'!$C:$FB,68)</f>
        <v>6811</v>
      </c>
      <c r="N67" s="75">
        <f t="shared" si="4"/>
        <v>-3032</v>
      </c>
      <c r="O67" s="75">
        <f t="shared" si="5"/>
        <v>-80.232865837523164</v>
      </c>
      <c r="P67" s="75">
        <f>VLOOKUP($A67,'Data Vlaue (Cr)'!$C:$FB,119)</f>
        <v>0.77</v>
      </c>
      <c r="Q67" s="75">
        <f>VLOOKUP($A67,'Data Vlaue (Cr)'!$C:$FB,122)*100</f>
        <v>4.05</v>
      </c>
      <c r="R67" s="75">
        <f>VLOOKUP($A67,'Data Vlaue (Cr)'!$C:$FB,125)</f>
        <v>0.52</v>
      </c>
      <c r="S67" s="75">
        <f>VLOOKUP($A67,'Data Vlaue (Cr)'!$C:$FB,128)*100</f>
        <v>13.04</v>
      </c>
    </row>
    <row r="68" spans="1:19" x14ac:dyDescent="0.25">
      <c r="A68" s="96" t="str">
        <f>'Data Vlaue (Cr)'!C59</f>
        <v>DLF</v>
      </c>
      <c r="B68" s="75">
        <f>VLOOKUP($A68,'Data Vlaue (Cr)'!$C:$FB,2)</f>
        <v>825</v>
      </c>
      <c r="C68" s="75">
        <f>VLOOKUP($A68,'Data Vlaue (Cr)'!$C:$FB,8)</f>
        <v>562.95000000000005</v>
      </c>
      <c r="D68" s="75">
        <f>VLOOKUP($A68,'Data Vlaue (Cr)'!$C:$FB,4)</f>
        <v>564.79999999999995</v>
      </c>
      <c r="E68" s="75">
        <f>VLOOKUP($A68,'Data Vlaue (Cr)'!$C:$FB,5)</f>
        <v>575.04999999999995</v>
      </c>
      <c r="F68" s="75">
        <f t="shared" si="0"/>
        <v>1.8499999999999091</v>
      </c>
      <c r="G68" s="75">
        <f t="shared" si="1"/>
        <v>-1.814801699716714</v>
      </c>
      <c r="H68" s="75">
        <f>VLOOKUP($A68,'Data Vlaue (Cr)'!$C:$FB,99)</f>
        <v>4141</v>
      </c>
      <c r="I68" s="75">
        <f>VLOOKUP($A68,'Data Vlaue (Cr)'!$C:$FB,100)</f>
        <v>4101</v>
      </c>
      <c r="J68" s="75">
        <f t="shared" si="2"/>
        <v>40</v>
      </c>
      <c r="K68" s="75">
        <f t="shared" si="3"/>
        <v>0.96595025356194153</v>
      </c>
      <c r="L68" s="75">
        <f>VLOOKUP($A68,'Data Vlaue (Cr)'!$C:$FB,67)</f>
        <v>1195</v>
      </c>
      <c r="M68" s="75">
        <f>VLOOKUP($A68,'Data Vlaue (Cr)'!$C:$FB,68)</f>
        <v>2653</v>
      </c>
      <c r="N68" s="75">
        <f t="shared" si="4"/>
        <v>-1458</v>
      </c>
      <c r="O68" s="75">
        <f t="shared" si="5"/>
        <v>-122.00836820083683</v>
      </c>
      <c r="P68" s="75">
        <f>VLOOKUP($A68,'Data Vlaue (Cr)'!$C:$FB,119)</f>
        <v>0.99</v>
      </c>
      <c r="Q68" s="75">
        <f>VLOOKUP($A68,'Data Vlaue (Cr)'!$C:$FB,122)*100</f>
        <v>-1.9800000000000002</v>
      </c>
      <c r="R68" s="75">
        <f>VLOOKUP($A68,'Data Vlaue (Cr)'!$C:$FB,125)</f>
        <v>0.63</v>
      </c>
      <c r="S68" s="75">
        <f>VLOOKUP($A68,'Data Vlaue (Cr)'!$C:$FB,128)*100</f>
        <v>1.6099999999999999</v>
      </c>
    </row>
    <row r="69" spans="1:19" x14ac:dyDescent="0.25">
      <c r="A69" s="96" t="str">
        <f>'Data Vlaue (Cr)'!C60</f>
        <v>DMART</v>
      </c>
      <c r="B69" s="75">
        <f>VLOOKUP($A69,'Data Vlaue (Cr)'!$C:$FB,2)</f>
        <v>150</v>
      </c>
      <c r="C69" s="75">
        <f>VLOOKUP($A69,'Data Vlaue (Cr)'!$C:$FB,8)</f>
        <v>4415.6000000000004</v>
      </c>
      <c r="D69" s="75">
        <f>VLOOKUP($A69,'Data Vlaue (Cr)'!$C:$FB,4)</f>
        <v>4431.3</v>
      </c>
      <c r="E69" s="75">
        <f>VLOOKUP($A69,'Data Vlaue (Cr)'!$C:$FB,5)</f>
        <v>4383.8</v>
      </c>
      <c r="F69" s="75">
        <f t="shared" si="0"/>
        <v>15.699999999999818</v>
      </c>
      <c r="G69" s="75">
        <f t="shared" si="1"/>
        <v>1.07192020400334</v>
      </c>
      <c r="H69" s="75">
        <f>VLOOKUP($A69,'Data Vlaue (Cr)'!$C:$FB,99)</f>
        <v>3259</v>
      </c>
      <c r="I69" s="75">
        <f>VLOOKUP($A69,'Data Vlaue (Cr)'!$C:$FB,100)</f>
        <v>3376</v>
      </c>
      <c r="J69" s="75">
        <f t="shared" si="2"/>
        <v>-117</v>
      </c>
      <c r="K69" s="75">
        <f t="shared" si="3"/>
        <v>-3.5900583000920525</v>
      </c>
      <c r="L69" s="75">
        <f>VLOOKUP($A69,'Data Vlaue (Cr)'!$C:$FB,67)</f>
        <v>1668</v>
      </c>
      <c r="M69" s="75">
        <f>VLOOKUP($A69,'Data Vlaue (Cr)'!$C:$FB,68)</f>
        <v>3027</v>
      </c>
      <c r="N69" s="75">
        <f t="shared" si="4"/>
        <v>-1359</v>
      </c>
      <c r="O69" s="75">
        <f t="shared" si="5"/>
        <v>-81.474820143884898</v>
      </c>
      <c r="P69" s="75">
        <f>VLOOKUP($A69,'Data Vlaue (Cr)'!$C:$FB,119)</f>
        <v>0.81</v>
      </c>
      <c r="Q69" s="75">
        <f>VLOOKUP($A69,'Data Vlaue (Cr)'!$C:$FB,122)*100</f>
        <v>-3.5700000000000003</v>
      </c>
      <c r="R69" s="75">
        <f>VLOOKUP($A69,'Data Vlaue (Cr)'!$C:$FB,125)</f>
        <v>0.57999999999999996</v>
      </c>
      <c r="S69" s="75">
        <f>VLOOKUP($A69,'Data Vlaue (Cr)'!$C:$FB,128)*100</f>
        <v>-7.9399999999999995</v>
      </c>
    </row>
    <row r="70" spans="1:19" x14ac:dyDescent="0.25">
      <c r="A70" s="96" t="str">
        <f>'Data Vlaue (Cr)'!C61</f>
        <v>DRREDDY</v>
      </c>
      <c r="B70" s="75">
        <f>VLOOKUP($A70,'Data Vlaue (Cr)'!$C:$FB,2)</f>
        <v>625</v>
      </c>
      <c r="C70" s="75">
        <f>VLOOKUP($A70,'Data Vlaue (Cr)'!$C:$FB,8)</f>
        <v>1211.9000000000001</v>
      </c>
      <c r="D70" s="75">
        <f>VLOOKUP($A70,'Data Vlaue (Cr)'!$C:$FB,4)</f>
        <v>1216.9000000000001</v>
      </c>
      <c r="E70" s="75">
        <f>VLOOKUP($A70,'Data Vlaue (Cr)'!$C:$FB,5)</f>
        <v>1193</v>
      </c>
      <c r="F70" s="75">
        <f t="shared" si="0"/>
        <v>5</v>
      </c>
      <c r="G70" s="75">
        <f t="shared" si="1"/>
        <v>1.9640069027857743</v>
      </c>
      <c r="H70" s="75">
        <f>VLOOKUP($A70,'Data Vlaue (Cr)'!$C:$FB,99)</f>
        <v>2855</v>
      </c>
      <c r="I70" s="75">
        <f>VLOOKUP($A70,'Data Vlaue (Cr)'!$C:$FB,100)</f>
        <v>3074</v>
      </c>
      <c r="J70" s="75">
        <f t="shared" si="2"/>
        <v>-219</v>
      </c>
      <c r="K70" s="75">
        <f t="shared" si="3"/>
        <v>-7.6707530647985998</v>
      </c>
      <c r="L70" s="75">
        <f>VLOOKUP($A70,'Data Vlaue (Cr)'!$C:$FB,67)</f>
        <v>2030</v>
      </c>
      <c r="M70" s="75">
        <f>VLOOKUP($A70,'Data Vlaue (Cr)'!$C:$FB,68)</f>
        <v>2029</v>
      </c>
      <c r="N70" s="75">
        <f t="shared" si="4"/>
        <v>1</v>
      </c>
      <c r="O70" s="75">
        <f t="shared" si="5"/>
        <v>4.926108374384236E-2</v>
      </c>
      <c r="P70" s="75">
        <f>VLOOKUP($A70,'Data Vlaue (Cr)'!$C:$FB,119)</f>
        <v>0.77</v>
      </c>
      <c r="Q70" s="75">
        <f>VLOOKUP($A70,'Data Vlaue (Cr)'!$C:$FB,122)*100</f>
        <v>-2.5299999999999998</v>
      </c>
      <c r="R70" s="75">
        <f>VLOOKUP($A70,'Data Vlaue (Cr)'!$C:$FB,125)</f>
        <v>0.67</v>
      </c>
      <c r="S70" s="75">
        <f>VLOOKUP($A70,'Data Vlaue (Cr)'!$C:$FB,128)*100</f>
        <v>13.56</v>
      </c>
    </row>
    <row r="71" spans="1:19" x14ac:dyDescent="0.25">
      <c r="A71" s="96" t="str">
        <f>'Data Vlaue (Cr)'!C62</f>
        <v>EICHERMOT</v>
      </c>
      <c r="B71" s="75">
        <f>VLOOKUP($A71,'Data Vlaue (Cr)'!$C:$FB,2)</f>
        <v>100</v>
      </c>
      <c r="C71" s="75">
        <f>VLOOKUP($A71,'Data Vlaue (Cr)'!$C:$FB,8)</f>
        <v>7147.5</v>
      </c>
      <c r="D71" s="75">
        <f>VLOOKUP($A71,'Data Vlaue (Cr)'!$C:$FB,4)</f>
        <v>7161</v>
      </c>
      <c r="E71" s="75">
        <f>VLOOKUP($A71,'Data Vlaue (Cr)'!$C:$FB,5)</f>
        <v>7163</v>
      </c>
      <c r="F71" s="75">
        <f t="shared" si="0"/>
        <v>13.5</v>
      </c>
      <c r="G71" s="75">
        <f t="shared" si="1"/>
        <v>-2.7929060187124703E-2</v>
      </c>
      <c r="H71" s="75">
        <f>VLOOKUP($A71,'Data Vlaue (Cr)'!$C:$FB,99)</f>
        <v>4877</v>
      </c>
      <c r="I71" s="75">
        <f>VLOOKUP($A71,'Data Vlaue (Cr)'!$C:$FB,100)</f>
        <v>4817</v>
      </c>
      <c r="J71" s="75">
        <f t="shared" si="2"/>
        <v>60</v>
      </c>
      <c r="K71" s="75">
        <f t="shared" si="3"/>
        <v>1.2302645068689768</v>
      </c>
      <c r="L71" s="75">
        <f>VLOOKUP($A71,'Data Vlaue (Cr)'!$C:$FB,67)</f>
        <v>3091</v>
      </c>
      <c r="M71" s="75">
        <f>VLOOKUP($A71,'Data Vlaue (Cr)'!$C:$FB,68)</f>
        <v>5333</v>
      </c>
      <c r="N71" s="75">
        <f t="shared" si="4"/>
        <v>-2242</v>
      </c>
      <c r="O71" s="75">
        <f t="shared" si="5"/>
        <v>-72.533160789388546</v>
      </c>
      <c r="P71" s="75">
        <f>VLOOKUP($A71,'Data Vlaue (Cr)'!$C:$FB,119)</f>
        <v>0.88</v>
      </c>
      <c r="Q71" s="75">
        <f>VLOOKUP($A71,'Data Vlaue (Cr)'!$C:$FB,122)*100</f>
        <v>12.82</v>
      </c>
      <c r="R71" s="75">
        <f>VLOOKUP($A71,'Data Vlaue (Cr)'!$C:$FB,125)</f>
        <v>0.79</v>
      </c>
      <c r="S71" s="75">
        <f>VLOOKUP($A71,'Data Vlaue (Cr)'!$C:$FB,128)*100</f>
        <v>79.55</v>
      </c>
    </row>
    <row r="72" spans="1:19" x14ac:dyDescent="0.25">
      <c r="A72" s="96" t="str">
        <f>'Data Vlaue (Cr)'!C63</f>
        <v>ETERNAL</v>
      </c>
      <c r="B72" s="75">
        <f>VLOOKUP($A72,'Data Vlaue (Cr)'!$C:$FB,2)</f>
        <v>2425</v>
      </c>
      <c r="C72" s="75">
        <f>VLOOKUP($A72,'Data Vlaue (Cr)'!$C:$FB,8)</f>
        <v>237.89</v>
      </c>
      <c r="D72" s="75">
        <f>VLOOKUP($A72,'Data Vlaue (Cr)'!$C:$FB,4)</f>
        <v>238.9</v>
      </c>
      <c r="E72" s="75">
        <f>VLOOKUP($A72,'Data Vlaue (Cr)'!$C:$FB,5)</f>
        <v>244.92</v>
      </c>
      <c r="F72" s="75">
        <f t="shared" si="0"/>
        <v>1.0100000000000193</v>
      </c>
      <c r="G72" s="75">
        <f t="shared" si="1"/>
        <v>-2.5198827961490085</v>
      </c>
      <c r="H72" s="75">
        <f>VLOOKUP($A72,'Data Vlaue (Cr)'!$C:$FB,99)</f>
        <v>7115</v>
      </c>
      <c r="I72" s="75">
        <f>VLOOKUP($A72,'Data Vlaue (Cr)'!$C:$FB,100)</f>
        <v>6901</v>
      </c>
      <c r="J72" s="75">
        <f t="shared" si="2"/>
        <v>214</v>
      </c>
      <c r="K72" s="75">
        <f t="shared" si="3"/>
        <v>3.0077301475755447</v>
      </c>
      <c r="L72" s="75">
        <f>VLOOKUP($A72,'Data Vlaue (Cr)'!$C:$FB,67)</f>
        <v>2477</v>
      </c>
      <c r="M72" s="75">
        <f>VLOOKUP($A72,'Data Vlaue (Cr)'!$C:$FB,68)</f>
        <v>3391</v>
      </c>
      <c r="N72" s="75">
        <f t="shared" si="4"/>
        <v>-914</v>
      </c>
      <c r="O72" s="75">
        <f t="shared" si="5"/>
        <v>-36.899475171578523</v>
      </c>
      <c r="P72" s="75">
        <f>VLOOKUP($A72,'Data Vlaue (Cr)'!$C:$FB,119)</f>
        <v>0.69</v>
      </c>
      <c r="Q72" s="75">
        <f>VLOOKUP($A72,'Data Vlaue (Cr)'!$C:$FB,122)*100</f>
        <v>-9.2100000000000009</v>
      </c>
      <c r="R72" s="75">
        <f>VLOOKUP($A72,'Data Vlaue (Cr)'!$C:$FB,125)</f>
        <v>0.5</v>
      </c>
      <c r="S72" s="75">
        <f>VLOOKUP($A72,'Data Vlaue (Cr)'!$C:$FB,128)*100</f>
        <v>6.38</v>
      </c>
    </row>
    <row r="73" spans="1:19" x14ac:dyDescent="0.25">
      <c r="A73" s="96" t="str">
        <f>'Data Vlaue (Cr)'!C64</f>
        <v>EXIDEIND</v>
      </c>
      <c r="B73" s="75">
        <f>VLOOKUP($A73,'Data Vlaue (Cr)'!$C:$FB,2)</f>
        <v>1800</v>
      </c>
      <c r="C73" s="75">
        <f>VLOOKUP($A73,'Data Vlaue (Cr)'!$C:$FB,8)</f>
        <v>311.25</v>
      </c>
      <c r="D73" s="75">
        <f>VLOOKUP($A73,'Data Vlaue (Cr)'!$C:$FB,4)</f>
        <v>311.85000000000002</v>
      </c>
      <c r="E73" s="75">
        <f>VLOOKUP($A73,'Data Vlaue (Cr)'!$C:$FB,5)</f>
        <v>315.7</v>
      </c>
      <c r="F73" s="75">
        <f t="shared" si="0"/>
        <v>0.60000000000002274</v>
      </c>
      <c r="G73" s="75">
        <f t="shared" si="1"/>
        <v>-1.234567901234557</v>
      </c>
      <c r="H73" s="75">
        <f>VLOOKUP($A73,'Data Vlaue (Cr)'!$C:$FB,99)</f>
        <v>1603</v>
      </c>
      <c r="I73" s="75">
        <f>VLOOKUP($A73,'Data Vlaue (Cr)'!$C:$FB,100)</f>
        <v>1444</v>
      </c>
      <c r="J73" s="75">
        <f t="shared" si="2"/>
        <v>159</v>
      </c>
      <c r="K73" s="75">
        <f t="shared" si="3"/>
        <v>9.9189020586400503</v>
      </c>
      <c r="L73" s="75">
        <f>VLOOKUP($A73,'Data Vlaue (Cr)'!$C:$FB,67)</f>
        <v>1008</v>
      </c>
      <c r="M73" s="75">
        <f>VLOOKUP($A73,'Data Vlaue (Cr)'!$C:$FB,68)</f>
        <v>789</v>
      </c>
      <c r="N73" s="75">
        <f t="shared" si="4"/>
        <v>219</v>
      </c>
      <c r="O73" s="75">
        <f t="shared" si="5"/>
        <v>21.726190476190478</v>
      </c>
      <c r="P73" s="75">
        <f>VLOOKUP($A73,'Data Vlaue (Cr)'!$C:$FB,119)</f>
        <v>0.97</v>
      </c>
      <c r="Q73" s="75">
        <f>VLOOKUP($A73,'Data Vlaue (Cr)'!$C:$FB,122)*100</f>
        <v>14.12</v>
      </c>
      <c r="R73" s="75">
        <f>VLOOKUP($A73,'Data Vlaue (Cr)'!$C:$FB,125)</f>
        <v>1.1599999999999999</v>
      </c>
      <c r="S73" s="75">
        <f>VLOOKUP($A73,'Data Vlaue (Cr)'!$C:$FB,128)*100</f>
        <v>182.93</v>
      </c>
    </row>
    <row r="74" spans="1:19" x14ac:dyDescent="0.25">
      <c r="A74" s="96" t="str">
        <f>'Data Vlaue (Cr)'!C65</f>
        <v>FEDERALBNK</v>
      </c>
      <c r="B74" s="75">
        <f>VLOOKUP($A74,'Data Vlaue (Cr)'!$C:$FB,2)</f>
        <v>5000</v>
      </c>
      <c r="C74" s="75">
        <f>VLOOKUP($A74,'Data Vlaue (Cr)'!$C:$FB,8)</f>
        <v>283.3</v>
      </c>
      <c r="D74" s="75">
        <f>VLOOKUP($A74,'Data Vlaue (Cr)'!$C:$FB,4)</f>
        <v>283.89999999999998</v>
      </c>
      <c r="E74" s="75">
        <f>VLOOKUP($A74,'Data Vlaue (Cr)'!$C:$FB,5)</f>
        <v>285.14999999999998</v>
      </c>
      <c r="F74" s="75">
        <f t="shared" si="0"/>
        <v>0.59999999999996589</v>
      </c>
      <c r="G74" s="75">
        <f t="shared" si="1"/>
        <v>-0.44029587883057419</v>
      </c>
      <c r="H74" s="75">
        <f>VLOOKUP($A74,'Data Vlaue (Cr)'!$C:$FB,99)</f>
        <v>3548</v>
      </c>
      <c r="I74" s="75">
        <f>VLOOKUP($A74,'Data Vlaue (Cr)'!$C:$FB,100)</f>
        <v>3532</v>
      </c>
      <c r="J74" s="75">
        <f t="shared" si="2"/>
        <v>16</v>
      </c>
      <c r="K74" s="75">
        <f t="shared" si="3"/>
        <v>0.45095828635851182</v>
      </c>
      <c r="L74" s="75">
        <f>VLOOKUP($A74,'Data Vlaue (Cr)'!$C:$FB,67)</f>
        <v>1476</v>
      </c>
      <c r="M74" s="75">
        <f>VLOOKUP($A74,'Data Vlaue (Cr)'!$C:$FB,68)</f>
        <v>2300</v>
      </c>
      <c r="N74" s="75">
        <f t="shared" si="4"/>
        <v>-824</v>
      </c>
      <c r="O74" s="75">
        <f t="shared" si="5"/>
        <v>-55.826558265582662</v>
      </c>
      <c r="P74" s="75">
        <f>VLOOKUP($A74,'Data Vlaue (Cr)'!$C:$FB,119)</f>
        <v>0.93</v>
      </c>
      <c r="Q74" s="75">
        <f>VLOOKUP($A74,'Data Vlaue (Cr)'!$C:$FB,122)*100</f>
        <v>0</v>
      </c>
      <c r="R74" s="75">
        <f>VLOOKUP($A74,'Data Vlaue (Cr)'!$C:$FB,125)</f>
        <v>0.59</v>
      </c>
      <c r="S74" s="75">
        <f>VLOOKUP($A74,'Data Vlaue (Cr)'!$C:$FB,128)*100</f>
        <v>-7.8100000000000005</v>
      </c>
    </row>
    <row r="75" spans="1:19" x14ac:dyDescent="0.25">
      <c r="A75" s="96" t="str">
        <f>'Data Vlaue (Cr)'!C66</f>
        <v>FINNIFTY</v>
      </c>
      <c r="B75" s="75">
        <f>VLOOKUP($A75,'Data Vlaue (Cr)'!$C:$FB,2)</f>
        <v>60</v>
      </c>
      <c r="C75" s="75">
        <f>VLOOKUP($A75,'Data Vlaue (Cr)'!$C:$FB,8)</f>
        <v>25685.85</v>
      </c>
      <c r="D75" s="75">
        <f>VLOOKUP($A75,'Data Vlaue (Cr)'!$C:$FB,4)</f>
        <v>25808.6</v>
      </c>
      <c r="E75" s="75">
        <f>VLOOKUP($A75,'Data Vlaue (Cr)'!$C:$FB,5)</f>
        <v>26167.9</v>
      </c>
      <c r="F75" s="75">
        <f t="shared" si="0"/>
        <v>122.75</v>
      </c>
      <c r="G75" s="75">
        <f>(D75-E75)/D75*100</f>
        <v>-1.3921716017141685</v>
      </c>
      <c r="H75" s="75">
        <f>VLOOKUP($A75,'Data Vlaue (Cr)'!$C:$FB,99)</f>
        <v>672</v>
      </c>
      <c r="I75" s="75">
        <f>VLOOKUP($A75,'Data Vlaue (Cr)'!$C:$FB,100)</f>
        <v>580</v>
      </c>
      <c r="J75" s="75">
        <f t="shared" si="2"/>
        <v>92</v>
      </c>
      <c r="K75" s="75">
        <f t="shared" si="3"/>
        <v>13.690476190476192</v>
      </c>
      <c r="L75" s="75">
        <f>VLOOKUP($A75,'Data Vlaue (Cr)'!$C:$FB,67)</f>
        <v>1061</v>
      </c>
      <c r="M75" s="75">
        <f>VLOOKUP($A75,'Data Vlaue (Cr)'!$C:$FB,68)</f>
        <v>1300</v>
      </c>
      <c r="N75" s="75">
        <f t="shared" si="4"/>
        <v>-239</v>
      </c>
      <c r="O75" s="75">
        <f t="shared" si="5"/>
        <v>-22.525918944392085</v>
      </c>
      <c r="P75" s="75">
        <f>VLOOKUP($A75,'Data Vlaue (Cr)'!$C:$FB,119)</f>
        <v>0.89</v>
      </c>
      <c r="Q75" s="75">
        <f>VLOOKUP($A75,'Data Vlaue (Cr)'!$C:$FB,122)*100</f>
        <v>17.11</v>
      </c>
      <c r="R75" s="75">
        <f>VLOOKUP($A75,'Data Vlaue (Cr)'!$C:$FB,125)</f>
        <v>0.92</v>
      </c>
      <c r="S75" s="75">
        <f>VLOOKUP($A75,'Data Vlaue (Cr)'!$C:$FB,128)*100</f>
        <v>104.44</v>
      </c>
    </row>
    <row r="76" spans="1:19" x14ac:dyDescent="0.25">
      <c r="A76" s="96" t="str">
        <f>'Data Vlaue (Cr)'!C67</f>
        <v>FORCEMOT</v>
      </c>
      <c r="B76" s="75">
        <f>VLOOKUP($A76,'Data Vlaue (Cr)'!$C:$FB,2)</f>
        <v>25</v>
      </c>
      <c r="C76" s="75">
        <f>VLOOKUP($A76,'Data Vlaue (Cr)'!$C:$FB,8)</f>
        <v>22168</v>
      </c>
      <c r="D76" s="75">
        <f>VLOOKUP($A76,'Data Vlaue (Cr)'!$C:$FB,4)</f>
        <v>22208</v>
      </c>
      <c r="E76" s="75">
        <f>VLOOKUP($A76,'Data Vlaue (Cr)'!$C:$FB,5)</f>
        <v>22128</v>
      </c>
      <c r="F76" s="75">
        <f t="shared" ref="F76:F139" si="6">D76-C76</f>
        <v>40</v>
      </c>
      <c r="G76" s="75">
        <f t="shared" ref="G76:G139" si="7">(D76-E76)/D76*100</f>
        <v>0.36023054755043227</v>
      </c>
      <c r="H76" s="75">
        <f>VLOOKUP($A76,'Data Vlaue (Cr)'!$C:$FB,99)</f>
        <v>312</v>
      </c>
      <c r="I76" s="75">
        <f>VLOOKUP($A76,'Data Vlaue (Cr)'!$C:$FB,100)</f>
        <v>298</v>
      </c>
      <c r="J76" s="75">
        <f t="shared" ref="J76:J139" si="8">H76-I76</f>
        <v>14</v>
      </c>
      <c r="K76" s="75">
        <f t="shared" ref="K76:K139" si="9">J76/H76*100</f>
        <v>4.4871794871794872</v>
      </c>
      <c r="L76" s="75">
        <f>VLOOKUP($A76,'Data Vlaue (Cr)'!$C:$FB,67)</f>
        <v>434</v>
      </c>
      <c r="M76" s="75">
        <f>VLOOKUP($A76,'Data Vlaue (Cr)'!$C:$FB,68)</f>
        <v>1223</v>
      </c>
      <c r="N76" s="75">
        <f t="shared" ref="N76:N139" si="10">L76-M76</f>
        <v>-789</v>
      </c>
      <c r="O76" s="75">
        <f t="shared" ref="O76:O139" si="11">N76/L76*100</f>
        <v>-181.79723502304148</v>
      </c>
      <c r="P76" s="75">
        <f>VLOOKUP($A76,'Data Vlaue (Cr)'!$C:$FB,119)</f>
        <v>0.52</v>
      </c>
      <c r="Q76" s="75">
        <f>VLOOKUP($A76,'Data Vlaue (Cr)'!$C:$FB,122)*100</f>
        <v>0</v>
      </c>
      <c r="R76" s="75">
        <f>VLOOKUP($A76,'Data Vlaue (Cr)'!$C:$FB,125)</f>
        <v>0.61</v>
      </c>
      <c r="S76" s="75">
        <f>VLOOKUP($A76,'Data Vlaue (Cr)'!$C:$FB,128)*100</f>
        <v>117.86000000000001</v>
      </c>
    </row>
    <row r="77" spans="1:19" x14ac:dyDescent="0.25">
      <c r="A77" s="96" t="str">
        <f>'Data Vlaue (Cr)'!C68</f>
        <v>FORTIS</v>
      </c>
      <c r="B77" s="75">
        <f>VLOOKUP($A77,'Data Vlaue (Cr)'!$C:$FB,2)</f>
        <v>775</v>
      </c>
      <c r="C77" s="75">
        <f>VLOOKUP($A77,'Data Vlaue (Cr)'!$C:$FB,8)</f>
        <v>850.05</v>
      </c>
      <c r="D77" s="75">
        <f>VLOOKUP($A77,'Data Vlaue (Cr)'!$C:$FB,4)</f>
        <v>853.95</v>
      </c>
      <c r="E77" s="75">
        <f>VLOOKUP($A77,'Data Vlaue (Cr)'!$C:$FB,5)</f>
        <v>842.2</v>
      </c>
      <c r="F77" s="75">
        <f t="shared" si="6"/>
        <v>3.9000000000000909</v>
      </c>
      <c r="G77" s="75">
        <f t="shared" si="7"/>
        <v>1.3759587797880437</v>
      </c>
      <c r="H77" s="75">
        <f>VLOOKUP($A77,'Data Vlaue (Cr)'!$C:$FB,99)</f>
        <v>1275</v>
      </c>
      <c r="I77" s="75">
        <f>VLOOKUP($A77,'Data Vlaue (Cr)'!$C:$FB,100)</f>
        <v>1274</v>
      </c>
      <c r="J77" s="75">
        <f t="shared" si="8"/>
        <v>1</v>
      </c>
      <c r="K77" s="75">
        <f t="shared" si="9"/>
        <v>7.8431372549019607E-2</v>
      </c>
      <c r="L77" s="75">
        <f>VLOOKUP($A77,'Data Vlaue (Cr)'!$C:$FB,67)</f>
        <v>317</v>
      </c>
      <c r="M77" s="75">
        <f>VLOOKUP($A77,'Data Vlaue (Cr)'!$C:$FB,68)</f>
        <v>504</v>
      </c>
      <c r="N77" s="75">
        <f t="shared" si="10"/>
        <v>-187</v>
      </c>
      <c r="O77" s="75">
        <f t="shared" si="11"/>
        <v>-58.990536277602523</v>
      </c>
      <c r="P77" s="75">
        <f>VLOOKUP($A77,'Data Vlaue (Cr)'!$C:$FB,119)</f>
        <v>0.7</v>
      </c>
      <c r="Q77" s="75">
        <f>VLOOKUP($A77,'Data Vlaue (Cr)'!$C:$FB,122)*100</f>
        <v>9.370000000000001</v>
      </c>
      <c r="R77" s="75">
        <f>VLOOKUP($A77,'Data Vlaue (Cr)'!$C:$FB,125)</f>
        <v>0.27</v>
      </c>
      <c r="S77" s="75">
        <f>VLOOKUP($A77,'Data Vlaue (Cr)'!$C:$FB,128)*100</f>
        <v>-42.55</v>
      </c>
    </row>
    <row r="78" spans="1:19" x14ac:dyDescent="0.25">
      <c r="A78" s="96" t="str">
        <f>'Data Vlaue (Cr)'!C69</f>
        <v>GAIL</v>
      </c>
      <c r="B78" s="75">
        <f>VLOOKUP($A78,'Data Vlaue (Cr)'!$C:$FB,2)</f>
        <v>3150</v>
      </c>
      <c r="C78" s="75">
        <f>VLOOKUP($A78,'Data Vlaue (Cr)'!$C:$FB,8)</f>
        <v>152.22</v>
      </c>
      <c r="D78" s="75">
        <f>VLOOKUP($A78,'Data Vlaue (Cr)'!$C:$FB,4)</f>
        <v>152.6</v>
      </c>
      <c r="E78" s="75">
        <f>VLOOKUP($A78,'Data Vlaue (Cr)'!$C:$FB,5)</f>
        <v>153.59</v>
      </c>
      <c r="F78" s="75">
        <f t="shared" si="6"/>
        <v>0.37999999999999545</v>
      </c>
      <c r="G78" s="75">
        <f t="shared" si="7"/>
        <v>-0.64875491480996672</v>
      </c>
      <c r="H78" s="75">
        <f>VLOOKUP($A78,'Data Vlaue (Cr)'!$C:$FB,99)</f>
        <v>2106</v>
      </c>
      <c r="I78" s="75">
        <f>VLOOKUP($A78,'Data Vlaue (Cr)'!$C:$FB,100)</f>
        <v>2112</v>
      </c>
      <c r="J78" s="75">
        <f t="shared" si="8"/>
        <v>-6</v>
      </c>
      <c r="K78" s="75">
        <f t="shared" si="9"/>
        <v>-0.28490028490028491</v>
      </c>
      <c r="L78" s="75">
        <f>VLOOKUP($A78,'Data Vlaue (Cr)'!$C:$FB,67)</f>
        <v>436</v>
      </c>
      <c r="M78" s="75">
        <f>VLOOKUP($A78,'Data Vlaue (Cr)'!$C:$FB,68)</f>
        <v>1398</v>
      </c>
      <c r="N78" s="75">
        <f t="shared" si="10"/>
        <v>-962</v>
      </c>
      <c r="O78" s="75">
        <f t="shared" si="11"/>
        <v>-220.64220183486239</v>
      </c>
      <c r="P78" s="75">
        <f>VLOOKUP($A78,'Data Vlaue (Cr)'!$C:$FB,119)</f>
        <v>1.1100000000000001</v>
      </c>
      <c r="Q78" s="75">
        <f>VLOOKUP($A78,'Data Vlaue (Cr)'!$C:$FB,122)*100</f>
        <v>0</v>
      </c>
      <c r="R78" s="75">
        <f>VLOOKUP($A78,'Data Vlaue (Cr)'!$C:$FB,125)</f>
        <v>0.67</v>
      </c>
      <c r="S78" s="75">
        <f>VLOOKUP($A78,'Data Vlaue (Cr)'!$C:$FB,128)*100</f>
        <v>-10.67</v>
      </c>
    </row>
    <row r="79" spans="1:19" x14ac:dyDescent="0.25">
      <c r="A79" s="96" t="str">
        <f>'Data Vlaue (Cr)'!C70</f>
        <v>GLENMARK</v>
      </c>
      <c r="B79" s="75">
        <f>VLOOKUP($A79,'Data Vlaue (Cr)'!$C:$FB,2)</f>
        <v>375</v>
      </c>
      <c r="C79" s="75">
        <f>VLOOKUP($A79,'Data Vlaue (Cr)'!$C:$FB,8)</f>
        <v>2169.1</v>
      </c>
      <c r="D79" s="75">
        <f>VLOOKUP($A79,'Data Vlaue (Cr)'!$C:$FB,4)</f>
        <v>2173.3000000000002</v>
      </c>
      <c r="E79" s="75">
        <f>VLOOKUP($A79,'Data Vlaue (Cr)'!$C:$FB,5)</f>
        <v>2177.6</v>
      </c>
      <c r="F79" s="75">
        <f t="shared" si="6"/>
        <v>4.2000000000002728</v>
      </c>
      <c r="G79" s="75">
        <f t="shared" si="7"/>
        <v>-0.19785579533427169</v>
      </c>
      <c r="H79" s="75">
        <f>VLOOKUP($A79,'Data Vlaue (Cr)'!$C:$FB,99)</f>
        <v>2761</v>
      </c>
      <c r="I79" s="75">
        <f>VLOOKUP($A79,'Data Vlaue (Cr)'!$C:$FB,100)</f>
        <v>2790</v>
      </c>
      <c r="J79" s="75">
        <f t="shared" si="8"/>
        <v>-29</v>
      </c>
      <c r="K79" s="75">
        <f t="shared" si="9"/>
        <v>-1.0503440782325244</v>
      </c>
      <c r="L79" s="75">
        <f>VLOOKUP($A79,'Data Vlaue (Cr)'!$C:$FB,67)</f>
        <v>779</v>
      </c>
      <c r="M79" s="75">
        <f>VLOOKUP($A79,'Data Vlaue (Cr)'!$C:$FB,68)</f>
        <v>941</v>
      </c>
      <c r="N79" s="75">
        <f t="shared" si="10"/>
        <v>-162</v>
      </c>
      <c r="O79" s="75">
        <f t="shared" si="11"/>
        <v>-20.79589216944801</v>
      </c>
      <c r="P79" s="75">
        <f>VLOOKUP($A79,'Data Vlaue (Cr)'!$C:$FB,119)</f>
        <v>0.59</v>
      </c>
      <c r="Q79" s="75">
        <f>VLOOKUP($A79,'Data Vlaue (Cr)'!$C:$FB,122)*100</f>
        <v>3.51</v>
      </c>
      <c r="R79" s="75">
        <f>VLOOKUP($A79,'Data Vlaue (Cr)'!$C:$FB,125)</f>
        <v>0.76</v>
      </c>
      <c r="S79" s="75">
        <f>VLOOKUP($A79,'Data Vlaue (Cr)'!$C:$FB,128)*100</f>
        <v>65.22</v>
      </c>
    </row>
    <row r="80" spans="1:19" x14ac:dyDescent="0.25">
      <c r="A80" s="96" t="str">
        <f>'Data Vlaue (Cr)'!C71</f>
        <v>GMRAIRPORT</v>
      </c>
      <c r="B80" s="75">
        <f>VLOOKUP($A80,'Data Vlaue (Cr)'!$C:$FB,2)</f>
        <v>6975</v>
      </c>
      <c r="C80" s="75">
        <f>VLOOKUP($A80,'Data Vlaue (Cr)'!$C:$FB,8)</f>
        <v>94.53</v>
      </c>
      <c r="D80" s="75">
        <f>VLOOKUP($A80,'Data Vlaue (Cr)'!$C:$FB,4)</f>
        <v>94.97</v>
      </c>
      <c r="E80" s="75">
        <f>VLOOKUP($A80,'Data Vlaue (Cr)'!$C:$FB,5)</f>
        <v>96.28</v>
      </c>
      <c r="F80" s="75">
        <f t="shared" si="6"/>
        <v>0.43999999999999773</v>
      </c>
      <c r="G80" s="75">
        <f t="shared" si="7"/>
        <v>-1.3793829630409629</v>
      </c>
      <c r="H80" s="75">
        <f>VLOOKUP($A80,'Data Vlaue (Cr)'!$C:$FB,99)</f>
        <v>1861</v>
      </c>
      <c r="I80" s="75">
        <f>VLOOKUP($A80,'Data Vlaue (Cr)'!$C:$FB,100)</f>
        <v>1803</v>
      </c>
      <c r="J80" s="75">
        <f t="shared" si="8"/>
        <v>58</v>
      </c>
      <c r="K80" s="75">
        <f t="shared" si="9"/>
        <v>3.1166039763567976</v>
      </c>
      <c r="L80" s="75">
        <f>VLOOKUP($A80,'Data Vlaue (Cr)'!$C:$FB,67)</f>
        <v>587</v>
      </c>
      <c r="M80" s="75">
        <f>VLOOKUP($A80,'Data Vlaue (Cr)'!$C:$FB,68)</f>
        <v>803</v>
      </c>
      <c r="N80" s="75">
        <f t="shared" si="10"/>
        <v>-216</v>
      </c>
      <c r="O80" s="75">
        <f t="shared" si="11"/>
        <v>-36.797274275979561</v>
      </c>
      <c r="P80" s="75">
        <f>VLOOKUP($A80,'Data Vlaue (Cr)'!$C:$FB,119)</f>
        <v>0.77</v>
      </c>
      <c r="Q80" s="75">
        <f>VLOOKUP($A80,'Data Vlaue (Cr)'!$C:$FB,122)*100</f>
        <v>-10.47</v>
      </c>
      <c r="R80" s="75">
        <f>VLOOKUP($A80,'Data Vlaue (Cr)'!$C:$FB,125)</f>
        <v>0.5</v>
      </c>
      <c r="S80" s="75">
        <f>VLOOKUP($A80,'Data Vlaue (Cr)'!$C:$FB,128)*100</f>
        <v>-15.25</v>
      </c>
    </row>
    <row r="81" spans="1:19" x14ac:dyDescent="0.25">
      <c r="A81" s="96" t="str">
        <f>'Data Vlaue (Cr)'!C72</f>
        <v>GODFRYPHLP</v>
      </c>
      <c r="B81" s="75">
        <f>VLOOKUP($A81,'Data Vlaue (Cr)'!$C:$FB,2)</f>
        <v>275</v>
      </c>
      <c r="C81" s="75">
        <f>VLOOKUP($A81,'Data Vlaue (Cr)'!$C:$FB,8)</f>
        <v>2034.8</v>
      </c>
      <c r="D81" s="75">
        <f>VLOOKUP($A81,'Data Vlaue (Cr)'!$C:$FB,4)</f>
        <v>2038.7</v>
      </c>
      <c r="E81" s="75">
        <f>VLOOKUP($A81,'Data Vlaue (Cr)'!$C:$FB,5)</f>
        <v>2013.8</v>
      </c>
      <c r="F81" s="75">
        <f t="shared" si="6"/>
        <v>3.9000000000000909</v>
      </c>
      <c r="G81" s="75">
        <f t="shared" si="7"/>
        <v>1.2213665571197376</v>
      </c>
      <c r="H81" s="75">
        <f>VLOOKUP($A81,'Data Vlaue (Cr)'!$C:$FB,99)</f>
        <v>106</v>
      </c>
      <c r="I81" s="75">
        <f>VLOOKUP($A81,'Data Vlaue (Cr)'!$C:$FB,100)</f>
        <v>74</v>
      </c>
      <c r="J81" s="75">
        <f t="shared" si="8"/>
        <v>32</v>
      </c>
      <c r="K81" s="75">
        <f t="shared" si="9"/>
        <v>30.188679245283019</v>
      </c>
      <c r="L81" s="75">
        <f>VLOOKUP($A81,'Data Vlaue (Cr)'!$C:$FB,67)</f>
        <v>231</v>
      </c>
      <c r="M81" s="75">
        <f>VLOOKUP($A81,'Data Vlaue (Cr)'!$C:$FB,68)</f>
        <v>90</v>
      </c>
      <c r="N81" s="75">
        <f t="shared" si="10"/>
        <v>141</v>
      </c>
      <c r="O81" s="75">
        <f t="shared" si="11"/>
        <v>61.038961038961034</v>
      </c>
      <c r="P81" s="75">
        <f>VLOOKUP($A81,'Data Vlaue (Cr)'!$C:$FB,119)</f>
        <v>0.5</v>
      </c>
      <c r="Q81" s="75">
        <f>VLOOKUP($A81,'Data Vlaue (Cr)'!$C:$FB,122)*100</f>
        <v>-49.49</v>
      </c>
      <c r="R81" s="75">
        <f>VLOOKUP($A81,'Data Vlaue (Cr)'!$C:$FB,125)</f>
        <v>0.18</v>
      </c>
      <c r="S81" s="75">
        <f>VLOOKUP($A81,'Data Vlaue (Cr)'!$C:$FB,128)*100</f>
        <v>-57.14</v>
      </c>
    </row>
    <row r="82" spans="1:19" x14ac:dyDescent="0.25">
      <c r="A82" s="96" t="str">
        <f>'Data Vlaue (Cr)'!C73</f>
        <v>GODREJCP</v>
      </c>
      <c r="B82" s="75">
        <f>VLOOKUP($A82,'Data Vlaue (Cr)'!$C:$FB,2)</f>
        <v>500</v>
      </c>
      <c r="C82" s="75">
        <f>VLOOKUP($A82,'Data Vlaue (Cr)'!$C:$FB,8)</f>
        <v>1063.3499999999999</v>
      </c>
      <c r="D82" s="75">
        <f>VLOOKUP($A82,'Data Vlaue (Cr)'!$C:$FB,4)</f>
        <v>1066.8</v>
      </c>
      <c r="E82" s="75">
        <f>VLOOKUP($A82,'Data Vlaue (Cr)'!$C:$FB,5)</f>
        <v>1080.7</v>
      </c>
      <c r="F82" s="75">
        <f t="shared" si="6"/>
        <v>3.4500000000000455</v>
      </c>
      <c r="G82" s="75">
        <f t="shared" si="7"/>
        <v>-1.3029621297337919</v>
      </c>
      <c r="H82" s="75">
        <f>VLOOKUP($A82,'Data Vlaue (Cr)'!$C:$FB,99)</f>
        <v>1566</v>
      </c>
      <c r="I82" s="75">
        <f>VLOOKUP($A82,'Data Vlaue (Cr)'!$C:$FB,100)</f>
        <v>1536</v>
      </c>
      <c r="J82" s="75">
        <f t="shared" si="8"/>
        <v>30</v>
      </c>
      <c r="K82" s="75">
        <f t="shared" si="9"/>
        <v>1.9157088122605364</v>
      </c>
      <c r="L82" s="75">
        <f>VLOOKUP($A82,'Data Vlaue (Cr)'!$C:$FB,67)</f>
        <v>287</v>
      </c>
      <c r="M82" s="75">
        <f>VLOOKUP($A82,'Data Vlaue (Cr)'!$C:$FB,68)</f>
        <v>849</v>
      </c>
      <c r="N82" s="75">
        <f t="shared" si="10"/>
        <v>-562</v>
      </c>
      <c r="O82" s="75">
        <f t="shared" si="11"/>
        <v>-195.81881533101046</v>
      </c>
      <c r="P82" s="75">
        <f>VLOOKUP($A82,'Data Vlaue (Cr)'!$C:$FB,119)</f>
        <v>0.92</v>
      </c>
      <c r="Q82" s="75">
        <f>VLOOKUP($A82,'Data Vlaue (Cr)'!$C:$FB,122)*100</f>
        <v>-1.08</v>
      </c>
      <c r="R82" s="75">
        <f>VLOOKUP($A82,'Data Vlaue (Cr)'!$C:$FB,125)</f>
        <v>0.66</v>
      </c>
      <c r="S82" s="75">
        <f>VLOOKUP($A82,'Data Vlaue (Cr)'!$C:$FB,128)*100</f>
        <v>20</v>
      </c>
    </row>
    <row r="83" spans="1:19" x14ac:dyDescent="0.25">
      <c r="A83" s="96" t="str">
        <f>'Data Vlaue (Cr)'!C74</f>
        <v>GODREJPROP</v>
      </c>
      <c r="B83" s="75">
        <f>VLOOKUP($A83,'Data Vlaue (Cr)'!$C:$FB,2)</f>
        <v>275</v>
      </c>
      <c r="C83" s="75">
        <f>VLOOKUP($A83,'Data Vlaue (Cr)'!$C:$FB,8)</f>
        <v>1695.5</v>
      </c>
      <c r="D83" s="75">
        <f>VLOOKUP($A83,'Data Vlaue (Cr)'!$C:$FB,4)</f>
        <v>1700.1</v>
      </c>
      <c r="E83" s="75">
        <f>VLOOKUP($A83,'Data Vlaue (Cr)'!$C:$FB,5)</f>
        <v>1711.3</v>
      </c>
      <c r="F83" s="75">
        <f t="shared" si="6"/>
        <v>4.5999999999999091</v>
      </c>
      <c r="G83" s="75">
        <f t="shared" si="7"/>
        <v>-0.65878477736603991</v>
      </c>
      <c r="H83" s="75">
        <f>VLOOKUP($A83,'Data Vlaue (Cr)'!$C:$FB,99)</f>
        <v>2018</v>
      </c>
      <c r="I83" s="75">
        <f>VLOOKUP($A83,'Data Vlaue (Cr)'!$C:$FB,100)</f>
        <v>2010</v>
      </c>
      <c r="J83" s="75">
        <f t="shared" si="8"/>
        <v>8</v>
      </c>
      <c r="K83" s="75">
        <f t="shared" si="9"/>
        <v>0.39643211100099107</v>
      </c>
      <c r="L83" s="75">
        <f>VLOOKUP($A83,'Data Vlaue (Cr)'!$C:$FB,67)</f>
        <v>588</v>
      </c>
      <c r="M83" s="75">
        <f>VLOOKUP($A83,'Data Vlaue (Cr)'!$C:$FB,68)</f>
        <v>1168</v>
      </c>
      <c r="N83" s="75">
        <f t="shared" si="10"/>
        <v>-580</v>
      </c>
      <c r="O83" s="75">
        <f t="shared" si="11"/>
        <v>-98.639455782312922</v>
      </c>
      <c r="P83" s="75">
        <f>VLOOKUP($A83,'Data Vlaue (Cr)'!$C:$FB,119)</f>
        <v>0.8</v>
      </c>
      <c r="Q83" s="75">
        <f>VLOOKUP($A83,'Data Vlaue (Cr)'!$C:$FB,122)*100</f>
        <v>5.26</v>
      </c>
      <c r="R83" s="75">
        <f>VLOOKUP($A83,'Data Vlaue (Cr)'!$C:$FB,125)</f>
        <v>0.93</v>
      </c>
      <c r="S83" s="75">
        <f>VLOOKUP($A83,'Data Vlaue (Cr)'!$C:$FB,128)*100</f>
        <v>60.34</v>
      </c>
    </row>
    <row r="84" spans="1:19" x14ac:dyDescent="0.25">
      <c r="A84" s="96" t="str">
        <f>'Data Vlaue (Cr)'!C75</f>
        <v>GRASIM</v>
      </c>
      <c r="B84" s="75">
        <f>VLOOKUP($A84,'Data Vlaue (Cr)'!$C:$FB,2)</f>
        <v>250</v>
      </c>
      <c r="C84" s="75">
        <f>VLOOKUP($A84,'Data Vlaue (Cr)'!$C:$FB,8)</f>
        <v>2740.5</v>
      </c>
      <c r="D84" s="75">
        <f>VLOOKUP($A84,'Data Vlaue (Cr)'!$C:$FB,4)</f>
        <v>2746.7</v>
      </c>
      <c r="E84" s="75">
        <f>VLOOKUP($A84,'Data Vlaue (Cr)'!$C:$FB,5)</f>
        <v>2766.4</v>
      </c>
      <c r="F84" s="75">
        <f t="shared" si="6"/>
        <v>6.1999999999998181</v>
      </c>
      <c r="G84" s="75">
        <f t="shared" si="7"/>
        <v>-0.71722430553028271</v>
      </c>
      <c r="H84" s="75">
        <f>VLOOKUP($A84,'Data Vlaue (Cr)'!$C:$FB,99)</f>
        <v>4665</v>
      </c>
      <c r="I84" s="75">
        <f>VLOOKUP($A84,'Data Vlaue (Cr)'!$C:$FB,100)</f>
        <v>4639</v>
      </c>
      <c r="J84" s="75">
        <f t="shared" si="8"/>
        <v>26</v>
      </c>
      <c r="K84" s="75">
        <f t="shared" si="9"/>
        <v>0.55734190782422288</v>
      </c>
      <c r="L84" s="75">
        <f>VLOOKUP($A84,'Data Vlaue (Cr)'!$C:$FB,67)</f>
        <v>570</v>
      </c>
      <c r="M84" s="75">
        <f>VLOOKUP($A84,'Data Vlaue (Cr)'!$C:$FB,68)</f>
        <v>1039</v>
      </c>
      <c r="N84" s="75">
        <f t="shared" si="10"/>
        <v>-469</v>
      </c>
      <c r="O84" s="75">
        <f t="shared" si="11"/>
        <v>-82.280701754385959</v>
      </c>
      <c r="P84" s="75">
        <f>VLOOKUP($A84,'Data Vlaue (Cr)'!$C:$FB,119)</f>
        <v>0.73</v>
      </c>
      <c r="Q84" s="75">
        <f>VLOOKUP($A84,'Data Vlaue (Cr)'!$C:$FB,122)*100</f>
        <v>-1.35</v>
      </c>
      <c r="R84" s="75">
        <f>VLOOKUP($A84,'Data Vlaue (Cr)'!$C:$FB,125)</f>
        <v>0.76</v>
      </c>
      <c r="S84" s="75">
        <f>VLOOKUP($A84,'Data Vlaue (Cr)'!$C:$FB,128)*100</f>
        <v>13.43</v>
      </c>
    </row>
    <row r="85" spans="1:19" x14ac:dyDescent="0.25">
      <c r="A85" s="96" t="str">
        <f>'Data Vlaue (Cr)'!C76</f>
        <v>HAL</v>
      </c>
      <c r="B85" s="75">
        <f>VLOOKUP($A85,'Data Vlaue (Cr)'!$C:$FB,2)</f>
        <v>150</v>
      </c>
      <c r="C85" s="75">
        <f>VLOOKUP($A85,'Data Vlaue (Cr)'!$C:$FB,8)</f>
        <v>4032.9</v>
      </c>
      <c r="D85" s="75">
        <f>VLOOKUP($A85,'Data Vlaue (Cr)'!$C:$FB,4)</f>
        <v>4052.7</v>
      </c>
      <c r="E85" s="75">
        <f>VLOOKUP($A85,'Data Vlaue (Cr)'!$C:$FB,5)</f>
        <v>3917.5</v>
      </c>
      <c r="F85" s="75">
        <f t="shared" si="6"/>
        <v>19.799999999999727</v>
      </c>
      <c r="G85" s="75">
        <f t="shared" si="7"/>
        <v>3.3360475732227854</v>
      </c>
      <c r="H85" s="75">
        <f>VLOOKUP($A85,'Data Vlaue (Cr)'!$C:$FB,99)</f>
        <v>5671</v>
      </c>
      <c r="I85" s="75">
        <f>VLOOKUP($A85,'Data Vlaue (Cr)'!$C:$FB,100)</f>
        <v>5433</v>
      </c>
      <c r="J85" s="75">
        <f t="shared" si="8"/>
        <v>238</v>
      </c>
      <c r="K85" s="75">
        <f t="shared" si="9"/>
        <v>4.1967906894727562</v>
      </c>
      <c r="L85" s="75">
        <f>VLOOKUP($A85,'Data Vlaue (Cr)'!$C:$FB,67)</f>
        <v>9649</v>
      </c>
      <c r="M85" s="75">
        <f>VLOOKUP($A85,'Data Vlaue (Cr)'!$C:$FB,68)</f>
        <v>2861</v>
      </c>
      <c r="N85" s="75">
        <f t="shared" si="10"/>
        <v>6788</v>
      </c>
      <c r="O85" s="75">
        <f t="shared" si="11"/>
        <v>70.34925899056897</v>
      </c>
      <c r="P85" s="75">
        <f>VLOOKUP($A85,'Data Vlaue (Cr)'!$C:$FB,119)</f>
        <v>0.87</v>
      </c>
      <c r="Q85" s="75">
        <f>VLOOKUP($A85,'Data Vlaue (Cr)'!$C:$FB,122)*100</f>
        <v>-4.3999999999999995</v>
      </c>
      <c r="R85" s="75">
        <f>VLOOKUP($A85,'Data Vlaue (Cr)'!$C:$FB,125)</f>
        <v>0.37</v>
      </c>
      <c r="S85" s="75">
        <f>VLOOKUP($A85,'Data Vlaue (Cr)'!$C:$FB,128)*100</f>
        <v>-26</v>
      </c>
    </row>
    <row r="86" spans="1:19" x14ac:dyDescent="0.25">
      <c r="A86" s="96" t="str">
        <f>'Data Vlaue (Cr)'!C77</f>
        <v>HAVELLS</v>
      </c>
      <c r="B86" s="75">
        <f>VLOOKUP($A86,'Data Vlaue (Cr)'!$C:$FB,2)</f>
        <v>500</v>
      </c>
      <c r="C86" s="75">
        <f>VLOOKUP($A86,'Data Vlaue (Cr)'!$C:$FB,8)</f>
        <v>1257</v>
      </c>
      <c r="D86" s="75">
        <f>VLOOKUP($A86,'Data Vlaue (Cr)'!$C:$FB,4)</f>
        <v>1258.5</v>
      </c>
      <c r="E86" s="75">
        <f>VLOOKUP($A86,'Data Vlaue (Cr)'!$C:$FB,5)</f>
        <v>1249</v>
      </c>
      <c r="F86" s="75">
        <f t="shared" si="6"/>
        <v>1.5</v>
      </c>
      <c r="G86" s="75">
        <f t="shared" si="7"/>
        <v>0.75486690504568932</v>
      </c>
      <c r="H86" s="75">
        <f>VLOOKUP($A86,'Data Vlaue (Cr)'!$C:$FB,99)</f>
        <v>1495</v>
      </c>
      <c r="I86" s="75">
        <f>VLOOKUP($A86,'Data Vlaue (Cr)'!$C:$FB,100)</f>
        <v>1497</v>
      </c>
      <c r="J86" s="75">
        <f t="shared" si="8"/>
        <v>-2</v>
      </c>
      <c r="K86" s="75">
        <f t="shared" si="9"/>
        <v>-0.13377926421404682</v>
      </c>
      <c r="L86" s="75">
        <f>VLOOKUP($A86,'Data Vlaue (Cr)'!$C:$FB,67)</f>
        <v>419</v>
      </c>
      <c r="M86" s="75">
        <f>VLOOKUP($A86,'Data Vlaue (Cr)'!$C:$FB,68)</f>
        <v>672</v>
      </c>
      <c r="N86" s="75">
        <f t="shared" si="10"/>
        <v>-253</v>
      </c>
      <c r="O86" s="75">
        <f t="shared" si="11"/>
        <v>-60.381861575178995</v>
      </c>
      <c r="P86" s="75">
        <f>VLOOKUP($A86,'Data Vlaue (Cr)'!$C:$FB,119)</f>
        <v>0.86</v>
      </c>
      <c r="Q86" s="75">
        <f>VLOOKUP($A86,'Data Vlaue (Cr)'!$C:$FB,122)*100</f>
        <v>-1.1499999999999999</v>
      </c>
      <c r="R86" s="75">
        <f>VLOOKUP($A86,'Data Vlaue (Cr)'!$C:$FB,125)</f>
        <v>0.46</v>
      </c>
      <c r="S86" s="75">
        <f>VLOOKUP($A86,'Data Vlaue (Cr)'!$C:$FB,128)*100</f>
        <v>-19.3</v>
      </c>
    </row>
    <row r="87" spans="1:19" x14ac:dyDescent="0.25">
      <c r="A87" s="96" t="str">
        <f>'Data Vlaue (Cr)'!C78</f>
        <v>HCLTECH</v>
      </c>
      <c r="B87" s="75">
        <f>VLOOKUP($A87,'Data Vlaue (Cr)'!$C:$FB,2)</f>
        <v>350</v>
      </c>
      <c r="C87" s="75">
        <f>VLOOKUP($A87,'Data Vlaue (Cr)'!$C:$FB,8)</f>
        <v>1464.9</v>
      </c>
      <c r="D87" s="75">
        <f>VLOOKUP($A87,'Data Vlaue (Cr)'!$C:$FB,4)</f>
        <v>1444.3</v>
      </c>
      <c r="E87" s="75">
        <f>VLOOKUP($A87,'Data Vlaue (Cr)'!$C:$FB,5)</f>
        <v>1427.4</v>
      </c>
      <c r="F87" s="75">
        <f t="shared" si="6"/>
        <v>-20.600000000000136</v>
      </c>
      <c r="G87" s="75">
        <f t="shared" si="7"/>
        <v>1.1701170117011608</v>
      </c>
      <c r="H87" s="75">
        <f>VLOOKUP($A87,'Data Vlaue (Cr)'!$C:$FB,99)</f>
        <v>6772</v>
      </c>
      <c r="I87" s="75">
        <f>VLOOKUP($A87,'Data Vlaue (Cr)'!$C:$FB,100)</f>
        <v>6423</v>
      </c>
      <c r="J87" s="75">
        <f t="shared" si="8"/>
        <v>349</v>
      </c>
      <c r="K87" s="75">
        <f t="shared" si="9"/>
        <v>5.1535735380980512</v>
      </c>
      <c r="L87" s="75">
        <f>VLOOKUP($A87,'Data Vlaue (Cr)'!$C:$FB,67)</f>
        <v>2723</v>
      </c>
      <c r="M87" s="75">
        <f>VLOOKUP($A87,'Data Vlaue (Cr)'!$C:$FB,68)</f>
        <v>2280</v>
      </c>
      <c r="N87" s="75">
        <f t="shared" si="10"/>
        <v>443</v>
      </c>
      <c r="O87" s="75">
        <f t="shared" si="11"/>
        <v>16.268821153139921</v>
      </c>
      <c r="P87" s="75">
        <f>VLOOKUP($A87,'Data Vlaue (Cr)'!$C:$FB,119)</f>
        <v>1.02</v>
      </c>
      <c r="Q87" s="75">
        <f>VLOOKUP($A87,'Data Vlaue (Cr)'!$C:$FB,122)*100</f>
        <v>4.08</v>
      </c>
      <c r="R87" s="75">
        <f>VLOOKUP($A87,'Data Vlaue (Cr)'!$C:$FB,125)</f>
        <v>0.66</v>
      </c>
      <c r="S87" s="75">
        <f>VLOOKUP($A87,'Data Vlaue (Cr)'!$C:$FB,128)*100</f>
        <v>29.409999999999997</v>
      </c>
    </row>
    <row r="88" spans="1:19" x14ac:dyDescent="0.25">
      <c r="A88" s="96" t="str">
        <f>'Data Vlaue (Cr)'!C79</f>
        <v>HDFCAMC</v>
      </c>
      <c r="B88" s="75">
        <f>VLOOKUP($A88,'Data Vlaue (Cr)'!$C:$FB,2)</f>
        <v>300</v>
      </c>
      <c r="C88" s="75">
        <f>VLOOKUP($A88,'Data Vlaue (Cr)'!$C:$FB,8)</f>
        <v>2515</v>
      </c>
      <c r="D88" s="75">
        <f>VLOOKUP($A88,'Data Vlaue (Cr)'!$C:$FB,4)</f>
        <v>2523.6999999999998</v>
      </c>
      <c r="E88" s="75">
        <f>VLOOKUP($A88,'Data Vlaue (Cr)'!$C:$FB,5)</f>
        <v>2546.8000000000002</v>
      </c>
      <c r="F88" s="75">
        <f t="shared" si="6"/>
        <v>8.6999999999998181</v>
      </c>
      <c r="G88" s="75">
        <f t="shared" si="7"/>
        <v>-0.91532274042082518</v>
      </c>
      <c r="H88" s="75">
        <f>VLOOKUP($A88,'Data Vlaue (Cr)'!$C:$FB,99)</f>
        <v>1898</v>
      </c>
      <c r="I88" s="75">
        <f>VLOOKUP($A88,'Data Vlaue (Cr)'!$C:$FB,100)</f>
        <v>1857</v>
      </c>
      <c r="J88" s="75">
        <f t="shared" si="8"/>
        <v>41</v>
      </c>
      <c r="K88" s="75">
        <f t="shared" si="9"/>
        <v>2.1601685985247627</v>
      </c>
      <c r="L88" s="75">
        <f>VLOOKUP($A88,'Data Vlaue (Cr)'!$C:$FB,67)</f>
        <v>738</v>
      </c>
      <c r="M88" s="75">
        <f>VLOOKUP($A88,'Data Vlaue (Cr)'!$C:$FB,68)</f>
        <v>1613</v>
      </c>
      <c r="N88" s="75">
        <f t="shared" si="10"/>
        <v>-875</v>
      </c>
      <c r="O88" s="75">
        <f t="shared" si="11"/>
        <v>-118.56368563685638</v>
      </c>
      <c r="P88" s="75">
        <f>VLOOKUP($A88,'Data Vlaue (Cr)'!$C:$FB,119)</f>
        <v>0.77</v>
      </c>
      <c r="Q88" s="75">
        <f>VLOOKUP($A88,'Data Vlaue (Cr)'!$C:$FB,122)*100</f>
        <v>-7.23</v>
      </c>
      <c r="R88" s="75">
        <f>VLOOKUP($A88,'Data Vlaue (Cr)'!$C:$FB,125)</f>
        <v>0.73</v>
      </c>
      <c r="S88" s="75">
        <f>VLOOKUP($A88,'Data Vlaue (Cr)'!$C:$FB,128)*100</f>
        <v>58.699999999999996</v>
      </c>
    </row>
    <row r="89" spans="1:19" x14ac:dyDescent="0.25">
      <c r="A89" s="96" t="str">
        <f>'Data Vlaue (Cr)'!C80</f>
        <v>HDFCBANK</v>
      </c>
      <c r="B89" s="75">
        <f>VLOOKUP($A89,'Data Vlaue (Cr)'!$C:$FB,2)</f>
        <v>550</v>
      </c>
      <c r="C89" s="75">
        <f>VLOOKUP($A89,'Data Vlaue (Cr)'!$C:$FB,8)</f>
        <v>797.7</v>
      </c>
      <c r="D89" s="75">
        <f>VLOOKUP($A89,'Data Vlaue (Cr)'!$C:$FB,4)</f>
        <v>801.1</v>
      </c>
      <c r="E89" s="75">
        <f>VLOOKUP($A89,'Data Vlaue (Cr)'!$C:$FB,5)</f>
        <v>818.05</v>
      </c>
      <c r="F89" s="75">
        <f t="shared" si="6"/>
        <v>3.3999999999999773</v>
      </c>
      <c r="G89" s="75">
        <f t="shared" si="7"/>
        <v>-2.1158407190113508</v>
      </c>
      <c r="H89" s="75">
        <f>VLOOKUP($A89,'Data Vlaue (Cr)'!$C:$FB,99)</f>
        <v>36160</v>
      </c>
      <c r="I89" s="75">
        <f>VLOOKUP($A89,'Data Vlaue (Cr)'!$C:$FB,100)</f>
        <v>35326</v>
      </c>
      <c r="J89" s="75">
        <f t="shared" si="8"/>
        <v>834</v>
      </c>
      <c r="K89" s="75">
        <f t="shared" si="9"/>
        <v>2.3064159292035398</v>
      </c>
      <c r="L89" s="75">
        <f>VLOOKUP($A89,'Data Vlaue (Cr)'!$C:$FB,67)</f>
        <v>13121</v>
      </c>
      <c r="M89" s="75">
        <f>VLOOKUP($A89,'Data Vlaue (Cr)'!$C:$FB,68)</f>
        <v>19852</v>
      </c>
      <c r="N89" s="75">
        <f t="shared" si="10"/>
        <v>-6731</v>
      </c>
      <c r="O89" s="75">
        <f t="shared" si="11"/>
        <v>-51.299443639966469</v>
      </c>
      <c r="P89" s="75">
        <f>VLOOKUP($A89,'Data Vlaue (Cr)'!$C:$FB,119)</f>
        <v>0.59</v>
      </c>
      <c r="Q89" s="75">
        <f>VLOOKUP($A89,'Data Vlaue (Cr)'!$C:$FB,122)*100</f>
        <v>-6.35</v>
      </c>
      <c r="R89" s="75">
        <f>VLOOKUP($A89,'Data Vlaue (Cr)'!$C:$FB,125)</f>
        <v>0.65</v>
      </c>
      <c r="S89" s="75">
        <f>VLOOKUP($A89,'Data Vlaue (Cr)'!$C:$FB,128)*100</f>
        <v>14.04</v>
      </c>
    </row>
    <row r="90" spans="1:19" x14ac:dyDescent="0.25">
      <c r="A90" s="96" t="str">
        <f>'Data Vlaue (Cr)'!C81</f>
        <v>HDFCLIFE</v>
      </c>
      <c r="B90" s="75">
        <f>VLOOKUP($A90,'Data Vlaue (Cr)'!$C:$FB,2)</f>
        <v>1100</v>
      </c>
      <c r="C90" s="75">
        <f>VLOOKUP($A90,'Data Vlaue (Cr)'!$C:$FB,8)</f>
        <v>591.20000000000005</v>
      </c>
      <c r="D90" s="75">
        <f>VLOOKUP($A90,'Data Vlaue (Cr)'!$C:$FB,4)</f>
        <v>593.1</v>
      </c>
      <c r="E90" s="75">
        <f>VLOOKUP($A90,'Data Vlaue (Cr)'!$C:$FB,5)</f>
        <v>601.5</v>
      </c>
      <c r="F90" s="75">
        <f t="shared" si="6"/>
        <v>1.8999999999999773</v>
      </c>
      <c r="G90" s="75">
        <f t="shared" si="7"/>
        <v>-1.4162873039959496</v>
      </c>
      <c r="H90" s="75">
        <f>VLOOKUP($A90,'Data Vlaue (Cr)'!$C:$FB,99)</f>
        <v>3787</v>
      </c>
      <c r="I90" s="75">
        <f>VLOOKUP($A90,'Data Vlaue (Cr)'!$C:$FB,100)</f>
        <v>3723</v>
      </c>
      <c r="J90" s="75">
        <f t="shared" si="8"/>
        <v>64</v>
      </c>
      <c r="K90" s="75">
        <f t="shared" si="9"/>
        <v>1.6899920781621336</v>
      </c>
      <c r="L90" s="75">
        <f>VLOOKUP($A90,'Data Vlaue (Cr)'!$C:$FB,67)</f>
        <v>1076</v>
      </c>
      <c r="M90" s="75">
        <f>VLOOKUP($A90,'Data Vlaue (Cr)'!$C:$FB,68)</f>
        <v>1417</v>
      </c>
      <c r="N90" s="75">
        <f t="shared" si="10"/>
        <v>-341</v>
      </c>
      <c r="O90" s="75">
        <f t="shared" si="11"/>
        <v>-31.691449814126393</v>
      </c>
      <c r="P90" s="75">
        <f>VLOOKUP($A90,'Data Vlaue (Cr)'!$C:$FB,119)</f>
        <v>0.62</v>
      </c>
      <c r="Q90" s="75">
        <f>VLOOKUP($A90,'Data Vlaue (Cr)'!$C:$FB,122)*100</f>
        <v>5.08</v>
      </c>
      <c r="R90" s="75">
        <f>VLOOKUP($A90,'Data Vlaue (Cr)'!$C:$FB,125)</f>
        <v>0.47</v>
      </c>
      <c r="S90" s="75">
        <f>VLOOKUP($A90,'Data Vlaue (Cr)'!$C:$FB,128)*100</f>
        <v>4.4400000000000004</v>
      </c>
    </row>
    <row r="91" spans="1:19" x14ac:dyDescent="0.25">
      <c r="A91" s="96" t="str">
        <f>'Data Vlaue (Cr)'!C82</f>
        <v>HEROMOTOCO</v>
      </c>
      <c r="B91" s="75">
        <f>VLOOKUP($A91,'Data Vlaue (Cr)'!$C:$FB,2)</f>
        <v>150</v>
      </c>
      <c r="C91" s="75">
        <f>VLOOKUP($A91,'Data Vlaue (Cr)'!$C:$FB,8)</f>
        <v>5284</v>
      </c>
      <c r="D91" s="75">
        <f>VLOOKUP($A91,'Data Vlaue (Cr)'!$C:$FB,4)</f>
        <v>5309.5</v>
      </c>
      <c r="E91" s="75">
        <f>VLOOKUP($A91,'Data Vlaue (Cr)'!$C:$FB,5)</f>
        <v>5314.5</v>
      </c>
      <c r="F91" s="75">
        <f t="shared" si="6"/>
        <v>25.5</v>
      </c>
      <c r="G91" s="75">
        <f t="shared" si="7"/>
        <v>-9.4170825878142947E-2</v>
      </c>
      <c r="H91" s="75">
        <f>VLOOKUP($A91,'Data Vlaue (Cr)'!$C:$FB,99)</f>
        <v>3296</v>
      </c>
      <c r="I91" s="75">
        <f>VLOOKUP($A91,'Data Vlaue (Cr)'!$C:$FB,100)</f>
        <v>3164</v>
      </c>
      <c r="J91" s="75">
        <f t="shared" si="8"/>
        <v>132</v>
      </c>
      <c r="K91" s="75">
        <f t="shared" si="9"/>
        <v>4.0048543689320395</v>
      </c>
      <c r="L91" s="75">
        <f>VLOOKUP($A91,'Data Vlaue (Cr)'!$C:$FB,67)</f>
        <v>1856</v>
      </c>
      <c r="M91" s="75">
        <f>VLOOKUP($A91,'Data Vlaue (Cr)'!$C:$FB,68)</f>
        <v>2376</v>
      </c>
      <c r="N91" s="75">
        <f t="shared" si="10"/>
        <v>-520</v>
      </c>
      <c r="O91" s="75">
        <f t="shared" si="11"/>
        <v>-28.017241379310342</v>
      </c>
      <c r="P91" s="75">
        <f>VLOOKUP($A91,'Data Vlaue (Cr)'!$C:$FB,119)</f>
        <v>0.84</v>
      </c>
      <c r="Q91" s="75">
        <f>VLOOKUP($A91,'Data Vlaue (Cr)'!$C:$FB,122)*100</f>
        <v>-3.45</v>
      </c>
      <c r="R91" s="75">
        <f>VLOOKUP($A91,'Data Vlaue (Cr)'!$C:$FB,125)</f>
        <v>0.56999999999999995</v>
      </c>
      <c r="S91" s="75">
        <f>VLOOKUP($A91,'Data Vlaue (Cr)'!$C:$FB,128)*100</f>
        <v>-10.94</v>
      </c>
    </row>
    <row r="92" spans="1:19" x14ac:dyDescent="0.25">
      <c r="A92" s="96" t="str">
        <f>'Data Vlaue (Cr)'!C83</f>
        <v>HINDALCO</v>
      </c>
      <c r="B92" s="75">
        <f>VLOOKUP($A92,'Data Vlaue (Cr)'!$C:$FB,2)</f>
        <v>700</v>
      </c>
      <c r="C92" s="75">
        <f>VLOOKUP($A92,'Data Vlaue (Cr)'!$C:$FB,8)</f>
        <v>985.65</v>
      </c>
      <c r="D92" s="75">
        <f>VLOOKUP($A92,'Data Vlaue (Cr)'!$C:$FB,4)</f>
        <v>988.35</v>
      </c>
      <c r="E92" s="75">
        <f>VLOOKUP($A92,'Data Vlaue (Cr)'!$C:$FB,5)</f>
        <v>955.75</v>
      </c>
      <c r="F92" s="75">
        <f t="shared" si="6"/>
        <v>2.7000000000000455</v>
      </c>
      <c r="G92" s="75">
        <f t="shared" si="7"/>
        <v>3.2984266707138179</v>
      </c>
      <c r="H92" s="75">
        <f>VLOOKUP($A92,'Data Vlaue (Cr)'!$C:$FB,99)</f>
        <v>5987</v>
      </c>
      <c r="I92" s="75">
        <f>VLOOKUP($A92,'Data Vlaue (Cr)'!$C:$FB,100)</f>
        <v>5788</v>
      </c>
      <c r="J92" s="75">
        <f t="shared" si="8"/>
        <v>199</v>
      </c>
      <c r="K92" s="75">
        <f t="shared" si="9"/>
        <v>3.3238683814932357</v>
      </c>
      <c r="L92" s="75">
        <f>VLOOKUP($A92,'Data Vlaue (Cr)'!$C:$FB,67)</f>
        <v>7307</v>
      </c>
      <c r="M92" s="75">
        <f>VLOOKUP($A92,'Data Vlaue (Cr)'!$C:$FB,68)</f>
        <v>4756</v>
      </c>
      <c r="N92" s="75">
        <f t="shared" si="10"/>
        <v>2551</v>
      </c>
      <c r="O92" s="75">
        <f t="shared" si="11"/>
        <v>34.911728479540166</v>
      </c>
      <c r="P92" s="75">
        <f>VLOOKUP($A92,'Data Vlaue (Cr)'!$C:$FB,119)</f>
        <v>0.72</v>
      </c>
      <c r="Q92" s="75">
        <f>VLOOKUP($A92,'Data Vlaue (Cr)'!$C:$FB,122)*100</f>
        <v>16.13</v>
      </c>
      <c r="R92" s="75">
        <f>VLOOKUP($A92,'Data Vlaue (Cr)'!$C:$FB,125)</f>
        <v>0.43</v>
      </c>
      <c r="S92" s="75">
        <f>VLOOKUP($A92,'Data Vlaue (Cr)'!$C:$FB,128)*100</f>
        <v>-35.82</v>
      </c>
    </row>
    <row r="93" spans="1:19" x14ac:dyDescent="0.25">
      <c r="A93" s="96" t="str">
        <f>'Data Vlaue (Cr)'!C84</f>
        <v>HINDPETRO</v>
      </c>
      <c r="B93" s="75">
        <f>VLOOKUP($A93,'Data Vlaue (Cr)'!$C:$FB,2)</f>
        <v>2025</v>
      </c>
      <c r="C93" s="75">
        <f>VLOOKUP($A93,'Data Vlaue (Cr)'!$C:$FB,8)</f>
        <v>358</v>
      </c>
      <c r="D93" s="75">
        <f>VLOOKUP($A93,'Data Vlaue (Cr)'!$C:$FB,4)</f>
        <v>358.85</v>
      </c>
      <c r="E93" s="75">
        <f>VLOOKUP($A93,'Data Vlaue (Cr)'!$C:$FB,5)</f>
        <v>364.95</v>
      </c>
      <c r="F93" s="75">
        <f t="shared" si="6"/>
        <v>0.85000000000002274</v>
      </c>
      <c r="G93" s="75">
        <f t="shared" si="7"/>
        <v>-1.6998745994147877</v>
      </c>
      <c r="H93" s="75">
        <f>VLOOKUP($A93,'Data Vlaue (Cr)'!$C:$FB,99)</f>
        <v>2771</v>
      </c>
      <c r="I93" s="75">
        <f>VLOOKUP($A93,'Data Vlaue (Cr)'!$C:$FB,100)</f>
        <v>2730</v>
      </c>
      <c r="J93" s="75">
        <f t="shared" si="8"/>
        <v>41</v>
      </c>
      <c r="K93" s="75">
        <f t="shared" si="9"/>
        <v>1.4796102490075786</v>
      </c>
      <c r="L93" s="75">
        <f>VLOOKUP($A93,'Data Vlaue (Cr)'!$C:$FB,67)</f>
        <v>1735</v>
      </c>
      <c r="M93" s="75">
        <f>VLOOKUP($A93,'Data Vlaue (Cr)'!$C:$FB,68)</f>
        <v>4341</v>
      </c>
      <c r="N93" s="75">
        <f t="shared" si="10"/>
        <v>-2606</v>
      </c>
      <c r="O93" s="75">
        <f t="shared" si="11"/>
        <v>-150.20172910662822</v>
      </c>
      <c r="P93" s="75">
        <f>VLOOKUP($A93,'Data Vlaue (Cr)'!$C:$FB,119)</f>
        <v>0.89</v>
      </c>
      <c r="Q93" s="75">
        <f>VLOOKUP($A93,'Data Vlaue (Cr)'!$C:$FB,122)*100</f>
        <v>-1.1100000000000001</v>
      </c>
      <c r="R93" s="75">
        <f>VLOOKUP($A93,'Data Vlaue (Cr)'!$C:$FB,125)</f>
        <v>0.66</v>
      </c>
      <c r="S93" s="75">
        <f>VLOOKUP($A93,'Data Vlaue (Cr)'!$C:$FB,128)*100</f>
        <v>26.919999999999998</v>
      </c>
    </row>
    <row r="94" spans="1:19" x14ac:dyDescent="0.25">
      <c r="A94" s="96" t="str">
        <f>'Data Vlaue (Cr)'!C85</f>
        <v>HINDUNILVR</v>
      </c>
      <c r="B94" s="75">
        <f>VLOOKUP($A94,'Data Vlaue (Cr)'!$C:$FB,2)</f>
        <v>300</v>
      </c>
      <c r="C94" s="75">
        <f>VLOOKUP($A94,'Data Vlaue (Cr)'!$C:$FB,8)</f>
        <v>2133.1999999999998</v>
      </c>
      <c r="D94" s="75">
        <f>VLOOKUP($A94,'Data Vlaue (Cr)'!$C:$FB,4)</f>
        <v>2143.3000000000002</v>
      </c>
      <c r="E94" s="75">
        <f>VLOOKUP($A94,'Data Vlaue (Cr)'!$C:$FB,5)</f>
        <v>2156.6999999999998</v>
      </c>
      <c r="F94" s="75">
        <f t="shared" si="6"/>
        <v>10.100000000000364</v>
      </c>
      <c r="G94" s="75">
        <f t="shared" si="7"/>
        <v>-0.62520412448092366</v>
      </c>
      <c r="H94" s="75">
        <f>VLOOKUP($A94,'Data Vlaue (Cr)'!$C:$FB,99)</f>
        <v>5307</v>
      </c>
      <c r="I94" s="75">
        <f>VLOOKUP($A94,'Data Vlaue (Cr)'!$C:$FB,100)</f>
        <v>5140</v>
      </c>
      <c r="J94" s="75">
        <f t="shared" si="8"/>
        <v>167</v>
      </c>
      <c r="K94" s="75">
        <f t="shared" si="9"/>
        <v>3.1467872621066517</v>
      </c>
      <c r="L94" s="75">
        <f>VLOOKUP($A94,'Data Vlaue (Cr)'!$C:$FB,67)</f>
        <v>1963</v>
      </c>
      <c r="M94" s="75">
        <f>VLOOKUP($A94,'Data Vlaue (Cr)'!$C:$FB,68)</f>
        <v>4130</v>
      </c>
      <c r="N94" s="75">
        <f t="shared" si="10"/>
        <v>-2167</v>
      </c>
      <c r="O94" s="75">
        <f t="shared" si="11"/>
        <v>-110.39225674987266</v>
      </c>
      <c r="P94" s="75">
        <f>VLOOKUP($A94,'Data Vlaue (Cr)'!$C:$FB,119)</f>
        <v>0.77</v>
      </c>
      <c r="Q94" s="75">
        <f>VLOOKUP($A94,'Data Vlaue (Cr)'!$C:$FB,122)*100</f>
        <v>-7.23</v>
      </c>
      <c r="R94" s="75">
        <f>VLOOKUP($A94,'Data Vlaue (Cr)'!$C:$FB,125)</f>
        <v>0.53</v>
      </c>
      <c r="S94" s="75">
        <f>VLOOKUP($A94,'Data Vlaue (Cr)'!$C:$FB,128)*100</f>
        <v>-31.169999999999998</v>
      </c>
    </row>
    <row r="95" spans="1:19" x14ac:dyDescent="0.25">
      <c r="A95" s="96" t="str">
        <f>'Data Vlaue (Cr)'!C86</f>
        <v>HINDZINC</v>
      </c>
      <c r="B95" s="75">
        <f>VLOOKUP($A95,'Data Vlaue (Cr)'!$C:$FB,2)</f>
        <v>1225</v>
      </c>
      <c r="C95" s="75">
        <f>VLOOKUP($A95,'Data Vlaue (Cr)'!$C:$FB,8)</f>
        <v>558.5</v>
      </c>
      <c r="D95" s="75">
        <f>VLOOKUP($A95,'Data Vlaue (Cr)'!$C:$FB,4)</f>
        <v>559.95000000000005</v>
      </c>
      <c r="E95" s="75">
        <f>VLOOKUP($A95,'Data Vlaue (Cr)'!$C:$FB,5)</f>
        <v>560.4</v>
      </c>
      <c r="F95" s="75">
        <f t="shared" si="6"/>
        <v>1.4500000000000455</v>
      </c>
      <c r="G95" s="75">
        <f t="shared" si="7"/>
        <v>-8.0364318242688054E-2</v>
      </c>
      <c r="H95" s="75">
        <f>VLOOKUP($A95,'Data Vlaue (Cr)'!$C:$FB,99)</f>
        <v>3734</v>
      </c>
      <c r="I95" s="75">
        <f>VLOOKUP($A95,'Data Vlaue (Cr)'!$C:$FB,100)</f>
        <v>3720</v>
      </c>
      <c r="J95" s="75">
        <f t="shared" si="8"/>
        <v>14</v>
      </c>
      <c r="K95" s="75">
        <f t="shared" si="9"/>
        <v>0.37493304767005892</v>
      </c>
      <c r="L95" s="75">
        <f>VLOOKUP($A95,'Data Vlaue (Cr)'!$C:$FB,67)</f>
        <v>1361</v>
      </c>
      <c r="M95" s="75">
        <f>VLOOKUP($A95,'Data Vlaue (Cr)'!$C:$FB,68)</f>
        <v>2517</v>
      </c>
      <c r="N95" s="75">
        <f t="shared" si="10"/>
        <v>-1156</v>
      </c>
      <c r="O95" s="75">
        <f t="shared" si="11"/>
        <v>-84.937545922116087</v>
      </c>
      <c r="P95" s="75">
        <f>VLOOKUP($A95,'Data Vlaue (Cr)'!$C:$FB,119)</f>
        <v>0.82</v>
      </c>
      <c r="Q95" s="75">
        <f>VLOOKUP($A95,'Data Vlaue (Cr)'!$C:$FB,122)*100</f>
        <v>1.23</v>
      </c>
      <c r="R95" s="75">
        <f>VLOOKUP($A95,'Data Vlaue (Cr)'!$C:$FB,125)</f>
        <v>0.66</v>
      </c>
      <c r="S95" s="75">
        <f>VLOOKUP($A95,'Data Vlaue (Cr)'!$C:$FB,128)*100</f>
        <v>13.79</v>
      </c>
    </row>
    <row r="96" spans="1:19" x14ac:dyDescent="0.25">
      <c r="A96" s="96" t="str">
        <f>'Data Vlaue (Cr)'!C87</f>
        <v>HUDCO</v>
      </c>
      <c r="B96" s="75">
        <f>VLOOKUP($A96,'Data Vlaue (Cr)'!$C:$FB,2)</f>
        <v>2775</v>
      </c>
      <c r="C96" s="75">
        <f>VLOOKUP($A96,'Data Vlaue (Cr)'!$C:$FB,8)</f>
        <v>181.93</v>
      </c>
      <c r="D96" s="75">
        <f>VLOOKUP($A96,'Data Vlaue (Cr)'!$C:$FB,4)</f>
        <v>182.64</v>
      </c>
      <c r="E96" s="75">
        <f>VLOOKUP($A96,'Data Vlaue (Cr)'!$C:$FB,5)</f>
        <v>183.19</v>
      </c>
      <c r="F96" s="75">
        <f t="shared" si="6"/>
        <v>0.70999999999997954</v>
      </c>
      <c r="G96" s="75">
        <f t="shared" si="7"/>
        <v>-0.30113885238721605</v>
      </c>
      <c r="H96" s="75">
        <f>VLOOKUP($A96,'Data Vlaue (Cr)'!$C:$FB,99)</f>
        <v>794</v>
      </c>
      <c r="I96" s="75">
        <f>VLOOKUP($A96,'Data Vlaue (Cr)'!$C:$FB,100)</f>
        <v>775</v>
      </c>
      <c r="J96" s="75">
        <f t="shared" si="8"/>
        <v>19</v>
      </c>
      <c r="K96" s="75">
        <f t="shared" si="9"/>
        <v>2.3929471032745591</v>
      </c>
      <c r="L96" s="75">
        <f>VLOOKUP($A96,'Data Vlaue (Cr)'!$C:$FB,67)</f>
        <v>225</v>
      </c>
      <c r="M96" s="75">
        <f>VLOOKUP($A96,'Data Vlaue (Cr)'!$C:$FB,68)</f>
        <v>393</v>
      </c>
      <c r="N96" s="75">
        <f t="shared" si="10"/>
        <v>-168</v>
      </c>
      <c r="O96" s="75">
        <f t="shared" si="11"/>
        <v>-74.666666666666671</v>
      </c>
      <c r="P96" s="75">
        <f>VLOOKUP($A96,'Data Vlaue (Cr)'!$C:$FB,119)</f>
        <v>0.84</v>
      </c>
      <c r="Q96" s="75">
        <f>VLOOKUP($A96,'Data Vlaue (Cr)'!$C:$FB,122)*100</f>
        <v>-1.18</v>
      </c>
      <c r="R96" s="75">
        <f>VLOOKUP($A96,'Data Vlaue (Cr)'!$C:$FB,125)</f>
        <v>0.47</v>
      </c>
      <c r="S96" s="75">
        <f>VLOOKUP($A96,'Data Vlaue (Cr)'!$C:$FB,128)*100</f>
        <v>-11.32</v>
      </c>
    </row>
    <row r="97" spans="1:19" x14ac:dyDescent="0.25">
      <c r="A97" s="96" t="str">
        <f>'Data Vlaue (Cr)'!C88</f>
        <v>HYUNDAI</v>
      </c>
      <c r="B97" s="75">
        <f>VLOOKUP($A97,'Data Vlaue (Cr)'!$C:$FB,2)</f>
        <v>275</v>
      </c>
      <c r="C97" s="75">
        <f>VLOOKUP($A97,'Data Vlaue (Cr)'!$C:$FB,8)</f>
        <v>1768.3</v>
      </c>
      <c r="D97" s="75">
        <f>VLOOKUP($A97,'Data Vlaue (Cr)'!$C:$FB,4)</f>
        <v>1750.2</v>
      </c>
      <c r="E97" s="75">
        <f>VLOOKUP($A97,'Data Vlaue (Cr)'!$C:$FB,5)</f>
        <v>1767.2</v>
      </c>
      <c r="F97" s="75">
        <f t="shared" si="6"/>
        <v>-18.099999999999909</v>
      </c>
      <c r="G97" s="75">
        <f t="shared" si="7"/>
        <v>-0.97131756370700484</v>
      </c>
      <c r="H97" s="75">
        <f>VLOOKUP($A97,'Data Vlaue (Cr)'!$C:$FB,99)</f>
        <v>1086</v>
      </c>
      <c r="I97" s="75">
        <f>VLOOKUP($A97,'Data Vlaue (Cr)'!$C:$FB,100)</f>
        <v>916</v>
      </c>
      <c r="J97" s="75">
        <f t="shared" si="8"/>
        <v>170</v>
      </c>
      <c r="K97" s="75">
        <f t="shared" si="9"/>
        <v>15.653775322283609</v>
      </c>
      <c r="L97" s="75">
        <f>VLOOKUP($A97,'Data Vlaue (Cr)'!$C:$FB,67)</f>
        <v>702</v>
      </c>
      <c r="M97" s="75">
        <f>VLOOKUP($A97,'Data Vlaue (Cr)'!$C:$FB,68)</f>
        <v>839</v>
      </c>
      <c r="N97" s="75">
        <f t="shared" si="10"/>
        <v>-137</v>
      </c>
      <c r="O97" s="75">
        <f t="shared" si="11"/>
        <v>-19.515669515669515</v>
      </c>
      <c r="P97" s="75">
        <f>VLOOKUP($A97,'Data Vlaue (Cr)'!$C:$FB,119)</f>
        <v>0.67</v>
      </c>
      <c r="Q97" s="75">
        <f>VLOOKUP($A97,'Data Vlaue (Cr)'!$C:$FB,122)*100</f>
        <v>-9.4600000000000009</v>
      </c>
      <c r="R97" s="75">
        <f>VLOOKUP($A97,'Data Vlaue (Cr)'!$C:$FB,125)</f>
        <v>0.43</v>
      </c>
      <c r="S97" s="75">
        <f>VLOOKUP($A97,'Data Vlaue (Cr)'!$C:$FB,128)*100</f>
        <v>59.260000000000005</v>
      </c>
    </row>
    <row r="98" spans="1:19" x14ac:dyDescent="0.25">
      <c r="A98" s="96" t="str">
        <f>'Data Vlaue (Cr)'!C89</f>
        <v>ICICIBANK</v>
      </c>
      <c r="B98" s="75">
        <f>VLOOKUP($A98,'Data Vlaue (Cr)'!$C:$FB,2)</f>
        <v>700</v>
      </c>
      <c r="C98" s="75">
        <f>VLOOKUP($A98,'Data Vlaue (Cr)'!$C:$FB,8)</f>
        <v>1281.3</v>
      </c>
      <c r="D98" s="75">
        <f>VLOOKUP($A98,'Data Vlaue (Cr)'!$C:$FB,4)</f>
        <v>1286.9000000000001</v>
      </c>
      <c r="E98" s="75">
        <f>VLOOKUP($A98,'Data Vlaue (Cr)'!$C:$FB,5)</f>
        <v>1314.5</v>
      </c>
      <c r="F98" s="75">
        <f t="shared" si="6"/>
        <v>5.6000000000001364</v>
      </c>
      <c r="G98" s="75">
        <f t="shared" si="7"/>
        <v>-2.1446887870075302</v>
      </c>
      <c r="H98" s="75">
        <f>VLOOKUP($A98,'Data Vlaue (Cr)'!$C:$FB,99)</f>
        <v>19704</v>
      </c>
      <c r="I98" s="75">
        <f>VLOOKUP($A98,'Data Vlaue (Cr)'!$C:$FB,100)</f>
        <v>19594</v>
      </c>
      <c r="J98" s="75">
        <f t="shared" si="8"/>
        <v>110</v>
      </c>
      <c r="K98" s="75">
        <f t="shared" si="9"/>
        <v>0.55826228177019888</v>
      </c>
      <c r="L98" s="75">
        <f>VLOOKUP($A98,'Data Vlaue (Cr)'!$C:$FB,67)</f>
        <v>7160</v>
      </c>
      <c r="M98" s="75">
        <f>VLOOKUP($A98,'Data Vlaue (Cr)'!$C:$FB,68)</f>
        <v>9959</v>
      </c>
      <c r="N98" s="75">
        <f t="shared" si="10"/>
        <v>-2799</v>
      </c>
      <c r="O98" s="75">
        <f t="shared" si="11"/>
        <v>-39.092178770949722</v>
      </c>
      <c r="P98" s="75">
        <f>VLOOKUP($A98,'Data Vlaue (Cr)'!$C:$FB,119)</f>
        <v>0.86</v>
      </c>
      <c r="Q98" s="75">
        <f>VLOOKUP($A98,'Data Vlaue (Cr)'!$C:$FB,122)*100</f>
        <v>-13.13</v>
      </c>
      <c r="R98" s="75">
        <f>VLOOKUP($A98,'Data Vlaue (Cr)'!$C:$FB,125)</f>
        <v>0.92</v>
      </c>
      <c r="S98" s="75">
        <f>VLOOKUP($A98,'Data Vlaue (Cr)'!$C:$FB,128)*100</f>
        <v>19.48</v>
      </c>
    </row>
    <row r="99" spans="1:19" x14ac:dyDescent="0.25">
      <c r="A99" s="96" t="str">
        <f>'Data Vlaue (Cr)'!C90</f>
        <v>ICICIGI</v>
      </c>
      <c r="B99" s="75">
        <f>VLOOKUP($A99,'Data Vlaue (Cr)'!$C:$FB,2)</f>
        <v>325</v>
      </c>
      <c r="C99" s="75">
        <f>VLOOKUP($A99,'Data Vlaue (Cr)'!$C:$FB,8)</f>
        <v>1768.6</v>
      </c>
      <c r="D99" s="75">
        <f>VLOOKUP($A99,'Data Vlaue (Cr)'!$C:$FB,4)</f>
        <v>1777.5</v>
      </c>
      <c r="E99" s="75">
        <f>VLOOKUP($A99,'Data Vlaue (Cr)'!$C:$FB,5)</f>
        <v>1755.6</v>
      </c>
      <c r="F99" s="75">
        <f t="shared" si="6"/>
        <v>8.9000000000000909</v>
      </c>
      <c r="G99" s="75">
        <f t="shared" si="7"/>
        <v>1.2320675105485284</v>
      </c>
      <c r="H99" s="75">
        <f>VLOOKUP($A99,'Data Vlaue (Cr)'!$C:$FB,99)</f>
        <v>1214</v>
      </c>
      <c r="I99" s="75">
        <f>VLOOKUP($A99,'Data Vlaue (Cr)'!$C:$FB,100)</f>
        <v>1126</v>
      </c>
      <c r="J99" s="75">
        <f t="shared" si="8"/>
        <v>88</v>
      </c>
      <c r="K99" s="75">
        <f t="shared" si="9"/>
        <v>7.2487644151565069</v>
      </c>
      <c r="L99" s="75">
        <f>VLOOKUP($A99,'Data Vlaue (Cr)'!$C:$FB,67)</f>
        <v>782</v>
      </c>
      <c r="M99" s="75">
        <f>VLOOKUP($A99,'Data Vlaue (Cr)'!$C:$FB,68)</f>
        <v>404</v>
      </c>
      <c r="N99" s="75">
        <f t="shared" si="10"/>
        <v>378</v>
      </c>
      <c r="O99" s="75">
        <f t="shared" si="11"/>
        <v>48.337595907928389</v>
      </c>
      <c r="P99" s="75">
        <f>VLOOKUP($A99,'Data Vlaue (Cr)'!$C:$FB,119)</f>
        <v>0.8</v>
      </c>
      <c r="Q99" s="75">
        <f>VLOOKUP($A99,'Data Vlaue (Cr)'!$C:$FB,122)*100</f>
        <v>-19.189999999999998</v>
      </c>
      <c r="R99" s="75">
        <f>VLOOKUP($A99,'Data Vlaue (Cr)'!$C:$FB,125)</f>
        <v>0.82</v>
      </c>
      <c r="S99" s="75">
        <f>VLOOKUP($A99,'Data Vlaue (Cr)'!$C:$FB,128)*100</f>
        <v>7.89</v>
      </c>
    </row>
    <row r="100" spans="1:19" x14ac:dyDescent="0.25">
      <c r="A100" s="96" t="str">
        <f>'Data Vlaue (Cr)'!C91</f>
        <v>ICICIPRULI</v>
      </c>
      <c r="B100" s="75">
        <f>VLOOKUP($A100,'Data Vlaue (Cr)'!$C:$FB,2)</f>
        <v>925</v>
      </c>
      <c r="C100" s="75">
        <f>VLOOKUP($A100,'Data Vlaue (Cr)'!$C:$FB,8)</f>
        <v>541.95000000000005</v>
      </c>
      <c r="D100" s="75">
        <f>VLOOKUP($A100,'Data Vlaue (Cr)'!$C:$FB,4)</f>
        <v>544.65</v>
      </c>
      <c r="E100" s="75">
        <f>VLOOKUP($A100,'Data Vlaue (Cr)'!$C:$FB,5)</f>
        <v>543.20000000000005</v>
      </c>
      <c r="F100" s="75">
        <f t="shared" si="6"/>
        <v>2.6999999999999318</v>
      </c>
      <c r="G100" s="75">
        <f t="shared" si="7"/>
        <v>0.26622601670796509</v>
      </c>
      <c r="H100" s="75">
        <f>VLOOKUP($A100,'Data Vlaue (Cr)'!$C:$FB,99)</f>
        <v>1192</v>
      </c>
      <c r="I100" s="75">
        <f>VLOOKUP($A100,'Data Vlaue (Cr)'!$C:$FB,100)</f>
        <v>1175</v>
      </c>
      <c r="J100" s="75">
        <f t="shared" si="8"/>
        <v>17</v>
      </c>
      <c r="K100" s="75">
        <f t="shared" si="9"/>
        <v>1.4261744966442953</v>
      </c>
      <c r="L100" s="75">
        <f>VLOOKUP($A100,'Data Vlaue (Cr)'!$C:$FB,67)</f>
        <v>380</v>
      </c>
      <c r="M100" s="75">
        <f>VLOOKUP($A100,'Data Vlaue (Cr)'!$C:$FB,68)</f>
        <v>209</v>
      </c>
      <c r="N100" s="75">
        <f t="shared" si="10"/>
        <v>171</v>
      </c>
      <c r="O100" s="75">
        <f t="shared" si="11"/>
        <v>45</v>
      </c>
      <c r="P100" s="75">
        <f>VLOOKUP($A100,'Data Vlaue (Cr)'!$C:$FB,119)</f>
        <v>0.92</v>
      </c>
      <c r="Q100" s="75">
        <f>VLOOKUP($A100,'Data Vlaue (Cr)'!$C:$FB,122)*100</f>
        <v>-6.12</v>
      </c>
      <c r="R100" s="75">
        <f>VLOOKUP($A100,'Data Vlaue (Cr)'!$C:$FB,125)</f>
        <v>0.3</v>
      </c>
      <c r="S100" s="75">
        <f>VLOOKUP($A100,'Data Vlaue (Cr)'!$C:$FB,128)*100</f>
        <v>-54.55</v>
      </c>
    </row>
    <row r="101" spans="1:19" x14ac:dyDescent="0.25">
      <c r="A101" s="96" t="str">
        <f>'Data Vlaue (Cr)'!C92</f>
        <v>IDEA</v>
      </c>
      <c r="B101" s="75">
        <f>VLOOKUP($A101,'Data Vlaue (Cr)'!$C:$FB,2)</f>
        <v>71475</v>
      </c>
      <c r="C101" s="75">
        <f>VLOOKUP($A101,'Data Vlaue (Cr)'!$C:$FB,8)</f>
        <v>9.1199999999999992</v>
      </c>
      <c r="D101" s="75">
        <f>VLOOKUP($A101,'Data Vlaue (Cr)'!$C:$FB,4)</f>
        <v>9.18</v>
      </c>
      <c r="E101" s="75">
        <f>VLOOKUP($A101,'Data Vlaue (Cr)'!$C:$FB,5)</f>
        <v>9.26</v>
      </c>
      <c r="F101" s="75">
        <f t="shared" si="6"/>
        <v>6.0000000000000497E-2</v>
      </c>
      <c r="G101" s="75">
        <f t="shared" si="7"/>
        <v>-0.87145969498910758</v>
      </c>
      <c r="H101" s="75">
        <f>VLOOKUP($A101,'Data Vlaue (Cr)'!$C:$FB,99)</f>
        <v>8018</v>
      </c>
      <c r="I101" s="75">
        <f>VLOOKUP($A101,'Data Vlaue (Cr)'!$C:$FB,100)</f>
        <v>7948</v>
      </c>
      <c r="J101" s="75">
        <f t="shared" si="8"/>
        <v>70</v>
      </c>
      <c r="K101" s="75">
        <f t="shared" si="9"/>
        <v>0.87303566974307811</v>
      </c>
      <c r="L101" s="75">
        <f>VLOOKUP($A101,'Data Vlaue (Cr)'!$C:$FB,67)</f>
        <v>1321</v>
      </c>
      <c r="M101" s="75">
        <f>VLOOKUP($A101,'Data Vlaue (Cr)'!$C:$FB,68)</f>
        <v>2457</v>
      </c>
      <c r="N101" s="75">
        <f t="shared" si="10"/>
        <v>-1136</v>
      </c>
      <c r="O101" s="75">
        <f t="shared" si="11"/>
        <v>-85.995457986373964</v>
      </c>
      <c r="P101" s="75">
        <f>VLOOKUP($A101,'Data Vlaue (Cr)'!$C:$FB,119)</f>
        <v>0.56000000000000005</v>
      </c>
      <c r="Q101" s="75">
        <f>VLOOKUP($A101,'Data Vlaue (Cr)'!$C:$FB,122)*100</f>
        <v>-3.45</v>
      </c>
      <c r="R101" s="75">
        <f>VLOOKUP($A101,'Data Vlaue (Cr)'!$C:$FB,125)</f>
        <v>0.32</v>
      </c>
      <c r="S101" s="75">
        <f>VLOOKUP($A101,'Data Vlaue (Cr)'!$C:$FB,128)*100</f>
        <v>-11.110000000000001</v>
      </c>
    </row>
    <row r="102" spans="1:19" x14ac:dyDescent="0.25">
      <c r="A102" s="96" t="str">
        <f>'Data Vlaue (Cr)'!C93</f>
        <v>IDFCFIRSTB</v>
      </c>
      <c r="B102" s="75">
        <f>VLOOKUP($A102,'Data Vlaue (Cr)'!$C:$FB,2)</f>
        <v>9275</v>
      </c>
      <c r="C102" s="75">
        <f>VLOOKUP($A102,'Data Vlaue (Cr)'!$C:$FB,8)</f>
        <v>65.28</v>
      </c>
      <c r="D102" s="75">
        <f>VLOOKUP($A102,'Data Vlaue (Cr)'!$C:$FB,4)</f>
        <v>65.459999999999994</v>
      </c>
      <c r="E102" s="75">
        <f>VLOOKUP($A102,'Data Vlaue (Cr)'!$C:$FB,5)</f>
        <v>66.22</v>
      </c>
      <c r="F102" s="75">
        <f t="shared" si="6"/>
        <v>0.17999999999999261</v>
      </c>
      <c r="G102" s="75">
        <f t="shared" si="7"/>
        <v>-1.1610143599144596</v>
      </c>
      <c r="H102" s="75">
        <f>VLOOKUP($A102,'Data Vlaue (Cr)'!$C:$FB,99)</f>
        <v>4090</v>
      </c>
      <c r="I102" s="75">
        <f>VLOOKUP($A102,'Data Vlaue (Cr)'!$C:$FB,100)</f>
        <v>4034</v>
      </c>
      <c r="J102" s="75">
        <f t="shared" si="8"/>
        <v>56</v>
      </c>
      <c r="K102" s="75">
        <f t="shared" si="9"/>
        <v>1.3691931540342297</v>
      </c>
      <c r="L102" s="75">
        <f>VLOOKUP($A102,'Data Vlaue (Cr)'!$C:$FB,67)</f>
        <v>987</v>
      </c>
      <c r="M102" s="75">
        <f>VLOOKUP($A102,'Data Vlaue (Cr)'!$C:$FB,68)</f>
        <v>2271</v>
      </c>
      <c r="N102" s="75">
        <f t="shared" si="10"/>
        <v>-1284</v>
      </c>
      <c r="O102" s="75">
        <f t="shared" si="11"/>
        <v>-130.09118541033436</v>
      </c>
      <c r="P102" s="75">
        <f>VLOOKUP($A102,'Data Vlaue (Cr)'!$C:$FB,119)</f>
        <v>0.84</v>
      </c>
      <c r="Q102" s="75">
        <f>VLOOKUP($A102,'Data Vlaue (Cr)'!$C:$FB,122)*100</f>
        <v>-1.18</v>
      </c>
      <c r="R102" s="75">
        <f>VLOOKUP($A102,'Data Vlaue (Cr)'!$C:$FB,125)</f>
        <v>0.81</v>
      </c>
      <c r="S102" s="75">
        <f>VLOOKUP($A102,'Data Vlaue (Cr)'!$C:$FB,128)*100</f>
        <v>6.58</v>
      </c>
    </row>
    <row r="103" spans="1:19" x14ac:dyDescent="0.25">
      <c r="A103" s="96" t="str">
        <f>'Data Vlaue (Cr)'!C94</f>
        <v>IEX</v>
      </c>
      <c r="B103" s="75">
        <f>VLOOKUP($A103,'Data Vlaue (Cr)'!$C:$FB,2)</f>
        <v>3750</v>
      </c>
      <c r="C103" s="75">
        <f>VLOOKUP($A103,'Data Vlaue (Cr)'!$C:$FB,8)</f>
        <v>129.69</v>
      </c>
      <c r="D103" s="75">
        <f>VLOOKUP($A103,'Data Vlaue (Cr)'!$C:$FB,4)</f>
        <v>130.15</v>
      </c>
      <c r="E103" s="75">
        <f>VLOOKUP($A103,'Data Vlaue (Cr)'!$C:$FB,5)</f>
        <v>129.99</v>
      </c>
      <c r="F103" s="75">
        <f t="shared" si="6"/>
        <v>0.46000000000000796</v>
      </c>
      <c r="G103" s="75">
        <f t="shared" si="7"/>
        <v>0.12293507491355864</v>
      </c>
      <c r="H103" s="75">
        <f>VLOOKUP($A103,'Data Vlaue (Cr)'!$C:$FB,99)</f>
        <v>1741</v>
      </c>
      <c r="I103" s="75">
        <f>VLOOKUP($A103,'Data Vlaue (Cr)'!$C:$FB,100)</f>
        <v>1741</v>
      </c>
      <c r="J103" s="75">
        <f t="shared" si="8"/>
        <v>0</v>
      </c>
      <c r="K103" s="75">
        <f t="shared" si="9"/>
        <v>0</v>
      </c>
      <c r="L103" s="75">
        <f>VLOOKUP($A103,'Data Vlaue (Cr)'!$C:$FB,67)</f>
        <v>553</v>
      </c>
      <c r="M103" s="75">
        <f>VLOOKUP($A103,'Data Vlaue (Cr)'!$C:$FB,68)</f>
        <v>1073</v>
      </c>
      <c r="N103" s="75">
        <f t="shared" si="10"/>
        <v>-520</v>
      </c>
      <c r="O103" s="75">
        <f t="shared" si="11"/>
        <v>-94.032549728752258</v>
      </c>
      <c r="P103" s="75">
        <f>VLOOKUP($A103,'Data Vlaue (Cr)'!$C:$FB,119)</f>
        <v>0.67</v>
      </c>
      <c r="Q103" s="75">
        <f>VLOOKUP($A103,'Data Vlaue (Cr)'!$C:$FB,122)*100</f>
        <v>0</v>
      </c>
      <c r="R103" s="75">
        <f>VLOOKUP($A103,'Data Vlaue (Cr)'!$C:$FB,125)</f>
        <v>0.41</v>
      </c>
      <c r="S103" s="75">
        <f>VLOOKUP($A103,'Data Vlaue (Cr)'!$C:$FB,128)*100</f>
        <v>-42.25</v>
      </c>
    </row>
    <row r="104" spans="1:19" x14ac:dyDescent="0.25">
      <c r="A104" s="96" t="str">
        <f>'Data Vlaue (Cr)'!C95</f>
        <v>INDHOTEL</v>
      </c>
      <c r="B104" s="75">
        <f>VLOOKUP($A104,'Data Vlaue (Cr)'!$C:$FB,2)</f>
        <v>1000</v>
      </c>
      <c r="C104" s="75">
        <f>VLOOKUP($A104,'Data Vlaue (Cr)'!$C:$FB,8)</f>
        <v>629.1</v>
      </c>
      <c r="D104" s="75">
        <f>VLOOKUP($A104,'Data Vlaue (Cr)'!$C:$FB,4)</f>
        <v>630.79999999999995</v>
      </c>
      <c r="E104" s="75">
        <f>VLOOKUP($A104,'Data Vlaue (Cr)'!$C:$FB,5)</f>
        <v>639.4</v>
      </c>
      <c r="F104" s="75">
        <f t="shared" si="6"/>
        <v>1.6999999999999318</v>
      </c>
      <c r="G104" s="75">
        <f t="shared" si="7"/>
        <v>-1.3633481293595473</v>
      </c>
      <c r="H104" s="75">
        <f>VLOOKUP($A104,'Data Vlaue (Cr)'!$C:$FB,99)</f>
        <v>2035</v>
      </c>
      <c r="I104" s="75">
        <f>VLOOKUP($A104,'Data Vlaue (Cr)'!$C:$FB,100)</f>
        <v>2013</v>
      </c>
      <c r="J104" s="75">
        <f t="shared" si="8"/>
        <v>22</v>
      </c>
      <c r="K104" s="75">
        <f t="shared" si="9"/>
        <v>1.0810810810810811</v>
      </c>
      <c r="L104" s="75">
        <f>VLOOKUP($A104,'Data Vlaue (Cr)'!$C:$FB,67)</f>
        <v>850</v>
      </c>
      <c r="M104" s="75">
        <f>VLOOKUP($A104,'Data Vlaue (Cr)'!$C:$FB,68)</f>
        <v>1153</v>
      </c>
      <c r="N104" s="75">
        <f t="shared" si="10"/>
        <v>-303</v>
      </c>
      <c r="O104" s="75">
        <f t="shared" si="11"/>
        <v>-35.647058823529406</v>
      </c>
      <c r="P104" s="75">
        <f>VLOOKUP($A104,'Data Vlaue (Cr)'!$C:$FB,119)</f>
        <v>1.04</v>
      </c>
      <c r="Q104" s="75">
        <f>VLOOKUP($A104,'Data Vlaue (Cr)'!$C:$FB,122)*100</f>
        <v>5.0500000000000007</v>
      </c>
      <c r="R104" s="75">
        <f>VLOOKUP($A104,'Data Vlaue (Cr)'!$C:$FB,125)</f>
        <v>0.84</v>
      </c>
      <c r="S104" s="75">
        <f>VLOOKUP($A104,'Data Vlaue (Cr)'!$C:$FB,128)*100</f>
        <v>20</v>
      </c>
    </row>
    <row r="105" spans="1:19" x14ac:dyDescent="0.25">
      <c r="A105" s="96" t="str">
        <f>'Data Vlaue (Cr)'!C96</f>
        <v>INDIANB</v>
      </c>
      <c r="B105" s="75">
        <f>VLOOKUP($A105,'Data Vlaue (Cr)'!$C:$FB,2)</f>
        <v>1000</v>
      </c>
      <c r="C105" s="75">
        <f>VLOOKUP($A105,'Data Vlaue (Cr)'!$C:$FB,8)</f>
        <v>941.85</v>
      </c>
      <c r="D105" s="75">
        <f>VLOOKUP($A105,'Data Vlaue (Cr)'!$C:$FB,4)</f>
        <v>946.05</v>
      </c>
      <c r="E105" s="75">
        <f>VLOOKUP($A105,'Data Vlaue (Cr)'!$C:$FB,5)</f>
        <v>960.8</v>
      </c>
      <c r="F105" s="75">
        <f t="shared" si="6"/>
        <v>4.1999999999999318</v>
      </c>
      <c r="G105" s="75">
        <f t="shared" si="7"/>
        <v>-1.5591142117224248</v>
      </c>
      <c r="H105" s="75">
        <f>VLOOKUP($A105,'Data Vlaue (Cr)'!$C:$FB,99)</f>
        <v>1412</v>
      </c>
      <c r="I105" s="75">
        <f>VLOOKUP($A105,'Data Vlaue (Cr)'!$C:$FB,100)</f>
        <v>1396</v>
      </c>
      <c r="J105" s="75">
        <f t="shared" si="8"/>
        <v>16</v>
      </c>
      <c r="K105" s="75">
        <f t="shared" si="9"/>
        <v>1.1331444759206799</v>
      </c>
      <c r="L105" s="75">
        <f>VLOOKUP($A105,'Data Vlaue (Cr)'!$C:$FB,67)</f>
        <v>1088</v>
      </c>
      <c r="M105" s="75">
        <f>VLOOKUP($A105,'Data Vlaue (Cr)'!$C:$FB,68)</f>
        <v>1265</v>
      </c>
      <c r="N105" s="75">
        <f t="shared" si="10"/>
        <v>-177</v>
      </c>
      <c r="O105" s="75">
        <f t="shared" si="11"/>
        <v>-16.268382352941178</v>
      </c>
      <c r="P105" s="75">
        <f>VLOOKUP($A105,'Data Vlaue (Cr)'!$C:$FB,119)</f>
        <v>0.75</v>
      </c>
      <c r="Q105" s="75">
        <f>VLOOKUP($A105,'Data Vlaue (Cr)'!$C:$FB,122)*100</f>
        <v>-9.64</v>
      </c>
      <c r="R105" s="75">
        <f>VLOOKUP($A105,'Data Vlaue (Cr)'!$C:$FB,125)</f>
        <v>0.67</v>
      </c>
      <c r="S105" s="75">
        <f>VLOOKUP($A105,'Data Vlaue (Cr)'!$C:$FB,128)*100</f>
        <v>45.65</v>
      </c>
    </row>
    <row r="106" spans="1:19" x14ac:dyDescent="0.25">
      <c r="A106" s="96" t="str">
        <f>'Data Vlaue (Cr)'!C97</f>
        <v>INDIAVIX</v>
      </c>
      <c r="B106" s="75">
        <f>VLOOKUP($A106,'Data Vlaue (Cr)'!$C:$FB,2)</f>
        <v>1</v>
      </c>
      <c r="C106" s="75">
        <f>VLOOKUP($A106,'Data Vlaue (Cr)'!$C:$FB,8)</f>
        <v>20.43</v>
      </c>
      <c r="D106" s="75">
        <f>VLOOKUP($A106,'Data Vlaue (Cr)'!$C:$FB,4)</f>
        <v>20.43</v>
      </c>
      <c r="E106" s="75">
        <f>VLOOKUP($A106,'Data Vlaue (Cr)'!$C:$FB,5)</f>
        <v>19.7</v>
      </c>
      <c r="F106" s="75">
        <f t="shared" si="6"/>
        <v>0</v>
      </c>
      <c r="G106" s="75">
        <f t="shared" si="7"/>
        <v>3.5731767009300071</v>
      </c>
      <c r="H106" s="75">
        <f>VLOOKUP($A106,'Data Vlaue (Cr)'!$C:$FB,99)</f>
        <v>0</v>
      </c>
      <c r="I106" s="75">
        <f>VLOOKUP($A106,'Data Vlaue (Cr)'!$C:$FB,100)</f>
        <v>0</v>
      </c>
      <c r="J106" s="75">
        <f t="shared" si="8"/>
        <v>0</v>
      </c>
      <c r="K106" s="75" t="e">
        <f t="shared" si="9"/>
        <v>#DIV/0!</v>
      </c>
      <c r="L106" s="75">
        <f>VLOOKUP($A106,'Data Vlaue (Cr)'!$C:$FB,67)</f>
        <v>0</v>
      </c>
      <c r="M106" s="75">
        <f>VLOOKUP($A106,'Data Vlaue (Cr)'!$C:$FB,68)</f>
        <v>0</v>
      </c>
      <c r="N106" s="75">
        <f t="shared" si="10"/>
        <v>0</v>
      </c>
      <c r="O106" s="75" t="e">
        <f t="shared" si="11"/>
        <v>#DIV/0!</v>
      </c>
      <c r="P106" s="75">
        <f>VLOOKUP($A106,'Data Vlaue (Cr)'!$C:$FB,119)</f>
        <v>0</v>
      </c>
      <c r="Q106" s="75">
        <f>VLOOKUP($A106,'Data Vlaue (Cr)'!$C:$FB,122)*100</f>
        <v>0</v>
      </c>
      <c r="R106" s="75">
        <f>VLOOKUP($A106,'Data Vlaue (Cr)'!$C:$FB,125)</f>
        <v>0</v>
      </c>
      <c r="S106" s="75">
        <f>VLOOKUP($A106,'Data Vlaue (Cr)'!$C:$FB,128)*100</f>
        <v>0</v>
      </c>
    </row>
    <row r="107" spans="1:19" x14ac:dyDescent="0.25">
      <c r="A107" s="96" t="str">
        <f>'Data Vlaue (Cr)'!C98</f>
        <v>INDIGO</v>
      </c>
      <c r="B107" s="75">
        <f>VLOOKUP($A107,'Data Vlaue (Cr)'!$C:$FB,2)</f>
        <v>150</v>
      </c>
      <c r="C107" s="75">
        <f>VLOOKUP($A107,'Data Vlaue (Cr)'!$C:$FB,8)</f>
        <v>4449.1000000000004</v>
      </c>
      <c r="D107" s="75">
        <f>VLOOKUP($A107,'Data Vlaue (Cr)'!$C:$FB,4)</f>
        <v>4470.6000000000004</v>
      </c>
      <c r="E107" s="75">
        <f>VLOOKUP($A107,'Data Vlaue (Cr)'!$C:$FB,5)</f>
        <v>4624.8</v>
      </c>
      <c r="F107" s="75">
        <f t="shared" si="6"/>
        <v>21.5</v>
      </c>
      <c r="G107" s="75">
        <f t="shared" si="7"/>
        <v>-3.4492014494698653</v>
      </c>
      <c r="H107" s="75">
        <f>VLOOKUP($A107,'Data Vlaue (Cr)'!$C:$FB,99)</f>
        <v>7433</v>
      </c>
      <c r="I107" s="75">
        <f>VLOOKUP($A107,'Data Vlaue (Cr)'!$C:$FB,100)</f>
        <v>6696</v>
      </c>
      <c r="J107" s="75">
        <f t="shared" si="8"/>
        <v>737</v>
      </c>
      <c r="K107" s="75">
        <f t="shared" si="9"/>
        <v>9.9152428360016138</v>
      </c>
      <c r="L107" s="75">
        <f>VLOOKUP($A107,'Data Vlaue (Cr)'!$C:$FB,67)</f>
        <v>7538</v>
      </c>
      <c r="M107" s="75">
        <f>VLOOKUP($A107,'Data Vlaue (Cr)'!$C:$FB,68)</f>
        <v>15820</v>
      </c>
      <c r="N107" s="75">
        <f t="shared" si="10"/>
        <v>-8282</v>
      </c>
      <c r="O107" s="75">
        <f t="shared" si="11"/>
        <v>-109.869992040329</v>
      </c>
      <c r="P107" s="75">
        <f>VLOOKUP($A107,'Data Vlaue (Cr)'!$C:$FB,119)</f>
        <v>0.57999999999999996</v>
      </c>
      <c r="Q107" s="75">
        <f>VLOOKUP($A107,'Data Vlaue (Cr)'!$C:$FB,122)*100</f>
        <v>-7.9399999999999995</v>
      </c>
      <c r="R107" s="75">
        <f>VLOOKUP($A107,'Data Vlaue (Cr)'!$C:$FB,125)</f>
        <v>0.74</v>
      </c>
      <c r="S107" s="75">
        <f>VLOOKUP($A107,'Data Vlaue (Cr)'!$C:$FB,128)*100</f>
        <v>34.549999999999997</v>
      </c>
    </row>
    <row r="108" spans="1:19" x14ac:dyDescent="0.25">
      <c r="A108" s="96" t="str">
        <f>'Data Vlaue (Cr)'!C99</f>
        <v>INDUSINDBK</v>
      </c>
      <c r="B108" s="75">
        <f>VLOOKUP($A108,'Data Vlaue (Cr)'!$C:$FB,2)</f>
        <v>700</v>
      </c>
      <c r="C108" s="75">
        <f>VLOOKUP($A108,'Data Vlaue (Cr)'!$C:$FB,8)</f>
        <v>814.55</v>
      </c>
      <c r="D108" s="75">
        <f>VLOOKUP($A108,'Data Vlaue (Cr)'!$C:$FB,4)</f>
        <v>817.25</v>
      </c>
      <c r="E108" s="75">
        <f>VLOOKUP($A108,'Data Vlaue (Cr)'!$C:$FB,5)</f>
        <v>837.15</v>
      </c>
      <c r="F108" s="75">
        <f t="shared" si="6"/>
        <v>2.7000000000000455</v>
      </c>
      <c r="G108" s="75">
        <f t="shared" si="7"/>
        <v>-2.4349954114408048</v>
      </c>
      <c r="H108" s="75">
        <f>VLOOKUP($A108,'Data Vlaue (Cr)'!$C:$FB,99)</f>
        <v>4135</v>
      </c>
      <c r="I108" s="75">
        <f>VLOOKUP($A108,'Data Vlaue (Cr)'!$C:$FB,100)</f>
        <v>4094</v>
      </c>
      <c r="J108" s="75">
        <f t="shared" si="8"/>
        <v>41</v>
      </c>
      <c r="K108" s="75">
        <f t="shared" si="9"/>
        <v>0.99153567110036278</v>
      </c>
      <c r="L108" s="75">
        <f>VLOOKUP($A108,'Data Vlaue (Cr)'!$C:$FB,67)</f>
        <v>1443</v>
      </c>
      <c r="M108" s="75">
        <f>VLOOKUP($A108,'Data Vlaue (Cr)'!$C:$FB,68)</f>
        <v>1948</v>
      </c>
      <c r="N108" s="75">
        <f t="shared" si="10"/>
        <v>-505</v>
      </c>
      <c r="O108" s="75">
        <f t="shared" si="11"/>
        <v>-34.996534996534997</v>
      </c>
      <c r="P108" s="75">
        <f>VLOOKUP($A108,'Data Vlaue (Cr)'!$C:$FB,119)</f>
        <v>1.05</v>
      </c>
      <c r="Q108" s="75">
        <f>VLOOKUP($A108,'Data Vlaue (Cr)'!$C:$FB,122)*100</f>
        <v>1.94</v>
      </c>
      <c r="R108" s="75">
        <f>VLOOKUP($A108,'Data Vlaue (Cr)'!$C:$FB,125)</f>
        <v>0.71</v>
      </c>
      <c r="S108" s="75">
        <f>VLOOKUP($A108,'Data Vlaue (Cr)'!$C:$FB,128)*100</f>
        <v>-13.41</v>
      </c>
    </row>
    <row r="109" spans="1:19" x14ac:dyDescent="0.25">
      <c r="A109" s="96" t="str">
        <f>'Data Vlaue (Cr)'!C100</f>
        <v>INDUSTOWER</v>
      </c>
      <c r="B109" s="75">
        <f>VLOOKUP($A109,'Data Vlaue (Cr)'!$C:$FB,2)</f>
        <v>1700</v>
      </c>
      <c r="C109" s="75">
        <f>VLOOKUP($A109,'Data Vlaue (Cr)'!$C:$FB,8)</f>
        <v>438.45</v>
      </c>
      <c r="D109" s="75">
        <f>VLOOKUP($A109,'Data Vlaue (Cr)'!$C:$FB,4)</f>
        <v>439.7</v>
      </c>
      <c r="E109" s="75">
        <f>VLOOKUP($A109,'Data Vlaue (Cr)'!$C:$FB,5)</f>
        <v>442.65</v>
      </c>
      <c r="F109" s="75">
        <f t="shared" si="6"/>
        <v>1.25</v>
      </c>
      <c r="G109" s="75">
        <f t="shared" si="7"/>
        <v>-0.67091198544461883</v>
      </c>
      <c r="H109" s="75">
        <f>VLOOKUP($A109,'Data Vlaue (Cr)'!$C:$FB,99)</f>
        <v>3816</v>
      </c>
      <c r="I109" s="75">
        <f>VLOOKUP($A109,'Data Vlaue (Cr)'!$C:$FB,100)</f>
        <v>3626</v>
      </c>
      <c r="J109" s="75">
        <f t="shared" si="8"/>
        <v>190</v>
      </c>
      <c r="K109" s="75">
        <f t="shared" si="9"/>
        <v>4.9790356394129978</v>
      </c>
      <c r="L109" s="75">
        <f>VLOOKUP($A109,'Data Vlaue (Cr)'!$C:$FB,67)</f>
        <v>1553</v>
      </c>
      <c r="M109" s="75">
        <f>VLOOKUP($A109,'Data Vlaue (Cr)'!$C:$FB,68)</f>
        <v>2271</v>
      </c>
      <c r="N109" s="75">
        <f t="shared" si="10"/>
        <v>-718</v>
      </c>
      <c r="O109" s="75">
        <f t="shared" si="11"/>
        <v>-46.233097231165488</v>
      </c>
      <c r="P109" s="75">
        <f>VLOOKUP($A109,'Data Vlaue (Cr)'!$C:$FB,119)</f>
        <v>0.7</v>
      </c>
      <c r="Q109" s="75">
        <f>VLOOKUP($A109,'Data Vlaue (Cr)'!$C:$FB,122)*100</f>
        <v>-22.220000000000002</v>
      </c>
      <c r="R109" s="75">
        <f>VLOOKUP($A109,'Data Vlaue (Cr)'!$C:$FB,125)</f>
        <v>0.38</v>
      </c>
      <c r="S109" s="75">
        <f>VLOOKUP($A109,'Data Vlaue (Cr)'!$C:$FB,128)*100</f>
        <v>-13.639999999999999</v>
      </c>
    </row>
    <row r="110" spans="1:19" x14ac:dyDescent="0.25">
      <c r="A110" s="96" t="str">
        <f>'Data Vlaue (Cr)'!C101</f>
        <v>INFY</v>
      </c>
      <c r="B110" s="75">
        <f>VLOOKUP($A110,'Data Vlaue (Cr)'!$C:$FB,2)</f>
        <v>400</v>
      </c>
      <c r="C110" s="75">
        <f>VLOOKUP($A110,'Data Vlaue (Cr)'!$C:$FB,8)</f>
        <v>1331.6</v>
      </c>
      <c r="D110" s="75">
        <f>VLOOKUP($A110,'Data Vlaue (Cr)'!$C:$FB,4)</f>
        <v>1332.5</v>
      </c>
      <c r="E110" s="75">
        <f>VLOOKUP($A110,'Data Vlaue (Cr)'!$C:$FB,5)</f>
        <v>1344</v>
      </c>
      <c r="F110" s="75">
        <f t="shared" si="6"/>
        <v>0.90000000000009095</v>
      </c>
      <c r="G110" s="75">
        <f t="shared" si="7"/>
        <v>-0.86303939962476561</v>
      </c>
      <c r="H110" s="75">
        <f>VLOOKUP($A110,'Data Vlaue (Cr)'!$C:$FB,99)</f>
        <v>15168</v>
      </c>
      <c r="I110" s="75">
        <f>VLOOKUP($A110,'Data Vlaue (Cr)'!$C:$FB,100)</f>
        <v>14925</v>
      </c>
      <c r="J110" s="75">
        <f t="shared" si="8"/>
        <v>243</v>
      </c>
      <c r="K110" s="75">
        <f t="shared" si="9"/>
        <v>1.6020569620253162</v>
      </c>
      <c r="L110" s="75">
        <f>VLOOKUP($A110,'Data Vlaue (Cr)'!$C:$FB,67)</f>
        <v>6558</v>
      </c>
      <c r="M110" s="75">
        <f>VLOOKUP($A110,'Data Vlaue (Cr)'!$C:$FB,68)</f>
        <v>7801</v>
      </c>
      <c r="N110" s="75">
        <f t="shared" si="10"/>
        <v>-1243</v>
      </c>
      <c r="O110" s="75">
        <f t="shared" si="11"/>
        <v>-18.953949374809394</v>
      </c>
      <c r="P110" s="75">
        <f>VLOOKUP($A110,'Data Vlaue (Cr)'!$C:$FB,119)</f>
        <v>0.76</v>
      </c>
      <c r="Q110" s="75">
        <f>VLOOKUP($A110,'Data Vlaue (Cr)'!$C:$FB,122)*100</f>
        <v>-5</v>
      </c>
      <c r="R110" s="75">
        <f>VLOOKUP($A110,'Data Vlaue (Cr)'!$C:$FB,125)</f>
        <v>0.53</v>
      </c>
      <c r="S110" s="75">
        <f>VLOOKUP($A110,'Data Vlaue (Cr)'!$C:$FB,128)*100</f>
        <v>12.770000000000001</v>
      </c>
    </row>
    <row r="111" spans="1:19" x14ac:dyDescent="0.25">
      <c r="A111" s="96" t="str">
        <f>'Data Vlaue (Cr)'!C102</f>
        <v>INOXWIND</v>
      </c>
      <c r="B111" s="75">
        <f>VLOOKUP($A111,'Data Vlaue (Cr)'!$C:$FB,2)</f>
        <v>3575</v>
      </c>
      <c r="C111" s="75">
        <f>VLOOKUP($A111,'Data Vlaue (Cr)'!$C:$FB,8)</f>
        <v>85.39</v>
      </c>
      <c r="D111" s="75">
        <f>VLOOKUP($A111,'Data Vlaue (Cr)'!$C:$FB,4)</f>
        <v>85.73</v>
      </c>
      <c r="E111" s="75">
        <f>VLOOKUP($A111,'Data Vlaue (Cr)'!$C:$FB,5)</f>
        <v>86.96</v>
      </c>
      <c r="F111" s="75">
        <f t="shared" si="6"/>
        <v>0.34000000000000341</v>
      </c>
      <c r="G111" s="75">
        <f t="shared" si="7"/>
        <v>-1.4347369648897581</v>
      </c>
      <c r="H111" s="75">
        <f>VLOOKUP($A111,'Data Vlaue (Cr)'!$C:$FB,99)</f>
        <v>1187</v>
      </c>
      <c r="I111" s="75">
        <f>VLOOKUP($A111,'Data Vlaue (Cr)'!$C:$FB,100)</f>
        <v>1170</v>
      </c>
      <c r="J111" s="75">
        <f t="shared" si="8"/>
        <v>17</v>
      </c>
      <c r="K111" s="75">
        <f t="shared" si="9"/>
        <v>1.4321819713563606</v>
      </c>
      <c r="L111" s="75">
        <f>VLOOKUP($A111,'Data Vlaue (Cr)'!$C:$FB,67)</f>
        <v>205</v>
      </c>
      <c r="M111" s="75">
        <f>VLOOKUP($A111,'Data Vlaue (Cr)'!$C:$FB,68)</f>
        <v>384</v>
      </c>
      <c r="N111" s="75">
        <f t="shared" si="10"/>
        <v>-179</v>
      </c>
      <c r="O111" s="75">
        <f t="shared" si="11"/>
        <v>-87.317073170731703</v>
      </c>
      <c r="P111" s="75">
        <f>VLOOKUP($A111,'Data Vlaue (Cr)'!$C:$FB,119)</f>
        <v>1.08</v>
      </c>
      <c r="Q111" s="75">
        <f>VLOOKUP($A111,'Data Vlaue (Cr)'!$C:$FB,122)*100</f>
        <v>-3.5700000000000003</v>
      </c>
      <c r="R111" s="75">
        <f>VLOOKUP($A111,'Data Vlaue (Cr)'!$C:$FB,125)</f>
        <v>0.48</v>
      </c>
      <c r="S111" s="75">
        <f>VLOOKUP($A111,'Data Vlaue (Cr)'!$C:$FB,128)*100</f>
        <v>-4</v>
      </c>
    </row>
    <row r="112" spans="1:19" x14ac:dyDescent="0.25">
      <c r="A112" s="96" t="str">
        <f>'Data Vlaue (Cr)'!C103</f>
        <v>IOC</v>
      </c>
      <c r="B112" s="75">
        <f>VLOOKUP($A112,'Data Vlaue (Cr)'!$C:$FB,2)</f>
        <v>4875</v>
      </c>
      <c r="C112" s="75">
        <f>VLOOKUP($A112,'Data Vlaue (Cr)'!$C:$FB,8)</f>
        <v>141.66999999999999</v>
      </c>
      <c r="D112" s="75">
        <f>VLOOKUP($A112,'Data Vlaue (Cr)'!$C:$FB,4)</f>
        <v>141.91999999999999</v>
      </c>
      <c r="E112" s="75">
        <f>VLOOKUP($A112,'Data Vlaue (Cr)'!$C:$FB,5)</f>
        <v>143.63</v>
      </c>
      <c r="F112" s="75">
        <f t="shared" si="6"/>
        <v>0.25</v>
      </c>
      <c r="G112" s="75">
        <f t="shared" si="7"/>
        <v>-1.2049041713641544</v>
      </c>
      <c r="H112" s="75">
        <f>VLOOKUP($A112,'Data Vlaue (Cr)'!$C:$FB,99)</f>
        <v>3031</v>
      </c>
      <c r="I112" s="75">
        <f>VLOOKUP($A112,'Data Vlaue (Cr)'!$C:$FB,100)</f>
        <v>2979</v>
      </c>
      <c r="J112" s="75">
        <f t="shared" si="8"/>
        <v>52</v>
      </c>
      <c r="K112" s="75">
        <f t="shared" si="9"/>
        <v>1.7156054107555263</v>
      </c>
      <c r="L112" s="75">
        <f>VLOOKUP($A112,'Data Vlaue (Cr)'!$C:$FB,67)</f>
        <v>1226</v>
      </c>
      <c r="M112" s="75">
        <f>VLOOKUP($A112,'Data Vlaue (Cr)'!$C:$FB,68)</f>
        <v>3654</v>
      </c>
      <c r="N112" s="75">
        <f t="shared" si="10"/>
        <v>-2428</v>
      </c>
      <c r="O112" s="75">
        <f t="shared" si="11"/>
        <v>-198.04241435562807</v>
      </c>
      <c r="P112" s="75">
        <f>VLOOKUP($A112,'Data Vlaue (Cr)'!$C:$FB,119)</f>
        <v>0.69</v>
      </c>
      <c r="Q112" s="75">
        <f>VLOOKUP($A112,'Data Vlaue (Cr)'!$C:$FB,122)*100</f>
        <v>11.29</v>
      </c>
      <c r="R112" s="75">
        <f>VLOOKUP($A112,'Data Vlaue (Cr)'!$C:$FB,125)</f>
        <v>0.66</v>
      </c>
      <c r="S112" s="75">
        <f>VLOOKUP($A112,'Data Vlaue (Cr)'!$C:$FB,128)*100</f>
        <v>78.38000000000001</v>
      </c>
    </row>
    <row r="113" spans="1:19" x14ac:dyDescent="0.25">
      <c r="A113" s="96" t="str">
        <f>'Data Vlaue (Cr)'!C104</f>
        <v>IREDA</v>
      </c>
      <c r="B113" s="75">
        <f>VLOOKUP($A113,'Data Vlaue (Cr)'!$C:$FB,2)</f>
        <v>3450</v>
      </c>
      <c r="C113" s="75">
        <f>VLOOKUP($A113,'Data Vlaue (Cr)'!$C:$FB,8)</f>
        <v>123.13</v>
      </c>
      <c r="D113" s="75">
        <f>VLOOKUP($A113,'Data Vlaue (Cr)'!$C:$FB,4)</f>
        <v>122.71</v>
      </c>
      <c r="E113" s="75">
        <f>VLOOKUP($A113,'Data Vlaue (Cr)'!$C:$FB,5)</f>
        <v>122.68</v>
      </c>
      <c r="F113" s="75">
        <f t="shared" si="6"/>
        <v>-0.42000000000000171</v>
      </c>
      <c r="G113" s="75">
        <f t="shared" si="7"/>
        <v>2.4447885257914536E-2</v>
      </c>
      <c r="H113" s="75">
        <f>VLOOKUP($A113,'Data Vlaue (Cr)'!$C:$FB,99)</f>
        <v>997</v>
      </c>
      <c r="I113" s="75">
        <f>VLOOKUP($A113,'Data Vlaue (Cr)'!$C:$FB,100)</f>
        <v>975</v>
      </c>
      <c r="J113" s="75">
        <f t="shared" si="8"/>
        <v>22</v>
      </c>
      <c r="K113" s="75">
        <f t="shared" si="9"/>
        <v>2.2066198595787361</v>
      </c>
      <c r="L113" s="75">
        <f>VLOOKUP($A113,'Data Vlaue (Cr)'!$C:$FB,67)</f>
        <v>388</v>
      </c>
      <c r="M113" s="75">
        <f>VLOOKUP($A113,'Data Vlaue (Cr)'!$C:$FB,68)</f>
        <v>644</v>
      </c>
      <c r="N113" s="75">
        <f t="shared" si="10"/>
        <v>-256</v>
      </c>
      <c r="O113" s="75">
        <f t="shared" si="11"/>
        <v>-65.979381443298962</v>
      </c>
      <c r="P113" s="75">
        <f>VLOOKUP($A113,'Data Vlaue (Cr)'!$C:$FB,119)</f>
        <v>0.91</v>
      </c>
      <c r="Q113" s="75">
        <f>VLOOKUP($A113,'Data Vlaue (Cr)'!$C:$FB,122)*100</f>
        <v>0</v>
      </c>
      <c r="R113" s="75">
        <f>VLOOKUP($A113,'Data Vlaue (Cr)'!$C:$FB,125)</f>
        <v>0.45</v>
      </c>
      <c r="S113" s="75">
        <f>VLOOKUP($A113,'Data Vlaue (Cr)'!$C:$FB,128)*100</f>
        <v>4.6500000000000004</v>
      </c>
    </row>
    <row r="114" spans="1:19" x14ac:dyDescent="0.25">
      <c r="A114" s="96" t="str">
        <f>'Data Vlaue (Cr)'!C105</f>
        <v>IRFC</v>
      </c>
      <c r="B114" s="75">
        <f>VLOOKUP($A114,'Data Vlaue (Cr)'!$C:$FB,2)</f>
        <v>4250</v>
      </c>
      <c r="C114" s="75">
        <f>VLOOKUP($A114,'Data Vlaue (Cr)'!$C:$FB,8)</f>
        <v>98.49</v>
      </c>
      <c r="D114" s="75">
        <f>VLOOKUP($A114,'Data Vlaue (Cr)'!$C:$FB,4)</f>
        <v>98.53</v>
      </c>
      <c r="E114" s="75">
        <f>VLOOKUP($A114,'Data Vlaue (Cr)'!$C:$FB,5)</f>
        <v>99.13</v>
      </c>
      <c r="F114" s="75">
        <f t="shared" si="6"/>
        <v>4.0000000000006253E-2</v>
      </c>
      <c r="G114" s="75">
        <f t="shared" si="7"/>
        <v>-0.60895158834872043</v>
      </c>
      <c r="H114" s="75">
        <f>VLOOKUP($A114,'Data Vlaue (Cr)'!$C:$FB,99)</f>
        <v>1105</v>
      </c>
      <c r="I114" s="75">
        <f>VLOOKUP($A114,'Data Vlaue (Cr)'!$C:$FB,100)</f>
        <v>1110</v>
      </c>
      <c r="J114" s="75">
        <f t="shared" si="8"/>
        <v>-5</v>
      </c>
      <c r="K114" s="75">
        <f t="shared" si="9"/>
        <v>-0.45248868778280549</v>
      </c>
      <c r="L114" s="75">
        <f>VLOOKUP($A114,'Data Vlaue (Cr)'!$C:$FB,67)</f>
        <v>491</v>
      </c>
      <c r="M114" s="75">
        <f>VLOOKUP($A114,'Data Vlaue (Cr)'!$C:$FB,68)</f>
        <v>1046</v>
      </c>
      <c r="N114" s="75">
        <f t="shared" si="10"/>
        <v>-555</v>
      </c>
      <c r="O114" s="75">
        <f t="shared" si="11"/>
        <v>-113.03462321792261</v>
      </c>
      <c r="P114" s="75">
        <f>VLOOKUP($A114,'Data Vlaue (Cr)'!$C:$FB,119)</f>
        <v>0.74</v>
      </c>
      <c r="Q114" s="75">
        <f>VLOOKUP($A114,'Data Vlaue (Cr)'!$C:$FB,122)*100</f>
        <v>4.2299999999999995</v>
      </c>
      <c r="R114" s="75">
        <f>VLOOKUP($A114,'Data Vlaue (Cr)'!$C:$FB,125)</f>
        <v>0.4</v>
      </c>
      <c r="S114" s="75">
        <f>VLOOKUP($A114,'Data Vlaue (Cr)'!$C:$FB,128)*100</f>
        <v>42.86</v>
      </c>
    </row>
    <row r="115" spans="1:19" x14ac:dyDescent="0.25">
      <c r="A115" s="96" t="str">
        <f>'Data Vlaue (Cr)'!C106</f>
        <v>ITC</v>
      </c>
      <c r="B115" s="75">
        <f>VLOOKUP($A115,'Data Vlaue (Cr)'!$C:$FB,2)</f>
        <v>1600</v>
      </c>
      <c r="C115" s="75">
        <f>VLOOKUP($A115,'Data Vlaue (Cr)'!$C:$FB,8)</f>
        <v>303</v>
      </c>
      <c r="D115" s="75">
        <f>VLOOKUP($A115,'Data Vlaue (Cr)'!$C:$FB,4)</f>
        <v>303.75</v>
      </c>
      <c r="E115" s="75">
        <f>VLOOKUP($A115,'Data Vlaue (Cr)'!$C:$FB,5)</f>
        <v>303.64999999999998</v>
      </c>
      <c r="F115" s="75">
        <f t="shared" si="6"/>
        <v>0.75</v>
      </c>
      <c r="G115" s="75">
        <f t="shared" si="7"/>
        <v>3.292181069959596E-2</v>
      </c>
      <c r="H115" s="75">
        <f>VLOOKUP($A115,'Data Vlaue (Cr)'!$C:$FB,99)</f>
        <v>8913</v>
      </c>
      <c r="I115" s="75">
        <f>VLOOKUP($A115,'Data Vlaue (Cr)'!$C:$FB,100)</f>
        <v>8673</v>
      </c>
      <c r="J115" s="75">
        <f t="shared" si="8"/>
        <v>240</v>
      </c>
      <c r="K115" s="75">
        <f t="shared" si="9"/>
        <v>2.6926960619320095</v>
      </c>
      <c r="L115" s="75">
        <f>VLOOKUP($A115,'Data Vlaue (Cr)'!$C:$FB,67)</f>
        <v>3224</v>
      </c>
      <c r="M115" s="75">
        <f>VLOOKUP($A115,'Data Vlaue (Cr)'!$C:$FB,68)</f>
        <v>4369</v>
      </c>
      <c r="N115" s="75">
        <f t="shared" si="10"/>
        <v>-1145</v>
      </c>
      <c r="O115" s="75">
        <f t="shared" si="11"/>
        <v>-35.514888337468982</v>
      </c>
      <c r="P115" s="75">
        <f>VLOOKUP($A115,'Data Vlaue (Cr)'!$C:$FB,119)</f>
        <v>0.56999999999999995</v>
      </c>
      <c r="Q115" s="75">
        <f>VLOOKUP($A115,'Data Vlaue (Cr)'!$C:$FB,122)*100</f>
        <v>-6.5600000000000005</v>
      </c>
      <c r="R115" s="75">
        <f>VLOOKUP($A115,'Data Vlaue (Cr)'!$C:$FB,125)</f>
        <v>0.37</v>
      </c>
      <c r="S115" s="75">
        <f>VLOOKUP($A115,'Data Vlaue (Cr)'!$C:$FB,128)*100</f>
        <v>-26</v>
      </c>
    </row>
    <row r="116" spans="1:19" x14ac:dyDescent="0.25">
      <c r="A116" s="96" t="str">
        <f>'Data Vlaue (Cr)'!C107</f>
        <v>JINDALSTEL</v>
      </c>
      <c r="B116" s="75">
        <f>VLOOKUP($A116,'Data Vlaue (Cr)'!$C:$FB,2)</f>
        <v>625</v>
      </c>
      <c r="C116" s="75">
        <f>VLOOKUP($A116,'Data Vlaue (Cr)'!$C:$FB,8)</f>
        <v>1199.5999999999999</v>
      </c>
      <c r="D116" s="75">
        <f>VLOOKUP($A116,'Data Vlaue (Cr)'!$C:$FB,4)</f>
        <v>1205.5</v>
      </c>
      <c r="E116" s="75">
        <f>VLOOKUP($A116,'Data Vlaue (Cr)'!$C:$FB,5)</f>
        <v>1208.4000000000001</v>
      </c>
      <c r="F116" s="75">
        <f t="shared" si="6"/>
        <v>5.9000000000000909</v>
      </c>
      <c r="G116" s="75">
        <f t="shared" si="7"/>
        <v>-0.24056408129407639</v>
      </c>
      <c r="H116" s="75">
        <f>VLOOKUP($A116,'Data Vlaue (Cr)'!$C:$FB,99)</f>
        <v>2168</v>
      </c>
      <c r="I116" s="75">
        <f>VLOOKUP($A116,'Data Vlaue (Cr)'!$C:$FB,100)</f>
        <v>2092</v>
      </c>
      <c r="J116" s="75">
        <f t="shared" si="8"/>
        <v>76</v>
      </c>
      <c r="K116" s="75">
        <f t="shared" si="9"/>
        <v>3.5055350553505531</v>
      </c>
      <c r="L116" s="75">
        <f>VLOOKUP($A116,'Data Vlaue (Cr)'!$C:$FB,67)</f>
        <v>997</v>
      </c>
      <c r="M116" s="75">
        <f>VLOOKUP($A116,'Data Vlaue (Cr)'!$C:$FB,68)</f>
        <v>1479</v>
      </c>
      <c r="N116" s="75">
        <f t="shared" si="10"/>
        <v>-482</v>
      </c>
      <c r="O116" s="75">
        <f t="shared" si="11"/>
        <v>-48.345035105315951</v>
      </c>
      <c r="P116" s="75">
        <f>VLOOKUP($A116,'Data Vlaue (Cr)'!$C:$FB,119)</f>
        <v>1.05</v>
      </c>
      <c r="Q116" s="75">
        <f>VLOOKUP($A116,'Data Vlaue (Cr)'!$C:$FB,122)*100</f>
        <v>5</v>
      </c>
      <c r="R116" s="75">
        <f>VLOOKUP($A116,'Data Vlaue (Cr)'!$C:$FB,125)</f>
        <v>0.96</v>
      </c>
      <c r="S116" s="75">
        <f>VLOOKUP($A116,'Data Vlaue (Cr)'!$C:$FB,128)*100</f>
        <v>57.379999999999995</v>
      </c>
    </row>
    <row r="117" spans="1:19" x14ac:dyDescent="0.25">
      <c r="A117" s="96" t="str">
        <f>'Data Vlaue (Cr)'!C108</f>
        <v>JIOFIN</v>
      </c>
      <c r="B117" s="75">
        <f>VLOOKUP($A117,'Data Vlaue (Cr)'!$C:$FB,2)</f>
        <v>2350</v>
      </c>
      <c r="C117" s="75">
        <f>VLOOKUP($A117,'Data Vlaue (Cr)'!$C:$FB,8)</f>
        <v>238.84</v>
      </c>
      <c r="D117" s="75">
        <f>VLOOKUP($A117,'Data Vlaue (Cr)'!$C:$FB,4)</f>
        <v>239.74</v>
      </c>
      <c r="E117" s="75">
        <f>VLOOKUP($A117,'Data Vlaue (Cr)'!$C:$FB,5)</f>
        <v>247.91</v>
      </c>
      <c r="F117" s="75">
        <f t="shared" si="6"/>
        <v>0.90000000000000568</v>
      </c>
      <c r="G117" s="75">
        <f t="shared" si="7"/>
        <v>-3.4078585133894999</v>
      </c>
      <c r="H117" s="75">
        <f>VLOOKUP($A117,'Data Vlaue (Cr)'!$C:$FB,99)</f>
        <v>5448</v>
      </c>
      <c r="I117" s="75">
        <f>VLOOKUP($A117,'Data Vlaue (Cr)'!$C:$FB,100)</f>
        <v>5223</v>
      </c>
      <c r="J117" s="75">
        <f t="shared" si="8"/>
        <v>225</v>
      </c>
      <c r="K117" s="75">
        <f t="shared" si="9"/>
        <v>4.1299559471365637</v>
      </c>
      <c r="L117" s="75">
        <f>VLOOKUP($A117,'Data Vlaue (Cr)'!$C:$FB,67)</f>
        <v>1816</v>
      </c>
      <c r="M117" s="75">
        <f>VLOOKUP($A117,'Data Vlaue (Cr)'!$C:$FB,68)</f>
        <v>2174</v>
      </c>
      <c r="N117" s="75">
        <f t="shared" si="10"/>
        <v>-358</v>
      </c>
      <c r="O117" s="75">
        <f t="shared" si="11"/>
        <v>-19.7136563876652</v>
      </c>
      <c r="P117" s="75">
        <f>VLOOKUP($A117,'Data Vlaue (Cr)'!$C:$FB,119)</f>
        <v>0.83</v>
      </c>
      <c r="Q117" s="75">
        <f>VLOOKUP($A117,'Data Vlaue (Cr)'!$C:$FB,122)*100</f>
        <v>-4.5999999999999996</v>
      </c>
      <c r="R117" s="75">
        <f>VLOOKUP($A117,'Data Vlaue (Cr)'!$C:$FB,125)</f>
        <v>0.56000000000000005</v>
      </c>
      <c r="S117" s="75">
        <f>VLOOKUP($A117,'Data Vlaue (Cr)'!$C:$FB,128)*100</f>
        <v>14.29</v>
      </c>
    </row>
    <row r="118" spans="1:19" x14ac:dyDescent="0.25">
      <c r="A118" s="96" t="str">
        <f>'Data Vlaue (Cr)'!C109</f>
        <v>JSWENERGY</v>
      </c>
      <c r="B118" s="75">
        <f>VLOOKUP($A118,'Data Vlaue (Cr)'!$C:$FB,2)</f>
        <v>1000</v>
      </c>
      <c r="C118" s="75">
        <f>VLOOKUP($A118,'Data Vlaue (Cr)'!$C:$FB,8)</f>
        <v>489.15</v>
      </c>
      <c r="D118" s="75">
        <f>VLOOKUP($A118,'Data Vlaue (Cr)'!$C:$FB,4)</f>
        <v>491.65</v>
      </c>
      <c r="E118" s="75">
        <f>VLOOKUP($A118,'Data Vlaue (Cr)'!$C:$FB,5)</f>
        <v>504.7</v>
      </c>
      <c r="F118" s="75">
        <f t="shared" si="6"/>
        <v>2.5</v>
      </c>
      <c r="G118" s="75">
        <f t="shared" si="7"/>
        <v>-2.6543272653310304</v>
      </c>
      <c r="H118" s="75">
        <f>VLOOKUP($A118,'Data Vlaue (Cr)'!$C:$FB,99)</f>
        <v>1881</v>
      </c>
      <c r="I118" s="75">
        <f>VLOOKUP($A118,'Data Vlaue (Cr)'!$C:$FB,100)</f>
        <v>1733</v>
      </c>
      <c r="J118" s="75">
        <f t="shared" si="8"/>
        <v>148</v>
      </c>
      <c r="K118" s="75">
        <f t="shared" si="9"/>
        <v>7.868155236576289</v>
      </c>
      <c r="L118" s="75">
        <f>VLOOKUP($A118,'Data Vlaue (Cr)'!$C:$FB,67)</f>
        <v>781</v>
      </c>
      <c r="M118" s="75">
        <f>VLOOKUP($A118,'Data Vlaue (Cr)'!$C:$FB,68)</f>
        <v>570</v>
      </c>
      <c r="N118" s="75">
        <f t="shared" si="10"/>
        <v>211</v>
      </c>
      <c r="O118" s="75">
        <f t="shared" si="11"/>
        <v>27.016645326504481</v>
      </c>
      <c r="P118" s="75">
        <f>VLOOKUP($A118,'Data Vlaue (Cr)'!$C:$FB,119)</f>
        <v>0.56000000000000005</v>
      </c>
      <c r="Q118" s="75">
        <f>VLOOKUP($A118,'Data Vlaue (Cr)'!$C:$FB,122)*100</f>
        <v>-5.08</v>
      </c>
      <c r="R118" s="75">
        <f>VLOOKUP($A118,'Data Vlaue (Cr)'!$C:$FB,125)</f>
        <v>0.33</v>
      </c>
      <c r="S118" s="75">
        <f>VLOOKUP($A118,'Data Vlaue (Cr)'!$C:$FB,128)*100</f>
        <v>-8.33</v>
      </c>
    </row>
    <row r="119" spans="1:19" x14ac:dyDescent="0.25">
      <c r="A119" s="96" t="str">
        <f>'Data Vlaue (Cr)'!C110</f>
        <v>JSWSTEEL</v>
      </c>
      <c r="B119" s="75">
        <f>VLOOKUP($A119,'Data Vlaue (Cr)'!$C:$FB,2)</f>
        <v>675</v>
      </c>
      <c r="C119" s="75">
        <f>VLOOKUP($A119,'Data Vlaue (Cr)'!$C:$FB,8)</f>
        <v>1209.7</v>
      </c>
      <c r="D119" s="75">
        <f>VLOOKUP($A119,'Data Vlaue (Cr)'!$C:$FB,4)</f>
        <v>1213.9000000000001</v>
      </c>
      <c r="E119" s="75">
        <f>VLOOKUP($A119,'Data Vlaue (Cr)'!$C:$FB,5)</f>
        <v>1196.9000000000001</v>
      </c>
      <c r="F119" s="75">
        <f t="shared" si="6"/>
        <v>4.2000000000000455</v>
      </c>
      <c r="G119" s="75">
        <f t="shared" si="7"/>
        <v>1.4004448471867534</v>
      </c>
      <c r="H119" s="75">
        <f>VLOOKUP($A119,'Data Vlaue (Cr)'!$C:$FB,99)</f>
        <v>7684</v>
      </c>
      <c r="I119" s="75">
        <f>VLOOKUP($A119,'Data Vlaue (Cr)'!$C:$FB,100)</f>
        <v>7695</v>
      </c>
      <c r="J119" s="75">
        <f t="shared" si="8"/>
        <v>-11</v>
      </c>
      <c r="K119" s="75">
        <f t="shared" si="9"/>
        <v>-0.14315460697553356</v>
      </c>
      <c r="L119" s="75">
        <f>VLOOKUP($A119,'Data Vlaue (Cr)'!$C:$FB,67)</f>
        <v>1777</v>
      </c>
      <c r="M119" s="75">
        <f>VLOOKUP($A119,'Data Vlaue (Cr)'!$C:$FB,68)</f>
        <v>1984</v>
      </c>
      <c r="N119" s="75">
        <f t="shared" si="10"/>
        <v>-207</v>
      </c>
      <c r="O119" s="75">
        <f t="shared" si="11"/>
        <v>-11.648846370287</v>
      </c>
      <c r="P119" s="75">
        <f>VLOOKUP($A119,'Data Vlaue (Cr)'!$C:$FB,119)</f>
        <v>0.83</v>
      </c>
      <c r="Q119" s="75">
        <f>VLOOKUP($A119,'Data Vlaue (Cr)'!$C:$FB,122)*100</f>
        <v>-1.1900000000000002</v>
      </c>
      <c r="R119" s="75">
        <f>VLOOKUP($A119,'Data Vlaue (Cr)'!$C:$FB,125)</f>
        <v>0.59</v>
      </c>
      <c r="S119" s="75">
        <f>VLOOKUP($A119,'Data Vlaue (Cr)'!$C:$FB,128)*100</f>
        <v>-34.44</v>
      </c>
    </row>
    <row r="120" spans="1:19" x14ac:dyDescent="0.25">
      <c r="A120" s="96" t="str">
        <f>'Data Vlaue (Cr)'!C111</f>
        <v>JUBLFOOD</v>
      </c>
      <c r="B120" s="75">
        <f>VLOOKUP($A120,'Data Vlaue (Cr)'!$C:$FB,2)</f>
        <v>1250</v>
      </c>
      <c r="C120" s="75">
        <f>VLOOKUP($A120,'Data Vlaue (Cr)'!$C:$FB,8)</f>
        <v>427.85</v>
      </c>
      <c r="D120" s="75">
        <f>VLOOKUP($A120,'Data Vlaue (Cr)'!$C:$FB,4)</f>
        <v>426.35</v>
      </c>
      <c r="E120" s="75">
        <f>VLOOKUP($A120,'Data Vlaue (Cr)'!$C:$FB,5)</f>
        <v>428.75</v>
      </c>
      <c r="F120" s="75">
        <f t="shared" si="6"/>
        <v>-1.5</v>
      </c>
      <c r="G120" s="75">
        <f t="shared" si="7"/>
        <v>-0.56291779054766677</v>
      </c>
      <c r="H120" s="75">
        <f>VLOOKUP($A120,'Data Vlaue (Cr)'!$C:$FB,99)</f>
        <v>2806</v>
      </c>
      <c r="I120" s="75">
        <f>VLOOKUP($A120,'Data Vlaue (Cr)'!$C:$FB,100)</f>
        <v>2724</v>
      </c>
      <c r="J120" s="75">
        <f t="shared" si="8"/>
        <v>82</v>
      </c>
      <c r="K120" s="75">
        <f t="shared" si="9"/>
        <v>2.9223093371347115</v>
      </c>
      <c r="L120" s="75">
        <f>VLOOKUP($A120,'Data Vlaue (Cr)'!$C:$FB,67)</f>
        <v>1149</v>
      </c>
      <c r="M120" s="75">
        <f>VLOOKUP($A120,'Data Vlaue (Cr)'!$C:$FB,68)</f>
        <v>3463</v>
      </c>
      <c r="N120" s="75">
        <f t="shared" si="10"/>
        <v>-2314</v>
      </c>
      <c r="O120" s="75">
        <f t="shared" si="11"/>
        <v>-201.39251523063533</v>
      </c>
      <c r="P120" s="75">
        <f>VLOOKUP($A120,'Data Vlaue (Cr)'!$C:$FB,119)</f>
        <v>0.66</v>
      </c>
      <c r="Q120" s="75">
        <f>VLOOKUP($A120,'Data Vlaue (Cr)'!$C:$FB,122)*100</f>
        <v>1.54</v>
      </c>
      <c r="R120" s="75">
        <f>VLOOKUP($A120,'Data Vlaue (Cr)'!$C:$FB,125)</f>
        <v>0.46</v>
      </c>
      <c r="S120" s="75">
        <f>VLOOKUP($A120,'Data Vlaue (Cr)'!$C:$FB,128)*100</f>
        <v>-17.86</v>
      </c>
    </row>
    <row r="121" spans="1:19" x14ac:dyDescent="0.25">
      <c r="A121" s="96" t="str">
        <f>'Data Vlaue (Cr)'!C112</f>
        <v>KALYANKJIL</v>
      </c>
      <c r="B121" s="75">
        <f>VLOOKUP($A121,'Data Vlaue (Cr)'!$C:$FB,2)</f>
        <v>1175</v>
      </c>
      <c r="C121" s="75">
        <f>VLOOKUP($A121,'Data Vlaue (Cr)'!$C:$FB,8)</f>
        <v>446.1</v>
      </c>
      <c r="D121" s="75">
        <f>VLOOKUP($A121,'Data Vlaue (Cr)'!$C:$FB,4)</f>
        <v>447.85</v>
      </c>
      <c r="E121" s="75">
        <f>VLOOKUP($A121,'Data Vlaue (Cr)'!$C:$FB,5)</f>
        <v>447.8</v>
      </c>
      <c r="F121" s="75">
        <f t="shared" si="6"/>
        <v>1.75</v>
      </c>
      <c r="G121" s="75">
        <f t="shared" si="7"/>
        <v>1.1164452383613122E-2</v>
      </c>
      <c r="H121" s="75">
        <f>VLOOKUP($A121,'Data Vlaue (Cr)'!$C:$FB,99)</f>
        <v>1580</v>
      </c>
      <c r="I121" s="75">
        <f>VLOOKUP($A121,'Data Vlaue (Cr)'!$C:$FB,100)</f>
        <v>1535</v>
      </c>
      <c r="J121" s="75">
        <f t="shared" si="8"/>
        <v>45</v>
      </c>
      <c r="K121" s="75">
        <f t="shared" si="9"/>
        <v>2.8481012658227849</v>
      </c>
      <c r="L121" s="75">
        <f>VLOOKUP($A121,'Data Vlaue (Cr)'!$C:$FB,67)</f>
        <v>799</v>
      </c>
      <c r="M121" s="75">
        <f>VLOOKUP($A121,'Data Vlaue (Cr)'!$C:$FB,68)</f>
        <v>1916</v>
      </c>
      <c r="N121" s="75">
        <f t="shared" si="10"/>
        <v>-1117</v>
      </c>
      <c r="O121" s="75">
        <f t="shared" si="11"/>
        <v>-139.79974968710889</v>
      </c>
      <c r="P121" s="75">
        <f>VLOOKUP($A121,'Data Vlaue (Cr)'!$C:$FB,119)</f>
        <v>0.92</v>
      </c>
      <c r="Q121" s="75">
        <f>VLOOKUP($A121,'Data Vlaue (Cr)'!$C:$FB,122)*100</f>
        <v>-2.13</v>
      </c>
      <c r="R121" s="75">
        <f>VLOOKUP($A121,'Data Vlaue (Cr)'!$C:$FB,125)</f>
        <v>0.61</v>
      </c>
      <c r="S121" s="75">
        <f>VLOOKUP($A121,'Data Vlaue (Cr)'!$C:$FB,128)*100</f>
        <v>84.850000000000009</v>
      </c>
    </row>
    <row r="122" spans="1:19" x14ac:dyDescent="0.25">
      <c r="A122" s="96" t="str">
        <f>'Data Vlaue (Cr)'!C113</f>
        <v>KAYNES</v>
      </c>
      <c r="B122" s="75">
        <f>VLOOKUP($A122,'Data Vlaue (Cr)'!$C:$FB,2)</f>
        <v>100</v>
      </c>
      <c r="C122" s="75">
        <f>VLOOKUP($A122,'Data Vlaue (Cr)'!$C:$FB,8)</f>
        <v>3851.5</v>
      </c>
      <c r="D122" s="75">
        <f>VLOOKUP($A122,'Data Vlaue (Cr)'!$C:$FB,4)</f>
        <v>3802.8</v>
      </c>
      <c r="E122" s="75">
        <f>VLOOKUP($A122,'Data Vlaue (Cr)'!$C:$FB,5)</f>
        <v>3909.5</v>
      </c>
      <c r="F122" s="75">
        <f t="shared" si="6"/>
        <v>-48.699999999999818</v>
      </c>
      <c r="G122" s="75">
        <f t="shared" si="7"/>
        <v>-2.8058272851582995</v>
      </c>
      <c r="H122" s="75">
        <f>VLOOKUP($A122,'Data Vlaue (Cr)'!$C:$FB,99)</f>
        <v>2098</v>
      </c>
      <c r="I122" s="75">
        <f>VLOOKUP($A122,'Data Vlaue (Cr)'!$C:$FB,100)</f>
        <v>1981</v>
      </c>
      <c r="J122" s="75">
        <f t="shared" si="8"/>
        <v>117</v>
      </c>
      <c r="K122" s="75">
        <f t="shared" si="9"/>
        <v>5.5767397521449</v>
      </c>
      <c r="L122" s="75">
        <f>VLOOKUP($A122,'Data Vlaue (Cr)'!$C:$FB,67)</f>
        <v>1847</v>
      </c>
      <c r="M122" s="75">
        <f>VLOOKUP($A122,'Data Vlaue (Cr)'!$C:$FB,68)</f>
        <v>2290</v>
      </c>
      <c r="N122" s="75">
        <f t="shared" si="10"/>
        <v>-443</v>
      </c>
      <c r="O122" s="75">
        <f t="shared" si="11"/>
        <v>-23.984840281537629</v>
      </c>
      <c r="P122" s="75">
        <f>VLOOKUP($A122,'Data Vlaue (Cr)'!$C:$FB,119)</f>
        <v>0.73</v>
      </c>
      <c r="Q122" s="75">
        <f>VLOOKUP($A122,'Data Vlaue (Cr)'!$C:$FB,122)*100</f>
        <v>-10.979999999999999</v>
      </c>
      <c r="R122" s="75">
        <f>VLOOKUP($A122,'Data Vlaue (Cr)'!$C:$FB,125)</f>
        <v>0.43</v>
      </c>
      <c r="S122" s="75">
        <f>VLOOKUP($A122,'Data Vlaue (Cr)'!$C:$FB,128)*100</f>
        <v>10.26</v>
      </c>
    </row>
    <row r="123" spans="1:19" x14ac:dyDescent="0.25">
      <c r="A123" s="96" t="str">
        <f>'Data Vlaue (Cr)'!C114</f>
        <v>KEI</v>
      </c>
      <c r="B123" s="75">
        <f>VLOOKUP($A123,'Data Vlaue (Cr)'!$C:$FB,2)</f>
        <v>175</v>
      </c>
      <c r="C123" s="75">
        <f>VLOOKUP($A123,'Data Vlaue (Cr)'!$C:$FB,8)</f>
        <v>4416.8999999999996</v>
      </c>
      <c r="D123" s="75">
        <f>VLOOKUP($A123,'Data Vlaue (Cr)'!$C:$FB,4)</f>
        <v>4418.8</v>
      </c>
      <c r="E123" s="75">
        <f>VLOOKUP($A123,'Data Vlaue (Cr)'!$C:$FB,5)</f>
        <v>4447.2</v>
      </c>
      <c r="F123" s="75">
        <f t="shared" si="6"/>
        <v>1.9000000000005457</v>
      </c>
      <c r="G123" s="75">
        <f t="shared" si="7"/>
        <v>-0.64270842762740188</v>
      </c>
      <c r="H123" s="75">
        <f>VLOOKUP($A123,'Data Vlaue (Cr)'!$C:$FB,99)</f>
        <v>1369</v>
      </c>
      <c r="I123" s="75">
        <f>VLOOKUP($A123,'Data Vlaue (Cr)'!$C:$FB,100)</f>
        <v>1313</v>
      </c>
      <c r="J123" s="75">
        <f t="shared" si="8"/>
        <v>56</v>
      </c>
      <c r="K123" s="75">
        <f t="shared" si="9"/>
        <v>4.0905770635500369</v>
      </c>
      <c r="L123" s="75">
        <f>VLOOKUP($A123,'Data Vlaue (Cr)'!$C:$FB,67)</f>
        <v>557</v>
      </c>
      <c r="M123" s="75">
        <f>VLOOKUP($A123,'Data Vlaue (Cr)'!$C:$FB,68)</f>
        <v>934</v>
      </c>
      <c r="N123" s="75">
        <f t="shared" si="10"/>
        <v>-377</v>
      </c>
      <c r="O123" s="75">
        <f t="shared" si="11"/>
        <v>-67.684021543985637</v>
      </c>
      <c r="P123" s="75">
        <f>VLOOKUP($A123,'Data Vlaue (Cr)'!$C:$FB,119)</f>
        <v>0.85</v>
      </c>
      <c r="Q123" s="75">
        <f>VLOOKUP($A123,'Data Vlaue (Cr)'!$C:$FB,122)*100</f>
        <v>-7.61</v>
      </c>
      <c r="R123" s="75">
        <f>VLOOKUP($A123,'Data Vlaue (Cr)'!$C:$FB,125)</f>
        <v>0.45</v>
      </c>
      <c r="S123" s="75">
        <f>VLOOKUP($A123,'Data Vlaue (Cr)'!$C:$FB,128)*100</f>
        <v>15.379999999999999</v>
      </c>
    </row>
    <row r="124" spans="1:19" x14ac:dyDescent="0.25">
      <c r="A124" s="96" t="str">
        <f>'Data Vlaue (Cr)'!C115</f>
        <v>KFINTECH</v>
      </c>
      <c r="B124" s="75">
        <f>VLOOKUP($A124,'Data Vlaue (Cr)'!$C:$FB,2)</f>
        <v>500</v>
      </c>
      <c r="C124" s="75">
        <f>VLOOKUP($A124,'Data Vlaue (Cr)'!$C:$FB,8)</f>
        <v>892.25</v>
      </c>
      <c r="D124" s="75">
        <f>VLOOKUP($A124,'Data Vlaue (Cr)'!$C:$FB,4)</f>
        <v>893.85</v>
      </c>
      <c r="E124" s="75">
        <f>VLOOKUP($A124,'Data Vlaue (Cr)'!$C:$FB,5)</f>
        <v>911.35</v>
      </c>
      <c r="F124" s="75">
        <f t="shared" si="6"/>
        <v>1.6000000000000227</v>
      </c>
      <c r="G124" s="75">
        <f t="shared" si="7"/>
        <v>-1.9578229009341612</v>
      </c>
      <c r="H124" s="75">
        <f>VLOOKUP($A124,'Data Vlaue (Cr)'!$C:$FB,99)</f>
        <v>481</v>
      </c>
      <c r="I124" s="75">
        <f>VLOOKUP($A124,'Data Vlaue (Cr)'!$C:$FB,100)</f>
        <v>402</v>
      </c>
      <c r="J124" s="75">
        <f t="shared" si="8"/>
        <v>79</v>
      </c>
      <c r="K124" s="75">
        <f t="shared" si="9"/>
        <v>16.424116424116423</v>
      </c>
      <c r="L124" s="75">
        <f>VLOOKUP($A124,'Data Vlaue (Cr)'!$C:$FB,67)</f>
        <v>411</v>
      </c>
      <c r="M124" s="75">
        <f>VLOOKUP($A124,'Data Vlaue (Cr)'!$C:$FB,68)</f>
        <v>505</v>
      </c>
      <c r="N124" s="75">
        <f t="shared" si="10"/>
        <v>-94</v>
      </c>
      <c r="O124" s="75">
        <f t="shared" si="11"/>
        <v>-22.871046228710462</v>
      </c>
      <c r="P124" s="75">
        <f>VLOOKUP($A124,'Data Vlaue (Cr)'!$C:$FB,119)</f>
        <v>0.51</v>
      </c>
      <c r="Q124" s="75">
        <f>VLOOKUP($A124,'Data Vlaue (Cr)'!$C:$FB,122)*100</f>
        <v>-17.740000000000002</v>
      </c>
      <c r="R124" s="75">
        <f>VLOOKUP($A124,'Data Vlaue (Cr)'!$C:$FB,125)</f>
        <v>0.25</v>
      </c>
      <c r="S124" s="75">
        <f>VLOOKUP($A124,'Data Vlaue (Cr)'!$C:$FB,128)*100</f>
        <v>-34.21</v>
      </c>
    </row>
    <row r="125" spans="1:19" x14ac:dyDescent="0.25">
      <c r="A125" s="96" t="str">
        <f>'Data Vlaue (Cr)'!C116</f>
        <v>KOTAKBANK</v>
      </c>
      <c r="B125" s="75">
        <f>VLOOKUP($A125,'Data Vlaue (Cr)'!$C:$FB,2)</f>
        <v>2000</v>
      </c>
      <c r="C125" s="75">
        <f>VLOOKUP($A125,'Data Vlaue (Cr)'!$C:$FB,8)</f>
        <v>371.9</v>
      </c>
      <c r="D125" s="75">
        <f>VLOOKUP($A125,'Data Vlaue (Cr)'!$C:$FB,4)</f>
        <v>373.05</v>
      </c>
      <c r="E125" s="75">
        <f>VLOOKUP($A125,'Data Vlaue (Cr)'!$C:$FB,5)</f>
        <v>380.95</v>
      </c>
      <c r="F125" s="75">
        <f t="shared" si="6"/>
        <v>1.1500000000000341</v>
      </c>
      <c r="G125" s="75">
        <f t="shared" si="7"/>
        <v>-2.1176785953625457</v>
      </c>
      <c r="H125" s="75">
        <f>VLOOKUP($A125,'Data Vlaue (Cr)'!$C:$FB,99)</f>
        <v>9876</v>
      </c>
      <c r="I125" s="75">
        <f>VLOOKUP($A125,'Data Vlaue (Cr)'!$C:$FB,100)</f>
        <v>9833</v>
      </c>
      <c r="J125" s="75">
        <f t="shared" si="8"/>
        <v>43</v>
      </c>
      <c r="K125" s="75">
        <f t="shared" si="9"/>
        <v>0.43539894694208181</v>
      </c>
      <c r="L125" s="75">
        <f>VLOOKUP($A125,'Data Vlaue (Cr)'!$C:$FB,67)</f>
        <v>1814</v>
      </c>
      <c r="M125" s="75">
        <f>VLOOKUP($A125,'Data Vlaue (Cr)'!$C:$FB,68)</f>
        <v>3503</v>
      </c>
      <c r="N125" s="75">
        <f t="shared" si="10"/>
        <v>-1689</v>
      </c>
      <c r="O125" s="75">
        <f t="shared" si="11"/>
        <v>-93.109151047409043</v>
      </c>
      <c r="P125" s="75">
        <f>VLOOKUP($A125,'Data Vlaue (Cr)'!$C:$FB,119)</f>
        <v>1.05</v>
      </c>
      <c r="Q125" s="75">
        <f>VLOOKUP($A125,'Data Vlaue (Cr)'!$C:$FB,122)*100</f>
        <v>-10.26</v>
      </c>
      <c r="R125" s="75">
        <f>VLOOKUP($A125,'Data Vlaue (Cr)'!$C:$FB,125)</f>
        <v>0.69</v>
      </c>
      <c r="S125" s="75">
        <f>VLOOKUP($A125,'Data Vlaue (Cr)'!$C:$FB,128)*100</f>
        <v>0</v>
      </c>
    </row>
    <row r="126" spans="1:19" x14ac:dyDescent="0.25">
      <c r="A126" s="96" t="str">
        <f>'Data Vlaue (Cr)'!C117</f>
        <v>KPITTECH</v>
      </c>
      <c r="B126" s="75">
        <f>VLOOKUP($A126,'Data Vlaue (Cr)'!$C:$FB,2)</f>
        <v>425</v>
      </c>
      <c r="C126" s="75">
        <f>VLOOKUP($A126,'Data Vlaue (Cr)'!$C:$FB,8)</f>
        <v>716.05</v>
      </c>
      <c r="D126" s="75">
        <f>VLOOKUP($A126,'Data Vlaue (Cr)'!$C:$FB,4)</f>
        <v>718.9</v>
      </c>
      <c r="E126" s="75">
        <f>VLOOKUP($A126,'Data Vlaue (Cr)'!$C:$FB,5)</f>
        <v>725.05</v>
      </c>
      <c r="F126" s="75">
        <f t="shared" si="6"/>
        <v>2.8500000000000227</v>
      </c>
      <c r="G126" s="75">
        <f t="shared" si="7"/>
        <v>-0.85547364028376371</v>
      </c>
      <c r="H126" s="75">
        <f>VLOOKUP($A126,'Data Vlaue (Cr)'!$C:$FB,99)</f>
        <v>860</v>
      </c>
      <c r="I126" s="75">
        <f>VLOOKUP($A126,'Data Vlaue (Cr)'!$C:$FB,100)</f>
        <v>831</v>
      </c>
      <c r="J126" s="75">
        <f t="shared" si="8"/>
        <v>29</v>
      </c>
      <c r="K126" s="75">
        <f t="shared" si="9"/>
        <v>3.3720930232558142</v>
      </c>
      <c r="L126" s="75">
        <f>VLOOKUP($A126,'Data Vlaue (Cr)'!$C:$FB,67)</f>
        <v>386</v>
      </c>
      <c r="M126" s="75">
        <f>VLOOKUP($A126,'Data Vlaue (Cr)'!$C:$FB,68)</f>
        <v>617</v>
      </c>
      <c r="N126" s="75">
        <f t="shared" si="10"/>
        <v>-231</v>
      </c>
      <c r="O126" s="75">
        <f t="shared" si="11"/>
        <v>-59.844559585492227</v>
      </c>
      <c r="P126" s="75">
        <f>VLOOKUP($A126,'Data Vlaue (Cr)'!$C:$FB,119)</f>
        <v>0.81</v>
      </c>
      <c r="Q126" s="75">
        <f>VLOOKUP($A126,'Data Vlaue (Cr)'!$C:$FB,122)*100</f>
        <v>1.25</v>
      </c>
      <c r="R126" s="75">
        <f>VLOOKUP($A126,'Data Vlaue (Cr)'!$C:$FB,125)</f>
        <v>0.45</v>
      </c>
      <c r="S126" s="75">
        <f>VLOOKUP($A126,'Data Vlaue (Cr)'!$C:$FB,128)*100</f>
        <v>36.36</v>
      </c>
    </row>
    <row r="127" spans="1:19" x14ac:dyDescent="0.25">
      <c r="A127" s="96" t="str">
        <f>'Data Vlaue (Cr)'!C118</f>
        <v>LAURUSLABS</v>
      </c>
      <c r="B127" s="75">
        <f>VLOOKUP($A127,'Data Vlaue (Cr)'!$C:$FB,2)</f>
        <v>850</v>
      </c>
      <c r="C127" s="75">
        <f>VLOOKUP($A127,'Data Vlaue (Cr)'!$C:$FB,8)</f>
        <v>1083.7</v>
      </c>
      <c r="D127" s="75">
        <f>VLOOKUP($A127,'Data Vlaue (Cr)'!$C:$FB,4)</f>
        <v>1087.4000000000001</v>
      </c>
      <c r="E127" s="75">
        <f>VLOOKUP($A127,'Data Vlaue (Cr)'!$C:$FB,5)</f>
        <v>1085.4000000000001</v>
      </c>
      <c r="F127" s="75">
        <f t="shared" si="6"/>
        <v>3.7000000000000455</v>
      </c>
      <c r="G127" s="75">
        <f t="shared" si="7"/>
        <v>0.18392495861688429</v>
      </c>
      <c r="H127" s="75">
        <f>VLOOKUP($A127,'Data Vlaue (Cr)'!$C:$FB,99)</f>
        <v>2830</v>
      </c>
      <c r="I127" s="75">
        <f>VLOOKUP($A127,'Data Vlaue (Cr)'!$C:$FB,100)</f>
        <v>2771</v>
      </c>
      <c r="J127" s="75">
        <f t="shared" si="8"/>
        <v>59</v>
      </c>
      <c r="K127" s="75">
        <f t="shared" si="9"/>
        <v>2.0848056537102475</v>
      </c>
      <c r="L127" s="75">
        <f>VLOOKUP($A127,'Data Vlaue (Cr)'!$C:$FB,67)</f>
        <v>807</v>
      </c>
      <c r="M127" s="75">
        <f>VLOOKUP($A127,'Data Vlaue (Cr)'!$C:$FB,68)</f>
        <v>1233</v>
      </c>
      <c r="N127" s="75">
        <f t="shared" si="10"/>
        <v>-426</v>
      </c>
      <c r="O127" s="75">
        <f t="shared" si="11"/>
        <v>-52.788104089219331</v>
      </c>
      <c r="P127" s="75">
        <f>VLOOKUP($A127,'Data Vlaue (Cr)'!$C:$FB,119)</f>
        <v>0.78</v>
      </c>
      <c r="Q127" s="75">
        <f>VLOOKUP($A127,'Data Vlaue (Cr)'!$C:$FB,122)*100</f>
        <v>-1.27</v>
      </c>
      <c r="R127" s="75">
        <f>VLOOKUP($A127,'Data Vlaue (Cr)'!$C:$FB,125)</f>
        <v>0.63</v>
      </c>
      <c r="S127" s="75">
        <f>VLOOKUP($A127,'Data Vlaue (Cr)'!$C:$FB,128)*100</f>
        <v>-10</v>
      </c>
    </row>
    <row r="128" spans="1:19" x14ac:dyDescent="0.25">
      <c r="A128" s="96" t="str">
        <f>'Data Vlaue (Cr)'!C119</f>
        <v>LICHSGFIN</v>
      </c>
      <c r="B128" s="75">
        <f>VLOOKUP($A128,'Data Vlaue (Cr)'!$C:$FB,2)</f>
        <v>1000</v>
      </c>
      <c r="C128" s="75">
        <f>VLOOKUP($A128,'Data Vlaue (Cr)'!$C:$FB,8)</f>
        <v>532.29999999999995</v>
      </c>
      <c r="D128" s="75">
        <f>VLOOKUP($A128,'Data Vlaue (Cr)'!$C:$FB,4)</f>
        <v>533.5</v>
      </c>
      <c r="E128" s="75">
        <f>VLOOKUP($A128,'Data Vlaue (Cr)'!$C:$FB,5)</f>
        <v>532.54999999999995</v>
      </c>
      <c r="F128" s="75">
        <f t="shared" si="6"/>
        <v>1.2000000000000455</v>
      </c>
      <c r="G128" s="75">
        <f t="shared" si="7"/>
        <v>0.17806935332709381</v>
      </c>
      <c r="H128" s="75">
        <f>VLOOKUP($A128,'Data Vlaue (Cr)'!$C:$FB,99)</f>
        <v>2293</v>
      </c>
      <c r="I128" s="75">
        <f>VLOOKUP($A128,'Data Vlaue (Cr)'!$C:$FB,100)</f>
        <v>2293</v>
      </c>
      <c r="J128" s="75">
        <f t="shared" si="8"/>
        <v>0</v>
      </c>
      <c r="K128" s="75">
        <f t="shared" si="9"/>
        <v>0</v>
      </c>
      <c r="L128" s="75">
        <f>VLOOKUP($A128,'Data Vlaue (Cr)'!$C:$FB,67)</f>
        <v>348</v>
      </c>
      <c r="M128" s="75">
        <f>VLOOKUP($A128,'Data Vlaue (Cr)'!$C:$FB,68)</f>
        <v>687</v>
      </c>
      <c r="N128" s="75">
        <f t="shared" si="10"/>
        <v>-339</v>
      </c>
      <c r="O128" s="75">
        <f t="shared" si="11"/>
        <v>-97.41379310344827</v>
      </c>
      <c r="P128" s="75">
        <f>VLOOKUP($A128,'Data Vlaue (Cr)'!$C:$FB,119)</f>
        <v>1.1599999999999999</v>
      </c>
      <c r="Q128" s="75">
        <f>VLOOKUP($A128,'Data Vlaue (Cr)'!$C:$FB,122)*100</f>
        <v>-7.1999999999999993</v>
      </c>
      <c r="R128" s="75">
        <f>VLOOKUP($A128,'Data Vlaue (Cr)'!$C:$FB,125)</f>
        <v>0.5</v>
      </c>
      <c r="S128" s="75">
        <f>VLOOKUP($A128,'Data Vlaue (Cr)'!$C:$FB,128)*100</f>
        <v>19.05</v>
      </c>
    </row>
    <row r="129" spans="1:19" x14ac:dyDescent="0.25">
      <c r="A129" s="96" t="str">
        <f>'Data Vlaue (Cr)'!C120</f>
        <v>LICI</v>
      </c>
      <c r="B129" s="75">
        <f>VLOOKUP($A129,'Data Vlaue (Cr)'!$C:$FB,2)</f>
        <v>700</v>
      </c>
      <c r="C129" s="75">
        <f>VLOOKUP($A129,'Data Vlaue (Cr)'!$C:$FB,8)</f>
        <v>793.4</v>
      </c>
      <c r="D129" s="75">
        <f>VLOOKUP($A129,'Data Vlaue (Cr)'!$C:$FB,4)</f>
        <v>793.7</v>
      </c>
      <c r="E129" s="75">
        <f>VLOOKUP($A129,'Data Vlaue (Cr)'!$C:$FB,5)</f>
        <v>795.7</v>
      </c>
      <c r="F129" s="75">
        <f t="shared" si="6"/>
        <v>0.30000000000006821</v>
      </c>
      <c r="G129" s="75">
        <f t="shared" si="7"/>
        <v>-0.25198437696862797</v>
      </c>
      <c r="H129" s="75">
        <f>VLOOKUP($A129,'Data Vlaue (Cr)'!$C:$FB,99)</f>
        <v>1300</v>
      </c>
      <c r="I129" s="75">
        <f>VLOOKUP($A129,'Data Vlaue (Cr)'!$C:$FB,100)</f>
        <v>1252</v>
      </c>
      <c r="J129" s="75">
        <f t="shared" si="8"/>
        <v>48</v>
      </c>
      <c r="K129" s="75">
        <f t="shared" si="9"/>
        <v>3.6923076923076925</v>
      </c>
      <c r="L129" s="75">
        <f>VLOOKUP($A129,'Data Vlaue (Cr)'!$C:$FB,67)</f>
        <v>466</v>
      </c>
      <c r="M129" s="75">
        <f>VLOOKUP($A129,'Data Vlaue (Cr)'!$C:$FB,68)</f>
        <v>1430</v>
      </c>
      <c r="N129" s="75">
        <f t="shared" si="10"/>
        <v>-964</v>
      </c>
      <c r="O129" s="75">
        <f t="shared" si="11"/>
        <v>-206.86695278969958</v>
      </c>
      <c r="P129" s="75">
        <f>VLOOKUP($A129,'Data Vlaue (Cr)'!$C:$FB,119)</f>
        <v>0.65</v>
      </c>
      <c r="Q129" s="75">
        <f>VLOOKUP($A129,'Data Vlaue (Cr)'!$C:$FB,122)*100</f>
        <v>6.5600000000000005</v>
      </c>
      <c r="R129" s="75">
        <f>VLOOKUP($A129,'Data Vlaue (Cr)'!$C:$FB,125)</f>
        <v>0.35</v>
      </c>
      <c r="S129" s="75">
        <f>VLOOKUP($A129,'Data Vlaue (Cr)'!$C:$FB,128)*100</f>
        <v>0</v>
      </c>
    </row>
    <row r="130" spans="1:19" x14ac:dyDescent="0.25">
      <c r="A130" s="96" t="str">
        <f>'Data Vlaue (Cr)'!C121</f>
        <v>LODHA</v>
      </c>
      <c r="B130" s="75">
        <f>VLOOKUP($A130,'Data Vlaue (Cr)'!$C:$FB,2)</f>
        <v>450</v>
      </c>
      <c r="C130" s="75">
        <f>VLOOKUP($A130,'Data Vlaue (Cr)'!$C:$FB,8)</f>
        <v>789.55</v>
      </c>
      <c r="D130" s="75">
        <f>VLOOKUP($A130,'Data Vlaue (Cr)'!$C:$FB,4)</f>
        <v>791.75</v>
      </c>
      <c r="E130" s="75">
        <f>VLOOKUP($A130,'Data Vlaue (Cr)'!$C:$FB,5)</f>
        <v>780.5</v>
      </c>
      <c r="F130" s="75">
        <f t="shared" si="6"/>
        <v>2.2000000000000455</v>
      </c>
      <c r="G130" s="75">
        <f t="shared" si="7"/>
        <v>1.4209030628354911</v>
      </c>
      <c r="H130" s="75">
        <f>VLOOKUP($A130,'Data Vlaue (Cr)'!$C:$FB,99)</f>
        <v>2683</v>
      </c>
      <c r="I130" s="75">
        <f>VLOOKUP($A130,'Data Vlaue (Cr)'!$C:$FB,100)</f>
        <v>2690</v>
      </c>
      <c r="J130" s="75">
        <f t="shared" si="8"/>
        <v>-7</v>
      </c>
      <c r="K130" s="75">
        <f t="shared" si="9"/>
        <v>-0.26090197540067089</v>
      </c>
      <c r="L130" s="75">
        <f>VLOOKUP($A130,'Data Vlaue (Cr)'!$C:$FB,67)</f>
        <v>962</v>
      </c>
      <c r="M130" s="75">
        <f>VLOOKUP($A130,'Data Vlaue (Cr)'!$C:$FB,68)</f>
        <v>2129</v>
      </c>
      <c r="N130" s="75">
        <f t="shared" si="10"/>
        <v>-1167</v>
      </c>
      <c r="O130" s="75">
        <f t="shared" si="11"/>
        <v>-121.30977130977132</v>
      </c>
      <c r="P130" s="75">
        <f>VLOOKUP($A130,'Data Vlaue (Cr)'!$C:$FB,119)</f>
        <v>0.75</v>
      </c>
      <c r="Q130" s="75">
        <f>VLOOKUP($A130,'Data Vlaue (Cr)'!$C:$FB,122)*100</f>
        <v>8.6999999999999993</v>
      </c>
      <c r="R130" s="75">
        <f>VLOOKUP($A130,'Data Vlaue (Cr)'!$C:$FB,125)</f>
        <v>0.53</v>
      </c>
      <c r="S130" s="75">
        <f>VLOOKUP($A130,'Data Vlaue (Cr)'!$C:$FB,128)*100</f>
        <v>-14.52</v>
      </c>
    </row>
    <row r="131" spans="1:19" x14ac:dyDescent="0.25">
      <c r="A131" s="96" t="str">
        <f>'Data Vlaue (Cr)'!C122</f>
        <v>LT</v>
      </c>
      <c r="B131" s="75">
        <f>VLOOKUP($A131,'Data Vlaue (Cr)'!$C:$FB,2)</f>
        <v>175</v>
      </c>
      <c r="C131" s="75">
        <f>VLOOKUP($A131,'Data Vlaue (Cr)'!$C:$FB,8)</f>
        <v>3896.2</v>
      </c>
      <c r="D131" s="75">
        <f>VLOOKUP($A131,'Data Vlaue (Cr)'!$C:$FB,4)</f>
        <v>3907.2</v>
      </c>
      <c r="E131" s="75">
        <f>VLOOKUP($A131,'Data Vlaue (Cr)'!$C:$FB,5)</f>
        <v>4013.2</v>
      </c>
      <c r="F131" s="75">
        <f t="shared" si="6"/>
        <v>11</v>
      </c>
      <c r="G131" s="75">
        <f t="shared" si="7"/>
        <v>-2.7129402129402131</v>
      </c>
      <c r="H131" s="75">
        <f>VLOOKUP($A131,'Data Vlaue (Cr)'!$C:$FB,99)</f>
        <v>11769</v>
      </c>
      <c r="I131" s="75">
        <f>VLOOKUP($A131,'Data Vlaue (Cr)'!$C:$FB,100)</f>
        <v>11014</v>
      </c>
      <c r="J131" s="75">
        <f t="shared" si="8"/>
        <v>755</v>
      </c>
      <c r="K131" s="75">
        <f t="shared" si="9"/>
        <v>6.4151584671594879</v>
      </c>
      <c r="L131" s="75">
        <f>VLOOKUP($A131,'Data Vlaue (Cr)'!$C:$FB,67)</f>
        <v>8005</v>
      </c>
      <c r="M131" s="75">
        <f>VLOOKUP($A131,'Data Vlaue (Cr)'!$C:$FB,68)</f>
        <v>15704</v>
      </c>
      <c r="N131" s="75">
        <f t="shared" si="10"/>
        <v>-7699</v>
      </c>
      <c r="O131" s="75">
        <f t="shared" si="11"/>
        <v>-96.177389131792637</v>
      </c>
      <c r="P131" s="75">
        <f>VLOOKUP($A131,'Data Vlaue (Cr)'!$C:$FB,119)</f>
        <v>0.74</v>
      </c>
      <c r="Q131" s="75">
        <f>VLOOKUP($A131,'Data Vlaue (Cr)'!$C:$FB,122)*100</f>
        <v>-12.94</v>
      </c>
      <c r="R131" s="75">
        <f>VLOOKUP($A131,'Data Vlaue (Cr)'!$C:$FB,125)</f>
        <v>0.48</v>
      </c>
      <c r="S131" s="75">
        <f>VLOOKUP($A131,'Data Vlaue (Cr)'!$C:$FB,128)*100</f>
        <v>-15.790000000000001</v>
      </c>
    </row>
    <row r="132" spans="1:19" x14ac:dyDescent="0.25">
      <c r="A132" s="96" t="str">
        <f>'Data Vlaue (Cr)'!C123</f>
        <v>LTF</v>
      </c>
      <c r="B132" s="75">
        <f>VLOOKUP($A132,'Data Vlaue (Cr)'!$C:$FB,2)</f>
        <v>2250</v>
      </c>
      <c r="C132" s="75">
        <f>VLOOKUP($A132,'Data Vlaue (Cr)'!$C:$FB,8)</f>
        <v>272.18</v>
      </c>
      <c r="D132" s="75">
        <f>VLOOKUP($A132,'Data Vlaue (Cr)'!$C:$FB,4)</f>
        <v>273.14</v>
      </c>
      <c r="E132" s="75">
        <f>VLOOKUP($A132,'Data Vlaue (Cr)'!$C:$FB,5)</f>
        <v>276.14999999999998</v>
      </c>
      <c r="F132" s="75">
        <f t="shared" si="6"/>
        <v>0.95999999999997954</v>
      </c>
      <c r="G132" s="75">
        <f t="shared" si="7"/>
        <v>-1.1019989748846712</v>
      </c>
      <c r="H132" s="75">
        <f>VLOOKUP($A132,'Data Vlaue (Cr)'!$C:$FB,99)</f>
        <v>2388</v>
      </c>
      <c r="I132" s="75">
        <f>VLOOKUP($A132,'Data Vlaue (Cr)'!$C:$FB,100)</f>
        <v>2326</v>
      </c>
      <c r="J132" s="75">
        <f t="shared" si="8"/>
        <v>62</v>
      </c>
      <c r="K132" s="75">
        <f t="shared" si="9"/>
        <v>2.5963149078726966</v>
      </c>
      <c r="L132" s="75">
        <f>VLOOKUP($A132,'Data Vlaue (Cr)'!$C:$FB,67)</f>
        <v>831</v>
      </c>
      <c r="M132" s="75">
        <f>VLOOKUP($A132,'Data Vlaue (Cr)'!$C:$FB,68)</f>
        <v>2226</v>
      </c>
      <c r="N132" s="75">
        <f t="shared" si="10"/>
        <v>-1395</v>
      </c>
      <c r="O132" s="75">
        <f t="shared" si="11"/>
        <v>-167.87003610108303</v>
      </c>
      <c r="P132" s="75">
        <f>VLOOKUP($A132,'Data Vlaue (Cr)'!$C:$FB,119)</f>
        <v>0.8</v>
      </c>
      <c r="Q132" s="75">
        <f>VLOOKUP($A132,'Data Vlaue (Cr)'!$C:$FB,122)*100</f>
        <v>3.9</v>
      </c>
      <c r="R132" s="75">
        <f>VLOOKUP($A132,'Data Vlaue (Cr)'!$C:$FB,125)</f>
        <v>0.56000000000000005</v>
      </c>
      <c r="S132" s="75">
        <f>VLOOKUP($A132,'Data Vlaue (Cr)'!$C:$FB,128)*100</f>
        <v>36.590000000000003</v>
      </c>
    </row>
    <row r="133" spans="1:19" x14ac:dyDescent="0.25">
      <c r="A133" s="96" t="str">
        <f>'Data Vlaue (Cr)'!C124</f>
        <v>LTM</v>
      </c>
      <c r="B133" s="75">
        <f>VLOOKUP($A133,'Data Vlaue (Cr)'!$C:$FB,2)</f>
        <v>150</v>
      </c>
      <c r="C133" s="75">
        <f>VLOOKUP($A133,'Data Vlaue (Cr)'!$C:$FB,8)</f>
        <v>4572</v>
      </c>
      <c r="D133" s="75">
        <f>VLOOKUP($A133,'Data Vlaue (Cr)'!$C:$FB,4)</f>
        <v>4556.3</v>
      </c>
      <c r="E133" s="75">
        <f>VLOOKUP($A133,'Data Vlaue (Cr)'!$C:$FB,5)</f>
        <v>4517</v>
      </c>
      <c r="F133" s="75">
        <f t="shared" si="6"/>
        <v>-15.699999999999818</v>
      </c>
      <c r="G133" s="75">
        <f t="shared" si="7"/>
        <v>0.86254197484801653</v>
      </c>
      <c r="H133" s="75">
        <f>VLOOKUP($A133,'Data Vlaue (Cr)'!$C:$FB,99)</f>
        <v>2563</v>
      </c>
      <c r="I133" s="75">
        <f>VLOOKUP($A133,'Data Vlaue (Cr)'!$C:$FB,100)</f>
        <v>2495</v>
      </c>
      <c r="J133" s="75">
        <f t="shared" si="8"/>
        <v>68</v>
      </c>
      <c r="K133" s="75">
        <f t="shared" si="9"/>
        <v>2.6531408505657432</v>
      </c>
      <c r="L133" s="75">
        <f>VLOOKUP($A133,'Data Vlaue (Cr)'!$C:$FB,67)</f>
        <v>1265</v>
      </c>
      <c r="M133" s="75">
        <f>VLOOKUP($A133,'Data Vlaue (Cr)'!$C:$FB,68)</f>
        <v>1287</v>
      </c>
      <c r="N133" s="75">
        <f t="shared" si="10"/>
        <v>-22</v>
      </c>
      <c r="O133" s="75">
        <f t="shared" si="11"/>
        <v>-1.7391304347826086</v>
      </c>
      <c r="P133" s="75">
        <f>VLOOKUP($A133,'Data Vlaue (Cr)'!$C:$FB,119)</f>
        <v>0.92</v>
      </c>
      <c r="Q133" s="75">
        <f>VLOOKUP($A133,'Data Vlaue (Cr)'!$C:$FB,122)*100</f>
        <v>1.0999999999999999</v>
      </c>
      <c r="R133" s="75">
        <f>VLOOKUP($A133,'Data Vlaue (Cr)'!$C:$FB,125)</f>
        <v>0.34</v>
      </c>
      <c r="S133" s="75">
        <f>VLOOKUP($A133,'Data Vlaue (Cr)'!$C:$FB,128)*100</f>
        <v>-20.93</v>
      </c>
    </row>
    <row r="134" spans="1:19" x14ac:dyDescent="0.25">
      <c r="A134" s="96" t="str">
        <f>'Data Vlaue (Cr)'!C125</f>
        <v>LUPIN</v>
      </c>
      <c r="B134" s="75">
        <f>VLOOKUP($A134,'Data Vlaue (Cr)'!$C:$FB,2)</f>
        <v>425</v>
      </c>
      <c r="C134" s="75">
        <f>VLOOKUP($A134,'Data Vlaue (Cr)'!$C:$FB,8)</f>
        <v>2295.1</v>
      </c>
      <c r="D134" s="75">
        <f>VLOOKUP($A134,'Data Vlaue (Cr)'!$C:$FB,4)</f>
        <v>2306.9</v>
      </c>
      <c r="E134" s="75">
        <f>VLOOKUP($A134,'Data Vlaue (Cr)'!$C:$FB,5)</f>
        <v>2305.1999999999998</v>
      </c>
      <c r="F134" s="75">
        <f t="shared" si="6"/>
        <v>11.800000000000182</v>
      </c>
      <c r="G134" s="75">
        <f t="shared" si="7"/>
        <v>7.369196757554608E-2</v>
      </c>
      <c r="H134" s="75">
        <f>VLOOKUP($A134,'Data Vlaue (Cr)'!$C:$FB,99)</f>
        <v>2329</v>
      </c>
      <c r="I134" s="75">
        <f>VLOOKUP($A134,'Data Vlaue (Cr)'!$C:$FB,100)</f>
        <v>2271</v>
      </c>
      <c r="J134" s="75">
        <f t="shared" si="8"/>
        <v>58</v>
      </c>
      <c r="K134" s="75">
        <f t="shared" si="9"/>
        <v>2.4903392013739802</v>
      </c>
      <c r="L134" s="75">
        <f>VLOOKUP($A134,'Data Vlaue (Cr)'!$C:$FB,67)</f>
        <v>1422</v>
      </c>
      <c r="M134" s="75">
        <f>VLOOKUP($A134,'Data Vlaue (Cr)'!$C:$FB,68)</f>
        <v>1821</v>
      </c>
      <c r="N134" s="75">
        <f t="shared" si="10"/>
        <v>-399</v>
      </c>
      <c r="O134" s="75">
        <f t="shared" si="11"/>
        <v>-28.059071729957807</v>
      </c>
      <c r="P134" s="75">
        <f>VLOOKUP($A134,'Data Vlaue (Cr)'!$C:$FB,119)</f>
        <v>0.78</v>
      </c>
      <c r="Q134" s="75">
        <f>VLOOKUP($A134,'Data Vlaue (Cr)'!$C:$FB,122)*100</f>
        <v>-1.27</v>
      </c>
      <c r="R134" s="75">
        <f>VLOOKUP($A134,'Data Vlaue (Cr)'!$C:$FB,125)</f>
        <v>0.49</v>
      </c>
      <c r="S134" s="75">
        <f>VLOOKUP($A134,'Data Vlaue (Cr)'!$C:$FB,128)*100</f>
        <v>-2</v>
      </c>
    </row>
    <row r="135" spans="1:19" x14ac:dyDescent="0.25">
      <c r="A135" s="96" t="str">
        <f>'Data Vlaue (Cr)'!C126</f>
        <v>M&amp;M</v>
      </c>
      <c r="B135" s="75">
        <f>VLOOKUP($A135,'Data Vlaue (Cr)'!$C:$FB,2)</f>
        <v>200</v>
      </c>
      <c r="C135" s="75">
        <f>VLOOKUP($A135,'Data Vlaue (Cr)'!$C:$FB,8)</f>
        <v>3166.8</v>
      </c>
      <c r="D135" s="75">
        <f>VLOOKUP($A135,'Data Vlaue (Cr)'!$C:$FB,4)</f>
        <v>3174.7</v>
      </c>
      <c r="E135" s="75">
        <f>VLOOKUP($A135,'Data Vlaue (Cr)'!$C:$FB,5)</f>
        <v>3226</v>
      </c>
      <c r="F135" s="75">
        <f t="shared" si="6"/>
        <v>7.8999999999996362</v>
      </c>
      <c r="G135" s="75">
        <f t="shared" si="7"/>
        <v>-1.6159007150281974</v>
      </c>
      <c r="H135" s="75">
        <f>VLOOKUP($A135,'Data Vlaue (Cr)'!$C:$FB,99)</f>
        <v>8620</v>
      </c>
      <c r="I135" s="75">
        <f>VLOOKUP($A135,'Data Vlaue (Cr)'!$C:$FB,100)</f>
        <v>8517</v>
      </c>
      <c r="J135" s="75">
        <f t="shared" si="8"/>
        <v>103</v>
      </c>
      <c r="K135" s="75">
        <f t="shared" si="9"/>
        <v>1.1948955916473318</v>
      </c>
      <c r="L135" s="75">
        <f>VLOOKUP($A135,'Data Vlaue (Cr)'!$C:$FB,67)</f>
        <v>3101</v>
      </c>
      <c r="M135" s="75">
        <f>VLOOKUP($A135,'Data Vlaue (Cr)'!$C:$FB,68)</f>
        <v>5894</v>
      </c>
      <c r="N135" s="75">
        <f t="shared" si="10"/>
        <v>-2793</v>
      </c>
      <c r="O135" s="75">
        <f t="shared" si="11"/>
        <v>-90.067720090293463</v>
      </c>
      <c r="P135" s="75">
        <f>VLOOKUP($A135,'Data Vlaue (Cr)'!$C:$FB,119)</f>
        <v>0.8</v>
      </c>
      <c r="Q135" s="75">
        <f>VLOOKUP($A135,'Data Vlaue (Cr)'!$C:$FB,122)*100</f>
        <v>-11.110000000000001</v>
      </c>
      <c r="R135" s="75">
        <f>VLOOKUP($A135,'Data Vlaue (Cr)'!$C:$FB,125)</f>
        <v>0.6</v>
      </c>
      <c r="S135" s="75">
        <f>VLOOKUP($A135,'Data Vlaue (Cr)'!$C:$FB,128)*100</f>
        <v>27.66</v>
      </c>
    </row>
    <row r="136" spans="1:19" x14ac:dyDescent="0.25">
      <c r="A136" s="96" t="str">
        <f>'Data Vlaue (Cr)'!C127</f>
        <v>MANAPPURAM</v>
      </c>
      <c r="B136" s="75">
        <f>VLOOKUP($A136,'Data Vlaue (Cr)'!$C:$FB,2)</f>
        <v>3000</v>
      </c>
      <c r="C136" s="75">
        <f>VLOOKUP($A136,'Data Vlaue (Cr)'!$C:$FB,8)</f>
        <v>262.95</v>
      </c>
      <c r="D136" s="75">
        <f>VLOOKUP($A136,'Data Vlaue (Cr)'!$C:$FB,4)</f>
        <v>264.45</v>
      </c>
      <c r="E136" s="75">
        <f>VLOOKUP($A136,'Data Vlaue (Cr)'!$C:$FB,5)</f>
        <v>271</v>
      </c>
      <c r="F136" s="75">
        <f t="shared" si="6"/>
        <v>1.5</v>
      </c>
      <c r="G136" s="75">
        <f t="shared" si="7"/>
        <v>-2.4768387218755952</v>
      </c>
      <c r="H136" s="75">
        <f>VLOOKUP($A136,'Data Vlaue (Cr)'!$C:$FB,99)</f>
        <v>1963</v>
      </c>
      <c r="I136" s="75">
        <f>VLOOKUP($A136,'Data Vlaue (Cr)'!$C:$FB,100)</f>
        <v>1929</v>
      </c>
      <c r="J136" s="75">
        <f t="shared" si="8"/>
        <v>34</v>
      </c>
      <c r="K136" s="75">
        <f t="shared" si="9"/>
        <v>1.7320427916454408</v>
      </c>
      <c r="L136" s="75">
        <f>VLOOKUP($A136,'Data Vlaue (Cr)'!$C:$FB,67)</f>
        <v>424</v>
      </c>
      <c r="M136" s="75">
        <f>VLOOKUP($A136,'Data Vlaue (Cr)'!$C:$FB,68)</f>
        <v>1433</v>
      </c>
      <c r="N136" s="75">
        <f t="shared" si="10"/>
        <v>-1009</v>
      </c>
      <c r="O136" s="75">
        <f t="shared" si="11"/>
        <v>-237.97169811320754</v>
      </c>
      <c r="P136" s="75">
        <f>VLOOKUP($A136,'Data Vlaue (Cr)'!$C:$FB,119)</f>
        <v>0.67</v>
      </c>
      <c r="Q136" s="75">
        <f>VLOOKUP($A136,'Data Vlaue (Cr)'!$C:$FB,122)*100</f>
        <v>0</v>
      </c>
      <c r="R136" s="75">
        <f>VLOOKUP($A136,'Data Vlaue (Cr)'!$C:$FB,125)</f>
        <v>0.28000000000000003</v>
      </c>
      <c r="S136" s="75">
        <f>VLOOKUP($A136,'Data Vlaue (Cr)'!$C:$FB,128)*100</f>
        <v>-9.68</v>
      </c>
    </row>
    <row r="137" spans="1:19" x14ac:dyDescent="0.25">
      <c r="A137" s="96" t="str">
        <f>'Data Vlaue (Cr)'!C128</f>
        <v>MANKIND</v>
      </c>
      <c r="B137" s="75">
        <f>VLOOKUP($A137,'Data Vlaue (Cr)'!$C:$FB,2)</f>
        <v>225</v>
      </c>
      <c r="C137" s="75">
        <f>VLOOKUP($A137,'Data Vlaue (Cr)'!$C:$FB,8)</f>
        <v>2054.1999999999998</v>
      </c>
      <c r="D137" s="75">
        <f>VLOOKUP($A137,'Data Vlaue (Cr)'!$C:$FB,4)</f>
        <v>2062.6999999999998</v>
      </c>
      <c r="E137" s="75">
        <f>VLOOKUP($A137,'Data Vlaue (Cr)'!$C:$FB,5)</f>
        <v>2047.7</v>
      </c>
      <c r="F137" s="75">
        <f t="shared" si="6"/>
        <v>8.5</v>
      </c>
      <c r="G137" s="75">
        <f t="shared" si="7"/>
        <v>0.72720221069470958</v>
      </c>
      <c r="H137" s="75">
        <f>VLOOKUP($A137,'Data Vlaue (Cr)'!$C:$FB,99)</f>
        <v>721</v>
      </c>
      <c r="I137" s="75">
        <f>VLOOKUP($A137,'Data Vlaue (Cr)'!$C:$FB,100)</f>
        <v>716</v>
      </c>
      <c r="J137" s="75">
        <f t="shared" si="8"/>
        <v>5</v>
      </c>
      <c r="K137" s="75">
        <f t="shared" si="9"/>
        <v>0.69348127600554788</v>
      </c>
      <c r="L137" s="75">
        <f>VLOOKUP($A137,'Data Vlaue (Cr)'!$C:$FB,67)</f>
        <v>194</v>
      </c>
      <c r="M137" s="75">
        <f>VLOOKUP($A137,'Data Vlaue (Cr)'!$C:$FB,68)</f>
        <v>380</v>
      </c>
      <c r="N137" s="75">
        <f t="shared" si="10"/>
        <v>-186</v>
      </c>
      <c r="O137" s="75">
        <f t="shared" si="11"/>
        <v>-95.876288659793815</v>
      </c>
      <c r="P137" s="75">
        <f>VLOOKUP($A137,'Data Vlaue (Cr)'!$C:$FB,119)</f>
        <v>0.56000000000000005</v>
      </c>
      <c r="Q137" s="75">
        <f>VLOOKUP($A137,'Data Vlaue (Cr)'!$C:$FB,122)*100</f>
        <v>3.6999999999999997</v>
      </c>
      <c r="R137" s="75">
        <f>VLOOKUP($A137,'Data Vlaue (Cr)'!$C:$FB,125)</f>
        <v>0.31</v>
      </c>
      <c r="S137" s="75">
        <f>VLOOKUP($A137,'Data Vlaue (Cr)'!$C:$FB,128)*100</f>
        <v>-27.91</v>
      </c>
    </row>
    <row r="138" spans="1:19" x14ac:dyDescent="0.25">
      <c r="A138" s="96" t="str">
        <f>'Data Vlaue (Cr)'!C129</f>
        <v>MARICO</v>
      </c>
      <c r="B138" s="75">
        <f>VLOOKUP($A138,'Data Vlaue (Cr)'!$C:$FB,2)</f>
        <v>1200</v>
      </c>
      <c r="C138" s="75">
        <f>VLOOKUP($A138,'Data Vlaue (Cr)'!$C:$FB,8)</f>
        <v>747.35</v>
      </c>
      <c r="D138" s="75">
        <f>VLOOKUP($A138,'Data Vlaue (Cr)'!$C:$FB,4)</f>
        <v>751.15</v>
      </c>
      <c r="E138" s="75">
        <f>VLOOKUP($A138,'Data Vlaue (Cr)'!$C:$FB,5)</f>
        <v>751.15</v>
      </c>
      <c r="F138" s="75">
        <f t="shared" si="6"/>
        <v>3.7999999999999545</v>
      </c>
      <c r="G138" s="75">
        <f t="shared" si="7"/>
        <v>0</v>
      </c>
      <c r="H138" s="75">
        <f>VLOOKUP($A138,'Data Vlaue (Cr)'!$C:$FB,99)</f>
        <v>2606</v>
      </c>
      <c r="I138" s="75">
        <f>VLOOKUP($A138,'Data Vlaue (Cr)'!$C:$FB,100)</f>
        <v>2564</v>
      </c>
      <c r="J138" s="75">
        <f t="shared" si="8"/>
        <v>42</v>
      </c>
      <c r="K138" s="75">
        <f t="shared" si="9"/>
        <v>1.6116653875671527</v>
      </c>
      <c r="L138" s="75">
        <f>VLOOKUP($A138,'Data Vlaue (Cr)'!$C:$FB,67)</f>
        <v>499</v>
      </c>
      <c r="M138" s="75">
        <f>VLOOKUP($A138,'Data Vlaue (Cr)'!$C:$FB,68)</f>
        <v>1649</v>
      </c>
      <c r="N138" s="75">
        <f t="shared" si="10"/>
        <v>-1150</v>
      </c>
      <c r="O138" s="75">
        <f t="shared" si="11"/>
        <v>-230.46092184368737</v>
      </c>
      <c r="P138" s="75">
        <f>VLOOKUP($A138,'Data Vlaue (Cr)'!$C:$FB,119)</f>
        <v>1.06</v>
      </c>
      <c r="Q138" s="75">
        <f>VLOOKUP($A138,'Data Vlaue (Cr)'!$C:$FB,122)*100</f>
        <v>4.95</v>
      </c>
      <c r="R138" s="75">
        <f>VLOOKUP($A138,'Data Vlaue (Cr)'!$C:$FB,125)</f>
        <v>0.33</v>
      </c>
      <c r="S138" s="75">
        <f>VLOOKUP($A138,'Data Vlaue (Cr)'!$C:$FB,128)*100</f>
        <v>-41.07</v>
      </c>
    </row>
    <row r="139" spans="1:19" x14ac:dyDescent="0.25">
      <c r="A139" s="96" t="str">
        <f>'Data Vlaue (Cr)'!C130</f>
        <v>MARUTI</v>
      </c>
      <c r="B139" s="75">
        <f>VLOOKUP($A139,'Data Vlaue (Cr)'!$C:$FB,2)</f>
        <v>50</v>
      </c>
      <c r="C139" s="75">
        <f>VLOOKUP($A139,'Data Vlaue (Cr)'!$C:$FB,8)</f>
        <v>13589</v>
      </c>
      <c r="D139" s="75">
        <f>VLOOKUP($A139,'Data Vlaue (Cr)'!$C:$FB,4)</f>
        <v>13609</v>
      </c>
      <c r="E139" s="75">
        <f>VLOOKUP($A139,'Data Vlaue (Cr)'!$C:$FB,5)</f>
        <v>13632</v>
      </c>
      <c r="F139" s="75">
        <f t="shared" si="6"/>
        <v>20</v>
      </c>
      <c r="G139" s="75">
        <f t="shared" si="7"/>
        <v>-0.16900580498199722</v>
      </c>
      <c r="H139" s="75">
        <f>VLOOKUP($A139,'Data Vlaue (Cr)'!$C:$FB,99)</f>
        <v>7845</v>
      </c>
      <c r="I139" s="75">
        <f>VLOOKUP($A139,'Data Vlaue (Cr)'!$C:$FB,100)</f>
        <v>7613</v>
      </c>
      <c r="J139" s="75">
        <f t="shared" si="8"/>
        <v>232</v>
      </c>
      <c r="K139" s="75">
        <f t="shared" si="9"/>
        <v>2.95729764181007</v>
      </c>
      <c r="L139" s="75">
        <f>VLOOKUP($A139,'Data Vlaue (Cr)'!$C:$FB,67)</f>
        <v>8156</v>
      </c>
      <c r="M139" s="75">
        <f>VLOOKUP($A139,'Data Vlaue (Cr)'!$C:$FB,68)</f>
        <v>10732</v>
      </c>
      <c r="N139" s="75">
        <f t="shared" si="10"/>
        <v>-2576</v>
      </c>
      <c r="O139" s="75">
        <f t="shared" si="11"/>
        <v>-31.584109857773417</v>
      </c>
      <c r="P139" s="75">
        <f>VLOOKUP($A139,'Data Vlaue (Cr)'!$C:$FB,119)</f>
        <v>0.63</v>
      </c>
      <c r="Q139" s="75">
        <f>VLOOKUP($A139,'Data Vlaue (Cr)'!$C:$FB,122)*100</f>
        <v>-8.6999999999999993</v>
      </c>
      <c r="R139" s="75">
        <f>VLOOKUP($A139,'Data Vlaue (Cr)'!$C:$FB,125)</f>
        <v>0.53</v>
      </c>
      <c r="S139" s="75">
        <f>VLOOKUP($A139,'Data Vlaue (Cr)'!$C:$FB,128)*100</f>
        <v>-1.8499999999999999</v>
      </c>
    </row>
    <row r="140" spans="1:19" x14ac:dyDescent="0.25">
      <c r="A140" s="96" t="str">
        <f>'Data Vlaue (Cr)'!C131</f>
        <v>MAXHEALTH</v>
      </c>
      <c r="B140" s="75">
        <f>VLOOKUP($A140,'Data Vlaue (Cr)'!$C:$FB,2)</f>
        <v>525</v>
      </c>
      <c r="C140" s="75">
        <f>VLOOKUP($A140,'Data Vlaue (Cr)'!$C:$FB,8)</f>
        <v>954.95</v>
      </c>
      <c r="D140" s="75">
        <f>VLOOKUP($A140,'Data Vlaue (Cr)'!$C:$FB,4)</f>
        <v>957.05</v>
      </c>
      <c r="E140" s="75">
        <f>VLOOKUP($A140,'Data Vlaue (Cr)'!$C:$FB,5)</f>
        <v>946.1</v>
      </c>
      <c r="F140" s="75">
        <f t="shared" ref="F140:F176" si="12">D140-C140</f>
        <v>2.0999999999999091</v>
      </c>
      <c r="G140" s="75">
        <f t="shared" ref="G140:G176" si="13">(D140-E140)/D140*100</f>
        <v>1.1441408494853909</v>
      </c>
      <c r="H140" s="75">
        <f>VLOOKUP($A140,'Data Vlaue (Cr)'!$C:$FB,99)</f>
        <v>1782</v>
      </c>
      <c r="I140" s="75">
        <f>VLOOKUP($A140,'Data Vlaue (Cr)'!$C:$FB,100)</f>
        <v>1780</v>
      </c>
      <c r="J140" s="75">
        <f t="shared" ref="J140:J176" si="14">H140-I140</f>
        <v>2</v>
      </c>
      <c r="K140" s="75">
        <f t="shared" ref="K140:K176" si="15">J140/H140*100</f>
        <v>0.11223344556677892</v>
      </c>
      <c r="L140" s="75">
        <f>VLOOKUP($A140,'Data Vlaue (Cr)'!$C:$FB,67)</f>
        <v>986</v>
      </c>
      <c r="M140" s="75">
        <f>VLOOKUP($A140,'Data Vlaue (Cr)'!$C:$FB,68)</f>
        <v>846</v>
      </c>
      <c r="N140" s="75">
        <f t="shared" ref="N140:N176" si="16">L140-M140</f>
        <v>140</v>
      </c>
      <c r="O140" s="75">
        <f t="shared" ref="O140:O176" si="17">N140/L140*100</f>
        <v>14.198782961460447</v>
      </c>
      <c r="P140" s="75">
        <f>VLOOKUP($A140,'Data Vlaue (Cr)'!$C:$FB,119)</f>
        <v>0.65</v>
      </c>
      <c r="Q140" s="75">
        <f>VLOOKUP($A140,'Data Vlaue (Cr)'!$C:$FB,122)*100</f>
        <v>8.33</v>
      </c>
      <c r="R140" s="75">
        <f>VLOOKUP($A140,'Data Vlaue (Cr)'!$C:$FB,125)</f>
        <v>0.26</v>
      </c>
      <c r="S140" s="75">
        <f>VLOOKUP($A140,'Data Vlaue (Cr)'!$C:$FB,128)*100</f>
        <v>-48</v>
      </c>
    </row>
    <row r="141" spans="1:19" x14ac:dyDescent="0.25">
      <c r="A141" s="96" t="str">
        <f>'Data Vlaue (Cr)'!C132</f>
        <v>MAZDOCK</v>
      </c>
      <c r="B141" s="75">
        <f>VLOOKUP($A141,'Data Vlaue (Cr)'!$C:$FB,2)</f>
        <v>200</v>
      </c>
      <c r="C141" s="75">
        <f>VLOOKUP($A141,'Data Vlaue (Cr)'!$C:$FB,8)</f>
        <v>2435.5</v>
      </c>
      <c r="D141" s="75">
        <f>VLOOKUP($A141,'Data Vlaue (Cr)'!$C:$FB,4)</f>
        <v>2448.4</v>
      </c>
      <c r="E141" s="75">
        <f>VLOOKUP($A141,'Data Vlaue (Cr)'!$C:$FB,5)</f>
        <v>2403.9</v>
      </c>
      <c r="F141" s="75">
        <f t="shared" si="12"/>
        <v>12.900000000000091</v>
      </c>
      <c r="G141" s="75">
        <f t="shared" si="13"/>
        <v>1.8175134781898381</v>
      </c>
      <c r="H141" s="75">
        <f>VLOOKUP($A141,'Data Vlaue (Cr)'!$C:$FB,99)</f>
        <v>2262</v>
      </c>
      <c r="I141" s="75">
        <f>VLOOKUP($A141,'Data Vlaue (Cr)'!$C:$FB,100)</f>
        <v>2146</v>
      </c>
      <c r="J141" s="75">
        <f t="shared" si="14"/>
        <v>116</v>
      </c>
      <c r="K141" s="75">
        <f t="shared" si="15"/>
        <v>5.1282051282051277</v>
      </c>
      <c r="L141" s="75">
        <f>VLOOKUP($A141,'Data Vlaue (Cr)'!$C:$FB,67)</f>
        <v>3228</v>
      </c>
      <c r="M141" s="75">
        <f>VLOOKUP($A141,'Data Vlaue (Cr)'!$C:$FB,68)</f>
        <v>1434</v>
      </c>
      <c r="N141" s="75">
        <f t="shared" si="16"/>
        <v>1794</v>
      </c>
      <c r="O141" s="75">
        <f t="shared" si="17"/>
        <v>55.576208178438655</v>
      </c>
      <c r="P141" s="75">
        <f>VLOOKUP($A141,'Data Vlaue (Cr)'!$C:$FB,119)</f>
        <v>0.82</v>
      </c>
      <c r="Q141" s="75">
        <f>VLOOKUP($A141,'Data Vlaue (Cr)'!$C:$FB,122)*100</f>
        <v>3.8</v>
      </c>
      <c r="R141" s="75">
        <f>VLOOKUP($A141,'Data Vlaue (Cr)'!$C:$FB,125)</f>
        <v>0.32</v>
      </c>
      <c r="S141" s="75">
        <f>VLOOKUP($A141,'Data Vlaue (Cr)'!$C:$FB,128)*100</f>
        <v>-23.810000000000002</v>
      </c>
    </row>
    <row r="142" spans="1:19" x14ac:dyDescent="0.25">
      <c r="A142" s="96" t="str">
        <f>'Data Vlaue (Cr)'!C133</f>
        <v>MCX</v>
      </c>
      <c r="B142" s="75">
        <f>VLOOKUP($A142,'Data Vlaue (Cr)'!$C:$FB,2)</f>
        <v>625</v>
      </c>
      <c r="C142" s="75">
        <f>VLOOKUP($A142,'Data Vlaue (Cr)'!$C:$FB,8)</f>
        <v>2657.5</v>
      </c>
      <c r="D142" s="75">
        <f>VLOOKUP($A142,'Data Vlaue (Cr)'!$C:$FB,4)</f>
        <v>2666.9</v>
      </c>
      <c r="E142" s="75">
        <f>VLOOKUP($A142,'Data Vlaue (Cr)'!$C:$FB,5)</f>
        <v>2609.8000000000002</v>
      </c>
      <c r="F142" s="75">
        <f t="shared" si="12"/>
        <v>9.4000000000000909</v>
      </c>
      <c r="G142" s="75">
        <f t="shared" si="13"/>
        <v>2.1410626570175078</v>
      </c>
      <c r="H142" s="75">
        <f>VLOOKUP($A142,'Data Vlaue (Cr)'!$C:$FB,99)</f>
        <v>6406</v>
      </c>
      <c r="I142" s="75">
        <f>VLOOKUP($A142,'Data Vlaue (Cr)'!$C:$FB,100)</f>
        <v>6060</v>
      </c>
      <c r="J142" s="75">
        <f t="shared" si="14"/>
        <v>346</v>
      </c>
      <c r="K142" s="75">
        <f t="shared" si="15"/>
        <v>5.4011863877614736</v>
      </c>
      <c r="L142" s="75">
        <f>VLOOKUP($A142,'Data Vlaue (Cr)'!$C:$FB,67)</f>
        <v>6667</v>
      </c>
      <c r="M142" s="75">
        <f>VLOOKUP($A142,'Data Vlaue (Cr)'!$C:$FB,68)</f>
        <v>7648</v>
      </c>
      <c r="N142" s="75">
        <f t="shared" si="16"/>
        <v>-981</v>
      </c>
      <c r="O142" s="75">
        <f t="shared" si="17"/>
        <v>-14.71426428678566</v>
      </c>
      <c r="P142" s="75">
        <f>VLOOKUP($A142,'Data Vlaue (Cr)'!$C:$FB,119)</f>
        <v>0.92</v>
      </c>
      <c r="Q142" s="75">
        <f>VLOOKUP($A142,'Data Vlaue (Cr)'!$C:$FB,122)*100</f>
        <v>9.5200000000000014</v>
      </c>
      <c r="R142" s="75">
        <f>VLOOKUP($A142,'Data Vlaue (Cr)'!$C:$FB,125)</f>
        <v>0.56999999999999995</v>
      </c>
      <c r="S142" s="75">
        <f>VLOOKUP($A142,'Data Vlaue (Cr)'!$C:$FB,128)*100</f>
        <v>11.76</v>
      </c>
    </row>
    <row r="143" spans="1:19" x14ac:dyDescent="0.25">
      <c r="A143" s="96" t="str">
        <f>'Data Vlaue (Cr)'!C134</f>
        <v>MFSL</v>
      </c>
      <c r="B143" s="75">
        <f>VLOOKUP($A143,'Data Vlaue (Cr)'!$C:$FB,2)</f>
        <v>400</v>
      </c>
      <c r="C143" s="75">
        <f>VLOOKUP($A143,'Data Vlaue (Cr)'!$C:$FB,8)</f>
        <v>1607.4</v>
      </c>
      <c r="D143" s="75">
        <f>VLOOKUP($A143,'Data Vlaue (Cr)'!$C:$FB,4)</f>
        <v>1610.9</v>
      </c>
      <c r="E143" s="75">
        <f>VLOOKUP($A143,'Data Vlaue (Cr)'!$C:$FB,5)</f>
        <v>1592.6</v>
      </c>
      <c r="F143" s="75">
        <f t="shared" si="12"/>
        <v>3.5</v>
      </c>
      <c r="G143" s="75">
        <f t="shared" si="13"/>
        <v>1.1360109255695687</v>
      </c>
      <c r="H143" s="75">
        <f>VLOOKUP($A143,'Data Vlaue (Cr)'!$C:$FB,99)</f>
        <v>1843</v>
      </c>
      <c r="I143" s="75">
        <f>VLOOKUP($A143,'Data Vlaue (Cr)'!$C:$FB,100)</f>
        <v>1878</v>
      </c>
      <c r="J143" s="75">
        <f t="shared" si="14"/>
        <v>-35</v>
      </c>
      <c r="K143" s="75"/>
      <c r="L143" s="75">
        <f>VLOOKUP($A143,'Data Vlaue (Cr)'!$C:$FB,67)</f>
        <v>309</v>
      </c>
      <c r="M143" s="75">
        <f>VLOOKUP($A143,'Data Vlaue (Cr)'!$C:$FB,68)</f>
        <v>670</v>
      </c>
      <c r="N143" s="75">
        <f t="shared" si="16"/>
        <v>-361</v>
      </c>
      <c r="O143" s="75">
        <f t="shared" si="17"/>
        <v>-116.8284789644013</v>
      </c>
      <c r="P143" s="75">
        <f>VLOOKUP($A143,'Data Vlaue (Cr)'!$C:$FB,119)</f>
        <v>0.78</v>
      </c>
      <c r="Q143" s="75">
        <f>VLOOKUP($A143,'Data Vlaue (Cr)'!$C:$FB,122)*100</f>
        <v>14.71</v>
      </c>
      <c r="R143" s="75">
        <f>VLOOKUP($A143,'Data Vlaue (Cr)'!$C:$FB,125)</f>
        <v>0.55000000000000004</v>
      </c>
      <c r="S143" s="75">
        <f>VLOOKUP($A143,'Data Vlaue (Cr)'!$C:$FB,128)*100</f>
        <v>12.24</v>
      </c>
    </row>
    <row r="144" spans="1:19" x14ac:dyDescent="0.25">
      <c r="A144" s="96" t="str">
        <f>'Data Vlaue (Cr)'!C135</f>
        <v>MIDCPNIFTY</v>
      </c>
      <c r="B144" s="75">
        <f>VLOOKUP($A144,'Data Vlaue (Cr)'!$C:$FB,2)</f>
        <v>120</v>
      </c>
      <c r="C144" s="75">
        <f>VLOOKUP($A144,'Data Vlaue (Cr)'!$C:$FB,8)</f>
        <v>13207.3</v>
      </c>
      <c r="D144" s="75">
        <f>VLOOKUP($A144,'Data Vlaue (Cr)'!$C:$FB,4)</f>
        <v>13233.3</v>
      </c>
      <c r="E144" s="75">
        <f>VLOOKUP($A144,'Data Vlaue (Cr)'!$C:$FB,5)</f>
        <v>13264.85</v>
      </c>
      <c r="F144" s="75">
        <f t="shared" si="12"/>
        <v>26</v>
      </c>
      <c r="G144" s="75">
        <f t="shared" si="13"/>
        <v>-0.23841369877506813</v>
      </c>
      <c r="H144" s="75">
        <f>VLOOKUP($A144,'Data Vlaue (Cr)'!$C:$FB,99)</f>
        <v>13734</v>
      </c>
      <c r="I144" s="75">
        <f>VLOOKUP($A144,'Data Vlaue (Cr)'!$C:$FB,100)</f>
        <v>12570</v>
      </c>
      <c r="J144" s="75">
        <f t="shared" si="14"/>
        <v>1164</v>
      </c>
      <c r="K144" s="75">
        <f t="shared" si="15"/>
        <v>8.4753167321974665</v>
      </c>
      <c r="L144" s="75">
        <f>VLOOKUP($A144,'Data Vlaue (Cr)'!$C:$FB,67)</f>
        <v>29679</v>
      </c>
      <c r="M144" s="75">
        <f>VLOOKUP($A144,'Data Vlaue (Cr)'!$C:$FB,68)</f>
        <v>28800</v>
      </c>
      <c r="N144" s="75">
        <f t="shared" si="16"/>
        <v>879</v>
      </c>
      <c r="O144" s="75">
        <f t="shared" si="17"/>
        <v>2.9616900838977056</v>
      </c>
      <c r="P144" s="75">
        <f>VLOOKUP($A144,'Data Vlaue (Cr)'!$C:$FB,119)</f>
        <v>1.0900000000000001</v>
      </c>
      <c r="Q144" s="75">
        <f>VLOOKUP($A144,'Data Vlaue (Cr)'!$C:$FB,122)*100</f>
        <v>12.370000000000001</v>
      </c>
      <c r="R144" s="75">
        <f>VLOOKUP($A144,'Data Vlaue (Cr)'!$C:$FB,125)</f>
        <v>1.05</v>
      </c>
      <c r="S144" s="75">
        <f>VLOOKUP($A144,'Data Vlaue (Cr)'!$C:$FB,128)*100</f>
        <v>-7.08</v>
      </c>
    </row>
    <row r="145" spans="1:19" x14ac:dyDescent="0.25">
      <c r="A145" s="96" t="str">
        <f>'Data Vlaue (Cr)'!C136</f>
        <v>MOTHERSON</v>
      </c>
      <c r="B145" s="75">
        <f>VLOOKUP($A145,'Data Vlaue (Cr)'!$C:$FB,2)</f>
        <v>6150</v>
      </c>
      <c r="C145" s="75">
        <f>VLOOKUP($A145,'Data Vlaue (Cr)'!$C:$FB,8)</f>
        <v>116.9</v>
      </c>
      <c r="D145" s="75">
        <f>VLOOKUP($A145,'Data Vlaue (Cr)'!$C:$FB,4)</f>
        <v>117.36</v>
      </c>
      <c r="E145" s="75">
        <f>VLOOKUP($A145,'Data Vlaue (Cr)'!$C:$FB,5)</f>
        <v>118.73</v>
      </c>
      <c r="F145" s="75">
        <f t="shared" si="12"/>
        <v>0.45999999999999375</v>
      </c>
      <c r="G145" s="75">
        <f t="shared" si="13"/>
        <v>-1.1673483299250209</v>
      </c>
      <c r="H145" s="75">
        <f>VLOOKUP($A145,'Data Vlaue (Cr)'!$C:$FB,99)</f>
        <v>2343</v>
      </c>
      <c r="I145" s="75">
        <f>VLOOKUP($A145,'Data Vlaue (Cr)'!$C:$FB,100)</f>
        <v>2339</v>
      </c>
      <c r="J145" s="75">
        <f t="shared" si="14"/>
        <v>4</v>
      </c>
      <c r="K145" s="75">
        <f t="shared" si="15"/>
        <v>0.17072129748186088</v>
      </c>
      <c r="L145" s="75">
        <f>VLOOKUP($A145,'Data Vlaue (Cr)'!$C:$FB,67)</f>
        <v>658</v>
      </c>
      <c r="M145" s="75">
        <f>VLOOKUP($A145,'Data Vlaue (Cr)'!$C:$FB,68)</f>
        <v>2067</v>
      </c>
      <c r="N145" s="75">
        <f t="shared" si="16"/>
        <v>-1409</v>
      </c>
      <c r="O145" s="75">
        <f t="shared" si="17"/>
        <v>-214.13373860182369</v>
      </c>
      <c r="P145" s="75">
        <f>VLOOKUP($A145,'Data Vlaue (Cr)'!$C:$FB,119)</f>
        <v>0.8</v>
      </c>
      <c r="Q145" s="75">
        <f>VLOOKUP($A145,'Data Vlaue (Cr)'!$C:$FB,122)*100</f>
        <v>-2.44</v>
      </c>
      <c r="R145" s="75">
        <f>VLOOKUP($A145,'Data Vlaue (Cr)'!$C:$FB,125)</f>
        <v>0.64</v>
      </c>
      <c r="S145" s="75">
        <f>VLOOKUP($A145,'Data Vlaue (Cr)'!$C:$FB,128)*100</f>
        <v>16.36</v>
      </c>
    </row>
    <row r="146" spans="1:19" x14ac:dyDescent="0.25">
      <c r="A146" s="96" t="str">
        <f>'Data Vlaue (Cr)'!C137</f>
        <v>MOTILALOFS</v>
      </c>
      <c r="B146" s="75">
        <f>VLOOKUP($A146,'Data Vlaue (Cr)'!$C:$FB,2)</f>
        <v>775</v>
      </c>
      <c r="C146" s="75">
        <f>VLOOKUP($A146,'Data Vlaue (Cr)'!$C:$FB,8)</f>
        <v>761.15</v>
      </c>
      <c r="D146" s="75">
        <f>VLOOKUP($A146,'Data Vlaue (Cr)'!$C:$FB,4)</f>
        <v>764.85</v>
      </c>
      <c r="E146" s="75">
        <f>VLOOKUP($A146,'Data Vlaue (Cr)'!$C:$FB,5)</f>
        <v>761.1</v>
      </c>
      <c r="F146" s="75">
        <f t="shared" si="12"/>
        <v>3.7000000000000455</v>
      </c>
      <c r="G146" s="75">
        <f t="shared" si="13"/>
        <v>0.49029221415963914</v>
      </c>
      <c r="H146" s="75">
        <f>VLOOKUP($A146,'Data Vlaue (Cr)'!$C:$FB,99)</f>
        <v>219</v>
      </c>
      <c r="I146" s="75">
        <f>VLOOKUP($A146,'Data Vlaue (Cr)'!$C:$FB,100)</f>
        <v>180</v>
      </c>
      <c r="J146" s="75">
        <f t="shared" si="14"/>
        <v>39</v>
      </c>
      <c r="K146" s="75">
        <f t="shared" si="15"/>
        <v>17.80821917808219</v>
      </c>
      <c r="L146" s="75">
        <f>VLOOKUP($A146,'Data Vlaue (Cr)'!$C:$FB,67)</f>
        <v>407</v>
      </c>
      <c r="M146" s="75">
        <f>VLOOKUP($A146,'Data Vlaue (Cr)'!$C:$FB,68)</f>
        <v>301</v>
      </c>
      <c r="N146" s="75">
        <f t="shared" si="16"/>
        <v>106</v>
      </c>
      <c r="O146" s="75">
        <f t="shared" si="17"/>
        <v>26.044226044226043</v>
      </c>
      <c r="P146" s="75">
        <f>VLOOKUP($A146,'Data Vlaue (Cr)'!$C:$FB,119)</f>
        <v>0.87</v>
      </c>
      <c r="Q146" s="75">
        <f>VLOOKUP($A146,'Data Vlaue (Cr)'!$C:$FB,122)*100</f>
        <v>-7.4499999999999993</v>
      </c>
      <c r="R146" s="75">
        <f>VLOOKUP($A146,'Data Vlaue (Cr)'!$C:$FB,125)</f>
        <v>0.98</v>
      </c>
      <c r="S146" s="75">
        <f>VLOOKUP($A146,'Data Vlaue (Cr)'!$C:$FB,128)*100</f>
        <v>-35.53</v>
      </c>
    </row>
    <row r="147" spans="1:19" x14ac:dyDescent="0.25">
      <c r="A147" s="96" t="str">
        <f>'Data Vlaue (Cr)'!C138</f>
        <v>MPHASIS</v>
      </c>
      <c r="B147" s="75">
        <f>VLOOKUP($A147,'Data Vlaue (Cr)'!$C:$FB,2)</f>
        <v>275</v>
      </c>
      <c r="C147" s="75">
        <f>VLOOKUP($A147,'Data Vlaue (Cr)'!$C:$FB,8)</f>
        <v>2385.3000000000002</v>
      </c>
      <c r="D147" s="75">
        <f>VLOOKUP($A147,'Data Vlaue (Cr)'!$C:$FB,4)</f>
        <v>2395.6</v>
      </c>
      <c r="E147" s="75">
        <f>VLOOKUP($A147,'Data Vlaue (Cr)'!$C:$FB,5)</f>
        <v>2360.6</v>
      </c>
      <c r="F147" s="75">
        <f t="shared" si="12"/>
        <v>10.299999999999727</v>
      </c>
      <c r="G147" s="75">
        <f t="shared" si="13"/>
        <v>1.4610118550676241</v>
      </c>
      <c r="H147" s="75">
        <f>VLOOKUP($A147,'Data Vlaue (Cr)'!$C:$FB,99)</f>
        <v>1580</v>
      </c>
      <c r="I147" s="75">
        <f>VLOOKUP($A147,'Data Vlaue (Cr)'!$C:$FB,100)</f>
        <v>1529</v>
      </c>
      <c r="J147" s="75">
        <f t="shared" si="14"/>
        <v>51</v>
      </c>
      <c r="K147" s="75">
        <f t="shared" si="15"/>
        <v>3.2278481012658227</v>
      </c>
      <c r="L147" s="75">
        <f>VLOOKUP($A147,'Data Vlaue (Cr)'!$C:$FB,67)</f>
        <v>1007</v>
      </c>
      <c r="M147" s="75">
        <f>VLOOKUP($A147,'Data Vlaue (Cr)'!$C:$FB,68)</f>
        <v>1110</v>
      </c>
      <c r="N147" s="75">
        <f t="shared" si="16"/>
        <v>-103</v>
      </c>
      <c r="O147" s="75">
        <f t="shared" si="17"/>
        <v>-10.228401191658392</v>
      </c>
      <c r="P147" s="75">
        <f>VLOOKUP($A147,'Data Vlaue (Cr)'!$C:$FB,119)</f>
        <v>0.91</v>
      </c>
      <c r="Q147" s="75">
        <f>VLOOKUP($A147,'Data Vlaue (Cr)'!$C:$FB,122)*100</f>
        <v>16.669999999999998</v>
      </c>
      <c r="R147" s="75">
        <f>VLOOKUP($A147,'Data Vlaue (Cr)'!$C:$FB,125)</f>
        <v>0.72</v>
      </c>
      <c r="S147" s="75">
        <f>VLOOKUP($A147,'Data Vlaue (Cr)'!$C:$FB,128)*100</f>
        <v>33.33</v>
      </c>
    </row>
    <row r="148" spans="1:19" x14ac:dyDescent="0.25">
      <c r="A148" s="96" t="str">
        <f>'Data Vlaue (Cr)'!C139</f>
        <v>MUTHOOTFIN</v>
      </c>
      <c r="B148" s="75">
        <f>VLOOKUP($A148,'Data Vlaue (Cr)'!$C:$FB,2)</f>
        <v>275</v>
      </c>
      <c r="C148" s="75">
        <f>VLOOKUP($A148,'Data Vlaue (Cr)'!$C:$FB,8)</f>
        <v>3475.2</v>
      </c>
      <c r="D148" s="75">
        <f>VLOOKUP($A148,'Data Vlaue (Cr)'!$C:$FB,4)</f>
        <v>3458.3</v>
      </c>
      <c r="E148" s="75">
        <f>VLOOKUP($A148,'Data Vlaue (Cr)'!$C:$FB,5)</f>
        <v>3484.5</v>
      </c>
      <c r="F148" s="75">
        <f t="shared" si="12"/>
        <v>-16.899999999999636</v>
      </c>
      <c r="G148" s="75">
        <f t="shared" si="13"/>
        <v>-0.75759766359193292</v>
      </c>
      <c r="H148" s="75">
        <f>VLOOKUP($A148,'Data Vlaue (Cr)'!$C:$FB,99)</f>
        <v>2303</v>
      </c>
      <c r="I148" s="75">
        <f>VLOOKUP($A148,'Data Vlaue (Cr)'!$C:$FB,100)</f>
        <v>2314</v>
      </c>
      <c r="J148" s="75">
        <f t="shared" si="14"/>
        <v>-11</v>
      </c>
      <c r="K148" s="75">
        <f t="shared" si="15"/>
        <v>-0.47763786365610073</v>
      </c>
      <c r="L148" s="75">
        <f>VLOOKUP($A148,'Data Vlaue (Cr)'!$C:$FB,67)</f>
        <v>1323</v>
      </c>
      <c r="M148" s="75">
        <f>VLOOKUP($A148,'Data Vlaue (Cr)'!$C:$FB,68)</f>
        <v>3168</v>
      </c>
      <c r="N148" s="75">
        <f t="shared" si="16"/>
        <v>-1845</v>
      </c>
      <c r="O148" s="75">
        <f t="shared" si="17"/>
        <v>-139.45578231292518</v>
      </c>
      <c r="P148" s="75">
        <f>VLOOKUP($A148,'Data Vlaue (Cr)'!$C:$FB,119)</f>
        <v>0.69</v>
      </c>
      <c r="Q148" s="75">
        <f>VLOOKUP($A148,'Data Vlaue (Cr)'!$C:$FB,122)*100</f>
        <v>4.55</v>
      </c>
      <c r="R148" s="75">
        <f>VLOOKUP($A148,'Data Vlaue (Cr)'!$C:$FB,125)</f>
        <v>0.4</v>
      </c>
      <c r="S148" s="75">
        <f>VLOOKUP($A148,'Data Vlaue (Cr)'!$C:$FB,128)*100</f>
        <v>21.21</v>
      </c>
    </row>
    <row r="149" spans="1:19" x14ac:dyDescent="0.25">
      <c r="A149" s="96" t="str">
        <f>'Data Vlaue (Cr)'!C140</f>
        <v>NAM-INDIA</v>
      </c>
      <c r="B149" s="75">
        <f>VLOOKUP($A149,'Data Vlaue (Cr)'!$C:$FB,2)</f>
        <v>625</v>
      </c>
      <c r="C149" s="75">
        <f>VLOOKUP($A149,'Data Vlaue (Cr)'!$C:$FB,8)</f>
        <v>908.65</v>
      </c>
      <c r="D149" s="75">
        <f>VLOOKUP($A149,'Data Vlaue (Cr)'!$C:$FB,4)</f>
        <v>906.95</v>
      </c>
      <c r="E149" s="75">
        <f>VLOOKUP($A149,'Data Vlaue (Cr)'!$C:$FB,5)</f>
        <v>901.4</v>
      </c>
      <c r="F149" s="75">
        <f t="shared" si="12"/>
        <v>-1.6999999999999318</v>
      </c>
      <c r="G149" s="75">
        <f t="shared" si="13"/>
        <v>0.61194112134076495</v>
      </c>
      <c r="H149" s="75">
        <f>VLOOKUP($A149,'Data Vlaue (Cr)'!$C:$FB,99)</f>
        <v>201</v>
      </c>
      <c r="I149" s="75">
        <f>VLOOKUP($A149,'Data Vlaue (Cr)'!$C:$FB,100)</f>
        <v>173</v>
      </c>
      <c r="J149" s="75">
        <f t="shared" si="14"/>
        <v>28</v>
      </c>
      <c r="K149" s="75">
        <f t="shared" si="15"/>
        <v>13.930348258706468</v>
      </c>
      <c r="L149" s="75">
        <f>VLOOKUP($A149,'Data Vlaue (Cr)'!$C:$FB,67)</f>
        <v>297</v>
      </c>
      <c r="M149" s="75">
        <f>VLOOKUP($A149,'Data Vlaue (Cr)'!$C:$FB,68)</f>
        <v>472</v>
      </c>
      <c r="N149" s="75">
        <f t="shared" si="16"/>
        <v>-175</v>
      </c>
      <c r="O149" s="75">
        <f t="shared" si="17"/>
        <v>-58.92255892255892</v>
      </c>
      <c r="P149" s="75">
        <f>VLOOKUP($A149,'Data Vlaue (Cr)'!$C:$FB,119)</f>
        <v>0.52</v>
      </c>
      <c r="Q149" s="75">
        <f>VLOOKUP($A149,'Data Vlaue (Cr)'!$C:$FB,122)*100</f>
        <v>67.739999999999995</v>
      </c>
      <c r="R149" s="75">
        <f>VLOOKUP($A149,'Data Vlaue (Cr)'!$C:$FB,125)</f>
        <v>1.73</v>
      </c>
      <c r="S149" s="75">
        <f>VLOOKUP($A149,'Data Vlaue (Cr)'!$C:$FB,128)*100</f>
        <v>440.63</v>
      </c>
    </row>
    <row r="150" spans="1:19" x14ac:dyDescent="0.25">
      <c r="A150" s="96" t="str">
        <f>'Data Vlaue (Cr)'!C141</f>
        <v>NATIONALUM</v>
      </c>
      <c r="B150" s="75">
        <f>VLOOKUP($A150,'Data Vlaue (Cr)'!$C:$FB,2)</f>
        <v>3750</v>
      </c>
      <c r="C150" s="75">
        <f>VLOOKUP($A150,'Data Vlaue (Cr)'!$C:$FB,8)</f>
        <v>412.35</v>
      </c>
      <c r="D150" s="75">
        <f>VLOOKUP($A150,'Data Vlaue (Cr)'!$C:$FB,4)</f>
        <v>414.55</v>
      </c>
      <c r="E150" s="75">
        <f>VLOOKUP($A150,'Data Vlaue (Cr)'!$C:$FB,5)</f>
        <v>402.2</v>
      </c>
      <c r="F150" s="75">
        <f t="shared" si="12"/>
        <v>2.1999999999999886</v>
      </c>
      <c r="G150" s="75">
        <f t="shared" si="13"/>
        <v>2.9791340007236817</v>
      </c>
      <c r="H150" s="75">
        <f>VLOOKUP($A150,'Data Vlaue (Cr)'!$C:$FB,99)</f>
        <v>4777</v>
      </c>
      <c r="I150" s="75">
        <f>VLOOKUP($A150,'Data Vlaue (Cr)'!$C:$FB,100)</f>
        <v>4471</v>
      </c>
      <c r="J150" s="75">
        <f t="shared" si="14"/>
        <v>306</v>
      </c>
      <c r="K150" s="75">
        <f t="shared" si="15"/>
        <v>6.4056939501779357</v>
      </c>
      <c r="L150" s="75">
        <f>VLOOKUP($A150,'Data Vlaue (Cr)'!$C:$FB,67)</f>
        <v>5622</v>
      </c>
      <c r="M150" s="75">
        <f>VLOOKUP($A150,'Data Vlaue (Cr)'!$C:$FB,68)</f>
        <v>4145</v>
      </c>
      <c r="N150" s="75">
        <f t="shared" si="16"/>
        <v>1477</v>
      </c>
      <c r="O150" s="75">
        <f t="shared" si="17"/>
        <v>26.271789398790467</v>
      </c>
      <c r="P150" s="75">
        <f>VLOOKUP($A150,'Data Vlaue (Cr)'!$C:$FB,119)</f>
        <v>0.82</v>
      </c>
      <c r="Q150" s="75">
        <f>VLOOKUP($A150,'Data Vlaue (Cr)'!$C:$FB,122)*100</f>
        <v>-14.580000000000002</v>
      </c>
      <c r="R150" s="75">
        <f>VLOOKUP($A150,'Data Vlaue (Cr)'!$C:$FB,125)</f>
        <v>0.31</v>
      </c>
      <c r="S150" s="75">
        <f>VLOOKUP($A150,'Data Vlaue (Cr)'!$C:$FB,128)*100</f>
        <v>-46.550000000000004</v>
      </c>
    </row>
    <row r="151" spans="1:19" x14ac:dyDescent="0.25">
      <c r="A151" s="96" t="str">
        <f>'Data Vlaue (Cr)'!C142</f>
        <v>NAUKRI</v>
      </c>
      <c r="B151" s="75">
        <f>VLOOKUP($A151,'Data Vlaue (Cr)'!$C:$FB,2)</f>
        <v>375</v>
      </c>
      <c r="C151" s="75">
        <f>VLOOKUP($A151,'Data Vlaue (Cr)'!$C:$FB,8)</f>
        <v>1002.4</v>
      </c>
      <c r="D151" s="75">
        <f>VLOOKUP($A151,'Data Vlaue (Cr)'!$C:$FB,4)</f>
        <v>1003.25</v>
      </c>
      <c r="E151" s="75">
        <f>VLOOKUP($A151,'Data Vlaue (Cr)'!$C:$FB,5)</f>
        <v>1032.1500000000001</v>
      </c>
      <c r="F151" s="75">
        <f t="shared" si="12"/>
        <v>0.85000000000002274</v>
      </c>
      <c r="G151" s="75">
        <f t="shared" si="13"/>
        <v>-2.8806379267381104</v>
      </c>
      <c r="H151" s="75">
        <f>VLOOKUP($A151,'Data Vlaue (Cr)'!$C:$FB,99)</f>
        <v>1341</v>
      </c>
      <c r="I151" s="75">
        <f>VLOOKUP($A151,'Data Vlaue (Cr)'!$C:$FB,100)</f>
        <v>1243</v>
      </c>
      <c r="J151" s="75">
        <f t="shared" si="14"/>
        <v>98</v>
      </c>
      <c r="K151" s="75">
        <f t="shared" si="15"/>
        <v>7.3079791200596569</v>
      </c>
      <c r="L151" s="75">
        <f>VLOOKUP($A151,'Data Vlaue (Cr)'!$C:$FB,67)</f>
        <v>1295</v>
      </c>
      <c r="M151" s="75">
        <f>VLOOKUP($A151,'Data Vlaue (Cr)'!$C:$FB,68)</f>
        <v>370</v>
      </c>
      <c r="N151" s="75">
        <f t="shared" si="16"/>
        <v>925</v>
      </c>
      <c r="O151" s="75">
        <f t="shared" si="17"/>
        <v>71.428571428571431</v>
      </c>
      <c r="P151" s="75">
        <f>VLOOKUP($A151,'Data Vlaue (Cr)'!$C:$FB,119)</f>
        <v>0.5</v>
      </c>
      <c r="Q151" s="75">
        <f>VLOOKUP($A151,'Data Vlaue (Cr)'!$C:$FB,122)*100</f>
        <v>8.6999999999999993</v>
      </c>
      <c r="R151" s="75">
        <f>VLOOKUP($A151,'Data Vlaue (Cr)'!$C:$FB,125)</f>
        <v>0.79</v>
      </c>
      <c r="S151" s="75">
        <f>VLOOKUP($A151,'Data Vlaue (Cr)'!$C:$FB,128)*100</f>
        <v>92.679999999999993</v>
      </c>
    </row>
    <row r="152" spans="1:19" x14ac:dyDescent="0.25">
      <c r="A152" s="96" t="str">
        <f>'Data Vlaue (Cr)'!C143</f>
        <v>NBCC</v>
      </c>
      <c r="B152" s="75">
        <f>VLOOKUP($A152,'Data Vlaue (Cr)'!$C:$FB,2)</f>
        <v>6500</v>
      </c>
      <c r="C152" s="75">
        <f>VLOOKUP($A152,'Data Vlaue (Cr)'!$C:$FB,8)</f>
        <v>87.83</v>
      </c>
      <c r="D152" s="75">
        <f>VLOOKUP($A152,'Data Vlaue (Cr)'!$C:$FB,4)</f>
        <v>88.25</v>
      </c>
      <c r="E152" s="75">
        <f>VLOOKUP($A152,'Data Vlaue (Cr)'!$C:$FB,5)</f>
        <v>89.18</v>
      </c>
      <c r="F152" s="75">
        <f t="shared" si="12"/>
        <v>0.42000000000000171</v>
      </c>
      <c r="G152" s="75">
        <f t="shared" si="13"/>
        <v>-1.05382436260624</v>
      </c>
      <c r="H152" s="75">
        <f>VLOOKUP($A152,'Data Vlaue (Cr)'!$C:$FB,99)</f>
        <v>939</v>
      </c>
      <c r="I152" s="75">
        <f>VLOOKUP($A152,'Data Vlaue (Cr)'!$C:$FB,100)</f>
        <v>923</v>
      </c>
      <c r="J152" s="75">
        <f t="shared" si="14"/>
        <v>16</v>
      </c>
      <c r="K152" s="75">
        <f t="shared" si="15"/>
        <v>1.703940362087327</v>
      </c>
      <c r="L152" s="75">
        <f>VLOOKUP($A152,'Data Vlaue (Cr)'!$C:$FB,67)</f>
        <v>231</v>
      </c>
      <c r="M152" s="75">
        <f>VLOOKUP($A152,'Data Vlaue (Cr)'!$C:$FB,68)</f>
        <v>395</v>
      </c>
      <c r="N152" s="75">
        <f t="shared" si="16"/>
        <v>-164</v>
      </c>
      <c r="O152" s="75">
        <f t="shared" si="17"/>
        <v>-70.995670995671006</v>
      </c>
      <c r="P152" s="75">
        <f>VLOOKUP($A152,'Data Vlaue (Cr)'!$C:$FB,119)</f>
        <v>0.83</v>
      </c>
      <c r="Q152" s="75">
        <f>VLOOKUP($A152,'Data Vlaue (Cr)'!$C:$FB,122)*100</f>
        <v>-6.74</v>
      </c>
      <c r="R152" s="75">
        <f>VLOOKUP($A152,'Data Vlaue (Cr)'!$C:$FB,125)</f>
        <v>0.46</v>
      </c>
      <c r="S152" s="75">
        <f>VLOOKUP($A152,'Data Vlaue (Cr)'!$C:$FB,128)*100</f>
        <v>2.2200000000000002</v>
      </c>
    </row>
    <row r="153" spans="1:19" x14ac:dyDescent="0.25">
      <c r="A153" s="96" t="str">
        <f>'Data Vlaue (Cr)'!C144</f>
        <v>NESTLEIND</v>
      </c>
      <c r="B153" s="75">
        <f>VLOOKUP($A153,'Data Vlaue (Cr)'!$C:$FB,2)</f>
        <v>500</v>
      </c>
      <c r="C153" s="75">
        <f>VLOOKUP($A153,'Data Vlaue (Cr)'!$C:$FB,8)</f>
        <v>1228.7</v>
      </c>
      <c r="D153" s="75">
        <f>VLOOKUP($A153,'Data Vlaue (Cr)'!$C:$FB,4)</f>
        <v>1231.0999999999999</v>
      </c>
      <c r="E153" s="75">
        <f>VLOOKUP($A153,'Data Vlaue (Cr)'!$C:$FB,5)</f>
        <v>1217.3</v>
      </c>
      <c r="F153" s="75">
        <f t="shared" si="12"/>
        <v>2.3999999999998636</v>
      </c>
      <c r="G153" s="75">
        <f t="shared" si="13"/>
        <v>1.120948745024771</v>
      </c>
      <c r="H153" s="75">
        <f>VLOOKUP($A153,'Data Vlaue (Cr)'!$C:$FB,99)</f>
        <v>2729</v>
      </c>
      <c r="I153" s="75">
        <f>VLOOKUP($A153,'Data Vlaue (Cr)'!$C:$FB,100)</f>
        <v>2759</v>
      </c>
      <c r="J153" s="75">
        <f t="shared" si="14"/>
        <v>-30</v>
      </c>
      <c r="K153" s="75">
        <f t="shared" si="15"/>
        <v>-1.0993037742762917</v>
      </c>
      <c r="L153" s="75">
        <f>VLOOKUP($A153,'Data Vlaue (Cr)'!$C:$FB,67)</f>
        <v>595</v>
      </c>
      <c r="M153" s="75">
        <f>VLOOKUP($A153,'Data Vlaue (Cr)'!$C:$FB,68)</f>
        <v>965</v>
      </c>
      <c r="N153" s="75">
        <f t="shared" si="16"/>
        <v>-370</v>
      </c>
      <c r="O153" s="75">
        <f t="shared" si="17"/>
        <v>-62.184873949579831</v>
      </c>
      <c r="P153" s="75">
        <f>VLOOKUP($A153,'Data Vlaue (Cr)'!$C:$FB,119)</f>
        <v>0.73</v>
      </c>
      <c r="Q153" s="75">
        <f>VLOOKUP($A153,'Data Vlaue (Cr)'!$C:$FB,122)*100</f>
        <v>2.82</v>
      </c>
      <c r="R153" s="75">
        <f>VLOOKUP($A153,'Data Vlaue (Cr)'!$C:$FB,125)</f>
        <v>0.56000000000000005</v>
      </c>
      <c r="S153" s="75">
        <f>VLOOKUP($A153,'Data Vlaue (Cr)'!$C:$FB,128)*100</f>
        <v>0</v>
      </c>
    </row>
    <row r="154" spans="1:19" x14ac:dyDescent="0.25">
      <c r="A154" s="96" t="str">
        <f>'Data Vlaue (Cr)'!C145</f>
        <v>NHPC</v>
      </c>
      <c r="B154" s="75">
        <f>VLOOKUP($A154,'Data Vlaue (Cr)'!$C:$FB,2)</f>
        <v>6400</v>
      </c>
      <c r="C154" s="75">
        <f>VLOOKUP($A154,'Data Vlaue (Cr)'!$C:$FB,8)</f>
        <v>77.11</v>
      </c>
      <c r="D154" s="75">
        <f>VLOOKUP($A154,'Data Vlaue (Cr)'!$C:$FB,4)</f>
        <v>77.25</v>
      </c>
      <c r="E154" s="75">
        <f>VLOOKUP($A154,'Data Vlaue (Cr)'!$C:$FB,5)</f>
        <v>77.13</v>
      </c>
      <c r="F154" s="75">
        <f t="shared" si="12"/>
        <v>0.14000000000000057</v>
      </c>
      <c r="G154" s="75">
        <f t="shared" si="13"/>
        <v>0.15533980582524862</v>
      </c>
      <c r="H154" s="75">
        <f>VLOOKUP($A154,'Data Vlaue (Cr)'!$C:$FB,99)</f>
        <v>1074</v>
      </c>
      <c r="I154" s="75">
        <f>VLOOKUP($A154,'Data Vlaue (Cr)'!$C:$FB,100)</f>
        <v>913</v>
      </c>
      <c r="J154" s="75">
        <f t="shared" si="14"/>
        <v>161</v>
      </c>
      <c r="K154" s="75">
        <f t="shared" si="15"/>
        <v>14.990689013035382</v>
      </c>
      <c r="L154" s="75">
        <f>VLOOKUP($A154,'Data Vlaue (Cr)'!$C:$FB,67)</f>
        <v>820</v>
      </c>
      <c r="M154" s="75">
        <f>VLOOKUP($A154,'Data Vlaue (Cr)'!$C:$FB,68)</f>
        <v>402</v>
      </c>
      <c r="N154" s="75">
        <f t="shared" si="16"/>
        <v>418</v>
      </c>
      <c r="O154" s="75">
        <f t="shared" si="17"/>
        <v>50.975609756097562</v>
      </c>
      <c r="P154" s="75">
        <f>VLOOKUP($A154,'Data Vlaue (Cr)'!$C:$FB,119)</f>
        <v>0.59</v>
      </c>
      <c r="Q154" s="75">
        <f>VLOOKUP($A154,'Data Vlaue (Cr)'!$C:$FB,122)*100</f>
        <v>-11.940000000000001</v>
      </c>
      <c r="R154" s="75">
        <f>VLOOKUP($A154,'Data Vlaue (Cr)'!$C:$FB,125)</f>
        <v>0.27</v>
      </c>
      <c r="S154" s="75">
        <f>VLOOKUP($A154,'Data Vlaue (Cr)'!$C:$FB,128)*100</f>
        <v>-40</v>
      </c>
    </row>
    <row r="155" spans="1:19" x14ac:dyDescent="0.25">
      <c r="A155" s="96" t="str">
        <f>'Data Vlaue (Cr)'!C146</f>
        <v>NIFTY</v>
      </c>
      <c r="B155" s="75">
        <f>VLOOKUP($A155,'Data Vlaue (Cr)'!$C:$FB,2)</f>
        <v>65</v>
      </c>
      <c r="C155" s="75">
        <f>VLOOKUP($A155,'Data Vlaue (Cr)'!$C:$FB,8)</f>
        <v>23775.1</v>
      </c>
      <c r="D155" s="75">
        <f>VLOOKUP($A155,'Data Vlaue (Cr)'!$C:$FB,4)</f>
        <v>23861.3</v>
      </c>
      <c r="E155" s="75">
        <f>VLOOKUP($A155,'Data Vlaue (Cr)'!$C:$FB,5)</f>
        <v>24057.8</v>
      </c>
      <c r="F155" s="75">
        <f t="shared" si="12"/>
        <v>86.200000000000728</v>
      </c>
      <c r="G155" s="75">
        <f t="shared" si="13"/>
        <v>-0.82350919690042035</v>
      </c>
      <c r="H155" s="75">
        <f>VLOOKUP($A155,'Data Vlaue (Cr)'!$C:$FB,99)</f>
        <v>1060068</v>
      </c>
      <c r="I155" s="75">
        <f>VLOOKUP($A155,'Data Vlaue (Cr)'!$C:$FB,100)</f>
        <v>920842</v>
      </c>
      <c r="J155" s="75">
        <f t="shared" si="14"/>
        <v>139226</v>
      </c>
      <c r="K155" s="75">
        <f t="shared" si="15"/>
        <v>13.133685763554793</v>
      </c>
      <c r="L155" s="75">
        <f>VLOOKUP($A155,'Data Vlaue (Cr)'!$C:$FB,67)</f>
        <v>7541382</v>
      </c>
      <c r="M155" s="75">
        <f>VLOOKUP($A155,'Data Vlaue (Cr)'!$C:$FB,68)</f>
        <v>7420829</v>
      </c>
      <c r="N155" s="75">
        <f t="shared" si="16"/>
        <v>120553</v>
      </c>
      <c r="O155" s="75">
        <f t="shared" si="17"/>
        <v>1.5985531564373747</v>
      </c>
      <c r="P155" s="75">
        <f>VLOOKUP($A155,'Data Vlaue (Cr)'!$C:$FB,119)</f>
        <v>0.97</v>
      </c>
      <c r="Q155" s="75">
        <f>VLOOKUP($A155,'Data Vlaue (Cr)'!$C:$FB,122)*100</f>
        <v>-14.16</v>
      </c>
      <c r="R155" s="75">
        <f>VLOOKUP($A155,'Data Vlaue (Cr)'!$C:$FB,125)</f>
        <v>1.04</v>
      </c>
      <c r="S155" s="75">
        <f>VLOOKUP($A155,'Data Vlaue (Cr)'!$C:$FB,128)*100</f>
        <v>15.559999999999999</v>
      </c>
    </row>
    <row r="156" spans="1:19" x14ac:dyDescent="0.25">
      <c r="A156" s="96" t="str">
        <f>'Data Vlaue (Cr)'!C147</f>
        <v>NIFTYNXT50</v>
      </c>
      <c r="B156" s="75">
        <f>VLOOKUP($A156,'Data Vlaue (Cr)'!$C:$FB,2)</f>
        <v>25</v>
      </c>
      <c r="C156" s="75">
        <f>VLOOKUP($A156,'Data Vlaue (Cr)'!$C:$FB,8)</f>
        <v>66268.649999999994</v>
      </c>
      <c r="D156" s="75">
        <f>VLOOKUP($A156,'Data Vlaue (Cr)'!$C:$FB,4)</f>
        <v>66395.399999999994</v>
      </c>
      <c r="E156" s="75">
        <f>VLOOKUP($A156,'Data Vlaue (Cr)'!$C:$FB,5)</f>
        <v>66403.8</v>
      </c>
      <c r="F156" s="75">
        <f t="shared" si="12"/>
        <v>126.75</v>
      </c>
      <c r="G156" s="75">
        <f t="shared" si="13"/>
        <v>-1.2651478867525058E-2</v>
      </c>
      <c r="H156" s="75">
        <f>VLOOKUP($A156,'Data Vlaue (Cr)'!$C:$FB,99)</f>
        <v>158</v>
      </c>
      <c r="I156" s="75">
        <f>VLOOKUP($A156,'Data Vlaue (Cr)'!$C:$FB,100)</f>
        <v>153</v>
      </c>
      <c r="J156" s="75">
        <f t="shared" si="14"/>
        <v>5</v>
      </c>
      <c r="K156" s="75">
        <f t="shared" si="15"/>
        <v>3.1645569620253164</v>
      </c>
      <c r="L156" s="75">
        <f>VLOOKUP($A156,'Data Vlaue (Cr)'!$C:$FB,67)</f>
        <v>82</v>
      </c>
      <c r="M156" s="75">
        <f>VLOOKUP($A156,'Data Vlaue (Cr)'!$C:$FB,68)</f>
        <v>80</v>
      </c>
      <c r="N156" s="75">
        <f t="shared" si="16"/>
        <v>2</v>
      </c>
      <c r="O156" s="75">
        <f t="shared" si="17"/>
        <v>2.4390243902439024</v>
      </c>
      <c r="P156" s="75">
        <f>VLOOKUP($A156,'Data Vlaue (Cr)'!$C:$FB,119)</f>
        <v>1.1499999999999999</v>
      </c>
      <c r="Q156" s="75">
        <f>VLOOKUP($A156,'Data Vlaue (Cr)'!$C:$FB,122)*100</f>
        <v>5.5</v>
      </c>
      <c r="R156" s="75">
        <f>VLOOKUP($A156,'Data Vlaue (Cr)'!$C:$FB,125)</f>
        <v>0.75</v>
      </c>
      <c r="S156" s="75">
        <f>VLOOKUP($A156,'Data Vlaue (Cr)'!$C:$FB,128)*100</f>
        <v>-2.6</v>
      </c>
    </row>
    <row r="157" spans="1:19" x14ac:dyDescent="0.25">
      <c r="A157" s="96" t="str">
        <f>'Data Vlaue (Cr)'!C148</f>
        <v>NMDC</v>
      </c>
      <c r="B157" s="75">
        <f>VLOOKUP($A157,'Data Vlaue (Cr)'!$C:$FB,2)</f>
        <v>6750</v>
      </c>
      <c r="C157" s="75">
        <f>VLOOKUP($A157,'Data Vlaue (Cr)'!$C:$FB,8)</f>
        <v>84.44</v>
      </c>
      <c r="D157" s="75">
        <f>VLOOKUP($A157,'Data Vlaue (Cr)'!$C:$FB,4)</f>
        <v>84.96</v>
      </c>
      <c r="E157" s="75">
        <f>VLOOKUP($A157,'Data Vlaue (Cr)'!$C:$FB,5)</f>
        <v>83.36</v>
      </c>
      <c r="F157" s="75">
        <f t="shared" si="12"/>
        <v>0.51999999999999602</v>
      </c>
      <c r="G157" s="75">
        <f t="shared" si="13"/>
        <v>1.8832391713747578</v>
      </c>
      <c r="H157" s="75">
        <f>VLOOKUP($A157,'Data Vlaue (Cr)'!$C:$FB,99)</f>
        <v>3737</v>
      </c>
      <c r="I157" s="75">
        <f>VLOOKUP($A157,'Data Vlaue (Cr)'!$C:$FB,100)</f>
        <v>3641</v>
      </c>
      <c r="J157" s="75">
        <f t="shared" si="14"/>
        <v>96</v>
      </c>
      <c r="K157" s="75">
        <f t="shared" si="15"/>
        <v>2.5689055392025688</v>
      </c>
      <c r="L157" s="75">
        <f>VLOOKUP($A157,'Data Vlaue (Cr)'!$C:$FB,67)</f>
        <v>1430</v>
      </c>
      <c r="M157" s="75">
        <f>VLOOKUP($A157,'Data Vlaue (Cr)'!$C:$FB,68)</f>
        <v>1052</v>
      </c>
      <c r="N157" s="75">
        <f t="shared" si="16"/>
        <v>378</v>
      </c>
      <c r="O157" s="75">
        <f t="shared" si="17"/>
        <v>26.433566433566437</v>
      </c>
      <c r="P157" s="75">
        <f>VLOOKUP($A157,'Data Vlaue (Cr)'!$C:$FB,119)</f>
        <v>0.61</v>
      </c>
      <c r="Q157" s="75">
        <f>VLOOKUP($A157,'Data Vlaue (Cr)'!$C:$FB,122)*100</f>
        <v>1.67</v>
      </c>
      <c r="R157" s="75">
        <f>VLOOKUP($A157,'Data Vlaue (Cr)'!$C:$FB,125)</f>
        <v>0.37</v>
      </c>
      <c r="S157" s="75">
        <f>VLOOKUP($A157,'Data Vlaue (Cr)'!$C:$FB,128)*100</f>
        <v>-22.919999999999998</v>
      </c>
    </row>
    <row r="158" spans="1:19" x14ac:dyDescent="0.25">
      <c r="A158" s="96" t="str">
        <f>'Data Vlaue (Cr)'!C149</f>
        <v>NTPC</v>
      </c>
      <c r="B158" s="75">
        <f>VLOOKUP($A158,'Data Vlaue (Cr)'!$C:$FB,2)</f>
        <v>1500</v>
      </c>
      <c r="C158" s="75">
        <f>VLOOKUP($A158,'Data Vlaue (Cr)'!$C:$FB,8)</f>
        <v>378.65</v>
      </c>
      <c r="D158" s="75">
        <f>VLOOKUP($A158,'Data Vlaue (Cr)'!$C:$FB,4)</f>
        <v>380.05</v>
      </c>
      <c r="E158" s="75">
        <f>VLOOKUP($A158,'Data Vlaue (Cr)'!$C:$FB,5)</f>
        <v>375.9</v>
      </c>
      <c r="F158" s="75">
        <f t="shared" si="12"/>
        <v>1.4000000000000341</v>
      </c>
      <c r="G158" s="75">
        <f t="shared" si="13"/>
        <v>1.091961584002114</v>
      </c>
      <c r="H158" s="75">
        <f>VLOOKUP($A158,'Data Vlaue (Cr)'!$C:$FB,99)</f>
        <v>5366</v>
      </c>
      <c r="I158" s="75">
        <f>VLOOKUP($A158,'Data Vlaue (Cr)'!$C:$FB,100)</f>
        <v>5025</v>
      </c>
      <c r="J158" s="75">
        <f t="shared" si="14"/>
        <v>341</v>
      </c>
      <c r="K158" s="75">
        <f t="shared" si="15"/>
        <v>6.3548266865449126</v>
      </c>
      <c r="L158" s="75">
        <f>VLOOKUP($A158,'Data Vlaue (Cr)'!$C:$FB,67)</f>
        <v>5615</v>
      </c>
      <c r="M158" s="75">
        <f>VLOOKUP($A158,'Data Vlaue (Cr)'!$C:$FB,68)</f>
        <v>3148</v>
      </c>
      <c r="N158" s="75">
        <f t="shared" si="16"/>
        <v>2467</v>
      </c>
      <c r="O158" s="75">
        <f t="shared" si="17"/>
        <v>43.935886019590384</v>
      </c>
      <c r="P158" s="75">
        <f>VLOOKUP($A158,'Data Vlaue (Cr)'!$C:$FB,119)</f>
        <v>0.49</v>
      </c>
      <c r="Q158" s="75">
        <f>VLOOKUP($A158,'Data Vlaue (Cr)'!$C:$FB,122)*100</f>
        <v>-7.55</v>
      </c>
      <c r="R158" s="75">
        <f>VLOOKUP($A158,'Data Vlaue (Cr)'!$C:$FB,125)</f>
        <v>0.31</v>
      </c>
      <c r="S158" s="75">
        <f>VLOOKUP($A158,'Data Vlaue (Cr)'!$C:$FB,128)*100</f>
        <v>-13.889999999999999</v>
      </c>
    </row>
    <row r="159" spans="1:19" x14ac:dyDescent="0.25">
      <c r="A159" s="96" t="str">
        <f>'Data Vlaue (Cr)'!C150</f>
        <v>NUVAMA</v>
      </c>
      <c r="B159" s="75">
        <f>VLOOKUP($A159,'Data Vlaue (Cr)'!$C:$FB,2)</f>
        <v>500</v>
      </c>
      <c r="C159" s="75">
        <f>VLOOKUP($A159,'Data Vlaue (Cr)'!$C:$FB,8)</f>
        <v>1294.8</v>
      </c>
      <c r="D159" s="75">
        <f>VLOOKUP($A159,'Data Vlaue (Cr)'!$C:$FB,4)</f>
        <v>1301.0999999999999</v>
      </c>
      <c r="E159" s="75">
        <f>VLOOKUP($A159,'Data Vlaue (Cr)'!$C:$FB,5)</f>
        <v>1286.3</v>
      </c>
      <c r="F159" s="75">
        <f t="shared" si="12"/>
        <v>6.2999999999999545</v>
      </c>
      <c r="G159" s="75">
        <f t="shared" si="13"/>
        <v>1.1374990392744566</v>
      </c>
      <c r="H159" s="75">
        <f>VLOOKUP($A159,'Data Vlaue (Cr)'!$C:$FB,99)</f>
        <v>430</v>
      </c>
      <c r="I159" s="75">
        <f>VLOOKUP($A159,'Data Vlaue (Cr)'!$C:$FB,100)</f>
        <v>407</v>
      </c>
      <c r="J159" s="75">
        <f t="shared" si="14"/>
        <v>23</v>
      </c>
      <c r="K159" s="75">
        <f t="shared" si="15"/>
        <v>5.3488372093023253</v>
      </c>
      <c r="L159" s="75">
        <f>VLOOKUP($A159,'Data Vlaue (Cr)'!$C:$FB,67)</f>
        <v>260</v>
      </c>
      <c r="M159" s="75">
        <f>VLOOKUP($A159,'Data Vlaue (Cr)'!$C:$FB,68)</f>
        <v>412</v>
      </c>
      <c r="N159" s="75">
        <f t="shared" si="16"/>
        <v>-152</v>
      </c>
      <c r="O159" s="75">
        <f t="shared" si="17"/>
        <v>-58.461538461538467</v>
      </c>
      <c r="P159" s="75">
        <f>VLOOKUP($A159,'Data Vlaue (Cr)'!$C:$FB,119)</f>
        <v>0.74</v>
      </c>
      <c r="Q159" s="75">
        <f>VLOOKUP($A159,'Data Vlaue (Cr)'!$C:$FB,122)*100</f>
        <v>-11.899999999999999</v>
      </c>
      <c r="R159" s="75">
        <f>VLOOKUP($A159,'Data Vlaue (Cr)'!$C:$FB,125)</f>
        <v>0.65</v>
      </c>
      <c r="S159" s="75">
        <f>VLOOKUP($A159,'Data Vlaue (Cr)'!$C:$FB,128)*100</f>
        <v>116.67</v>
      </c>
    </row>
    <row r="160" spans="1:19" x14ac:dyDescent="0.25">
      <c r="A160" s="96" t="str">
        <f>'Data Vlaue (Cr)'!C151</f>
        <v>NYKAA</v>
      </c>
      <c r="B160" s="75">
        <f>VLOOKUP($A160,'Data Vlaue (Cr)'!$C:$FB,2)</f>
        <v>3125</v>
      </c>
      <c r="C160" s="75">
        <f>VLOOKUP($A160,'Data Vlaue (Cr)'!$C:$FB,8)</f>
        <v>254.93</v>
      </c>
      <c r="D160" s="75">
        <f>VLOOKUP($A160,'Data Vlaue (Cr)'!$C:$FB,4)</f>
        <v>255.82</v>
      </c>
      <c r="E160" s="75">
        <f>VLOOKUP($A160,'Data Vlaue (Cr)'!$C:$FB,5)</f>
        <v>255.43</v>
      </c>
      <c r="F160" s="75">
        <f t="shared" si="12"/>
        <v>0.88999999999998636</v>
      </c>
      <c r="G160" s="75">
        <f t="shared" si="13"/>
        <v>0.15245094206863669</v>
      </c>
      <c r="H160" s="75">
        <f>VLOOKUP($A160,'Data Vlaue (Cr)'!$C:$FB,99)</f>
        <v>1483</v>
      </c>
      <c r="I160" s="75">
        <f>VLOOKUP($A160,'Data Vlaue (Cr)'!$C:$FB,100)</f>
        <v>1484</v>
      </c>
      <c r="J160" s="75">
        <f t="shared" si="14"/>
        <v>-1</v>
      </c>
      <c r="K160" s="75">
        <f t="shared" si="15"/>
        <v>-6.7430883344571813E-2</v>
      </c>
      <c r="L160" s="75">
        <f>VLOOKUP($A160,'Data Vlaue (Cr)'!$C:$FB,67)</f>
        <v>500</v>
      </c>
      <c r="M160" s="75">
        <f>VLOOKUP($A160,'Data Vlaue (Cr)'!$C:$FB,68)</f>
        <v>640</v>
      </c>
      <c r="N160" s="75">
        <f t="shared" si="16"/>
        <v>-140</v>
      </c>
      <c r="O160" s="75">
        <f t="shared" si="17"/>
        <v>-28.000000000000004</v>
      </c>
      <c r="P160" s="75">
        <f>VLOOKUP($A160,'Data Vlaue (Cr)'!$C:$FB,119)</f>
        <v>0.59</v>
      </c>
      <c r="Q160" s="75">
        <f>VLOOKUP($A160,'Data Vlaue (Cr)'!$C:$FB,122)*100</f>
        <v>-4.84</v>
      </c>
      <c r="R160" s="75">
        <f>VLOOKUP($A160,'Data Vlaue (Cr)'!$C:$FB,125)</f>
        <v>0.36</v>
      </c>
      <c r="S160" s="75">
        <f>VLOOKUP($A160,'Data Vlaue (Cr)'!$C:$FB,128)*100</f>
        <v>12.5</v>
      </c>
    </row>
    <row r="161" spans="1:19" x14ac:dyDescent="0.25">
      <c r="A161" s="96" t="str">
        <f>'Data Vlaue (Cr)'!C152</f>
        <v>OBEROIRLTY</v>
      </c>
      <c r="B161" s="75">
        <f>VLOOKUP($A161,'Data Vlaue (Cr)'!$C:$FB,2)</f>
        <v>350</v>
      </c>
      <c r="C161" s="75">
        <f>VLOOKUP($A161,'Data Vlaue (Cr)'!$C:$FB,8)</f>
        <v>1653.5</v>
      </c>
      <c r="D161" s="75">
        <f>VLOOKUP($A161,'Data Vlaue (Cr)'!$C:$FB,4)</f>
        <v>1620.7</v>
      </c>
      <c r="E161" s="75">
        <f>VLOOKUP($A161,'Data Vlaue (Cr)'!$C:$FB,5)</f>
        <v>1610.6</v>
      </c>
      <c r="F161" s="75">
        <f t="shared" si="12"/>
        <v>-32.799999999999955</v>
      </c>
      <c r="G161" s="75">
        <f t="shared" si="13"/>
        <v>0.62318751156908347</v>
      </c>
      <c r="H161" s="75">
        <f>VLOOKUP($A161,'Data Vlaue (Cr)'!$C:$FB,99)</f>
        <v>1782</v>
      </c>
      <c r="I161" s="75">
        <f>VLOOKUP($A161,'Data Vlaue (Cr)'!$C:$FB,100)</f>
        <v>1641</v>
      </c>
      <c r="J161" s="75">
        <f t="shared" si="14"/>
        <v>141</v>
      </c>
      <c r="K161" s="75">
        <f t="shared" si="15"/>
        <v>7.9124579124579126</v>
      </c>
      <c r="L161" s="75">
        <f>VLOOKUP($A161,'Data Vlaue (Cr)'!$C:$FB,67)</f>
        <v>495</v>
      </c>
      <c r="M161" s="75">
        <f>VLOOKUP($A161,'Data Vlaue (Cr)'!$C:$FB,68)</f>
        <v>468</v>
      </c>
      <c r="N161" s="75">
        <f t="shared" si="16"/>
        <v>27</v>
      </c>
      <c r="O161" s="75">
        <f t="shared" si="17"/>
        <v>5.4545454545454541</v>
      </c>
      <c r="P161" s="75">
        <f>VLOOKUP($A161,'Data Vlaue (Cr)'!$C:$FB,119)</f>
        <v>0.9</v>
      </c>
      <c r="Q161" s="75">
        <f>VLOOKUP($A161,'Data Vlaue (Cr)'!$C:$FB,122)*100</f>
        <v>-1.0999999999999999</v>
      </c>
      <c r="R161" s="75">
        <f>VLOOKUP($A161,'Data Vlaue (Cr)'!$C:$FB,125)</f>
        <v>0.74</v>
      </c>
      <c r="S161" s="75">
        <f>VLOOKUP($A161,'Data Vlaue (Cr)'!$C:$FB,128)*100</f>
        <v>76.19</v>
      </c>
    </row>
    <row r="162" spans="1:19" x14ac:dyDescent="0.25">
      <c r="A162" s="96" t="str">
        <f>'Data Vlaue (Cr)'!C153</f>
        <v>OFSS</v>
      </c>
      <c r="B162" s="75">
        <f>VLOOKUP($A162,'Data Vlaue (Cr)'!$C:$FB,2)</f>
        <v>75</v>
      </c>
      <c r="C162" s="75">
        <f>VLOOKUP($A162,'Data Vlaue (Cr)'!$C:$FB,8)</f>
        <v>7217.5</v>
      </c>
      <c r="D162" s="75">
        <f>VLOOKUP($A162,'Data Vlaue (Cr)'!$C:$FB,4)</f>
        <v>7245</v>
      </c>
      <c r="E162" s="75">
        <f>VLOOKUP($A162,'Data Vlaue (Cr)'!$C:$FB,5)</f>
        <v>7163.5</v>
      </c>
      <c r="F162" s="75">
        <f t="shared" si="12"/>
        <v>27.5</v>
      </c>
      <c r="G162" s="75">
        <f t="shared" si="13"/>
        <v>1.124913733609386</v>
      </c>
      <c r="H162" s="75">
        <f>VLOOKUP($A162,'Data Vlaue (Cr)'!$C:$FB,99)</f>
        <v>1663</v>
      </c>
      <c r="I162" s="75">
        <f>VLOOKUP($A162,'Data Vlaue (Cr)'!$C:$FB,100)</f>
        <v>1640</v>
      </c>
      <c r="J162" s="75">
        <f t="shared" si="14"/>
        <v>23</v>
      </c>
      <c r="K162" s="75">
        <f t="shared" si="15"/>
        <v>1.3830426939266387</v>
      </c>
      <c r="L162" s="75">
        <f>VLOOKUP($A162,'Data Vlaue (Cr)'!$C:$FB,67)</f>
        <v>889</v>
      </c>
      <c r="M162" s="75">
        <f>VLOOKUP($A162,'Data Vlaue (Cr)'!$C:$FB,68)</f>
        <v>1396</v>
      </c>
      <c r="N162" s="75">
        <f t="shared" si="16"/>
        <v>-507</v>
      </c>
      <c r="O162" s="75">
        <f t="shared" si="17"/>
        <v>-57.03037120359955</v>
      </c>
      <c r="P162" s="75">
        <f>VLOOKUP($A162,'Data Vlaue (Cr)'!$C:$FB,119)</f>
        <v>0.88</v>
      </c>
      <c r="Q162" s="75">
        <f>VLOOKUP($A162,'Data Vlaue (Cr)'!$C:$FB,122)*100</f>
        <v>23.94</v>
      </c>
      <c r="R162" s="75">
        <f>VLOOKUP($A162,'Data Vlaue (Cr)'!$C:$FB,125)</f>
        <v>0.76</v>
      </c>
      <c r="S162" s="75">
        <f>VLOOKUP($A162,'Data Vlaue (Cr)'!$C:$FB,128)*100</f>
        <v>31.03</v>
      </c>
    </row>
    <row r="163" spans="1:19" x14ac:dyDescent="0.25">
      <c r="A163" s="96" t="str">
        <f>'Data Vlaue (Cr)'!C154</f>
        <v>OIL</v>
      </c>
      <c r="B163" s="75">
        <f>VLOOKUP($A163,'Data Vlaue (Cr)'!$C:$FB,2)</f>
        <v>1400</v>
      </c>
      <c r="C163" s="75">
        <f>VLOOKUP($A163,'Data Vlaue (Cr)'!$C:$FB,8)</f>
        <v>470.75</v>
      </c>
      <c r="D163" s="75">
        <f>VLOOKUP($A163,'Data Vlaue (Cr)'!$C:$FB,4)</f>
        <v>472.8</v>
      </c>
      <c r="E163" s="75">
        <f>VLOOKUP($A163,'Data Vlaue (Cr)'!$C:$FB,5)</f>
        <v>461</v>
      </c>
      <c r="F163" s="75">
        <f t="shared" si="12"/>
        <v>2.0500000000000114</v>
      </c>
      <c r="G163" s="75">
        <f t="shared" si="13"/>
        <v>2.495769881556686</v>
      </c>
      <c r="H163" s="75">
        <f>VLOOKUP($A163,'Data Vlaue (Cr)'!$C:$FB,99)</f>
        <v>1650</v>
      </c>
      <c r="I163" s="75">
        <f>VLOOKUP($A163,'Data Vlaue (Cr)'!$C:$FB,100)</f>
        <v>1698</v>
      </c>
      <c r="J163" s="75">
        <f t="shared" si="14"/>
        <v>-48</v>
      </c>
      <c r="K163" s="75">
        <f t="shared" si="15"/>
        <v>-2.9090909090909092</v>
      </c>
      <c r="L163" s="75">
        <f>VLOOKUP($A163,'Data Vlaue (Cr)'!$C:$FB,67)</f>
        <v>1453</v>
      </c>
      <c r="M163" s="75">
        <f>VLOOKUP($A163,'Data Vlaue (Cr)'!$C:$FB,68)</f>
        <v>2034</v>
      </c>
      <c r="N163" s="75">
        <f t="shared" si="16"/>
        <v>-581</v>
      </c>
      <c r="O163" s="75">
        <f t="shared" si="17"/>
        <v>-39.986235375086025</v>
      </c>
      <c r="P163" s="75">
        <f>VLOOKUP($A163,'Data Vlaue (Cr)'!$C:$FB,119)</f>
        <v>0.47</v>
      </c>
      <c r="Q163" s="75">
        <f>VLOOKUP($A163,'Data Vlaue (Cr)'!$C:$FB,122)*100</f>
        <v>9.3000000000000007</v>
      </c>
      <c r="R163" s="75">
        <f>VLOOKUP($A163,'Data Vlaue (Cr)'!$C:$FB,125)</f>
        <v>0.28000000000000003</v>
      </c>
      <c r="S163" s="75">
        <f>VLOOKUP($A163,'Data Vlaue (Cr)'!$C:$FB,128)*100</f>
        <v>-52.54</v>
      </c>
    </row>
    <row r="164" spans="1:19" x14ac:dyDescent="0.25">
      <c r="A164" s="96" t="str">
        <f>'Data Vlaue (Cr)'!C155</f>
        <v>ONGC</v>
      </c>
      <c r="B164" s="75">
        <f>VLOOKUP($A164,'Data Vlaue (Cr)'!$C:$FB,2)</f>
        <v>2250</v>
      </c>
      <c r="C164" s="75">
        <f>VLOOKUP($A164,'Data Vlaue (Cr)'!$C:$FB,8)</f>
        <v>288.60000000000002</v>
      </c>
      <c r="D164" s="75">
        <f>VLOOKUP($A164,'Data Vlaue (Cr)'!$C:$FB,4)</f>
        <v>289.89999999999998</v>
      </c>
      <c r="E164" s="75">
        <f>VLOOKUP($A164,'Data Vlaue (Cr)'!$C:$FB,5)</f>
        <v>287.05</v>
      </c>
      <c r="F164" s="75">
        <f t="shared" si="12"/>
        <v>1.2999999999999545</v>
      </c>
      <c r="G164" s="75">
        <f t="shared" si="13"/>
        <v>0.98309761986890865</v>
      </c>
      <c r="H164" s="75">
        <f>VLOOKUP($A164,'Data Vlaue (Cr)'!$C:$FB,99)</f>
        <v>5785</v>
      </c>
      <c r="I164" s="75">
        <f>VLOOKUP($A164,'Data Vlaue (Cr)'!$C:$FB,100)</f>
        <v>5757</v>
      </c>
      <c r="J164" s="75">
        <f t="shared" si="14"/>
        <v>28</v>
      </c>
      <c r="K164" s="75">
        <f t="shared" si="15"/>
        <v>0.48401037165082106</v>
      </c>
      <c r="L164" s="75">
        <f>VLOOKUP($A164,'Data Vlaue (Cr)'!$C:$FB,67)</f>
        <v>2923</v>
      </c>
      <c r="M164" s="75">
        <f>VLOOKUP($A164,'Data Vlaue (Cr)'!$C:$FB,68)</f>
        <v>6721</v>
      </c>
      <c r="N164" s="75">
        <f t="shared" si="16"/>
        <v>-3798</v>
      </c>
      <c r="O164" s="75">
        <f t="shared" si="17"/>
        <v>-129.93499828942868</v>
      </c>
      <c r="P164" s="75">
        <f>VLOOKUP($A164,'Data Vlaue (Cr)'!$C:$FB,119)</f>
        <v>0.54</v>
      </c>
      <c r="Q164" s="75">
        <f>VLOOKUP($A164,'Data Vlaue (Cr)'!$C:$FB,122)*100</f>
        <v>5.88</v>
      </c>
      <c r="R164" s="75">
        <f>VLOOKUP($A164,'Data Vlaue (Cr)'!$C:$FB,125)</f>
        <v>0.36</v>
      </c>
      <c r="S164" s="75">
        <f>VLOOKUP($A164,'Data Vlaue (Cr)'!$C:$FB,128)*100</f>
        <v>-42.86</v>
      </c>
    </row>
    <row r="165" spans="1:19" x14ac:dyDescent="0.25">
      <c r="A165" s="96" t="str">
        <f>'Data Vlaue (Cr)'!C156</f>
        <v>PAGEIND</v>
      </c>
      <c r="B165" s="75">
        <f>VLOOKUP($A165,'Data Vlaue (Cr)'!$C:$FB,2)</f>
        <v>15</v>
      </c>
      <c r="C165" s="75">
        <f>VLOOKUP($A165,'Data Vlaue (Cr)'!$C:$FB,8)</f>
        <v>35950</v>
      </c>
      <c r="D165" s="75">
        <f>VLOOKUP($A165,'Data Vlaue (Cr)'!$C:$FB,4)</f>
        <v>35970</v>
      </c>
      <c r="E165" s="75">
        <f>VLOOKUP($A165,'Data Vlaue (Cr)'!$C:$FB,5)</f>
        <v>35485</v>
      </c>
      <c r="F165" s="75">
        <f t="shared" si="12"/>
        <v>20</v>
      </c>
      <c r="G165" s="75">
        <f t="shared" si="13"/>
        <v>1.3483458437586879</v>
      </c>
      <c r="H165" s="75">
        <f>VLOOKUP($A165,'Data Vlaue (Cr)'!$C:$FB,99)</f>
        <v>1715</v>
      </c>
      <c r="I165" s="75">
        <f>VLOOKUP($A165,'Data Vlaue (Cr)'!$C:$FB,100)</f>
        <v>1670</v>
      </c>
      <c r="J165" s="75">
        <f t="shared" si="14"/>
        <v>45</v>
      </c>
      <c r="K165" s="75">
        <f t="shared" si="15"/>
        <v>2.6239067055393588</v>
      </c>
      <c r="L165" s="75">
        <f>VLOOKUP($A165,'Data Vlaue (Cr)'!$C:$FB,67)</f>
        <v>560</v>
      </c>
      <c r="M165" s="75">
        <f>VLOOKUP($A165,'Data Vlaue (Cr)'!$C:$FB,68)</f>
        <v>462</v>
      </c>
      <c r="N165" s="75">
        <f t="shared" si="16"/>
        <v>98</v>
      </c>
      <c r="O165" s="75">
        <f t="shared" si="17"/>
        <v>17.5</v>
      </c>
      <c r="P165" s="75">
        <f>VLOOKUP($A165,'Data Vlaue (Cr)'!$C:$FB,119)</f>
        <v>0.89</v>
      </c>
      <c r="Q165" s="75">
        <f>VLOOKUP($A165,'Data Vlaue (Cr)'!$C:$FB,122)*100</f>
        <v>8.5400000000000009</v>
      </c>
      <c r="R165" s="75">
        <f>VLOOKUP($A165,'Data Vlaue (Cr)'!$C:$FB,125)</f>
        <v>0.64</v>
      </c>
      <c r="S165" s="75">
        <f>VLOOKUP($A165,'Data Vlaue (Cr)'!$C:$FB,128)*100</f>
        <v>16.36</v>
      </c>
    </row>
    <row r="166" spans="1:19" x14ac:dyDescent="0.25">
      <c r="A166" s="96" t="str">
        <f>'Data Vlaue (Cr)'!C157</f>
        <v>PATANJALI</v>
      </c>
      <c r="B166" s="75">
        <f>VLOOKUP($A166,'Data Vlaue (Cr)'!$C:$FB,2)</f>
        <v>900</v>
      </c>
      <c r="C166" s="75">
        <f>VLOOKUP($A166,'Data Vlaue (Cr)'!$C:$FB,8)</f>
        <v>459.7</v>
      </c>
      <c r="D166" s="75">
        <f>VLOOKUP($A166,'Data Vlaue (Cr)'!$C:$FB,4)</f>
        <v>459.75</v>
      </c>
      <c r="E166" s="75">
        <f>VLOOKUP($A166,'Data Vlaue (Cr)'!$C:$FB,5)</f>
        <v>470.45</v>
      </c>
      <c r="F166" s="75">
        <f t="shared" si="12"/>
        <v>5.0000000000011369E-2</v>
      </c>
      <c r="G166" s="75">
        <f t="shared" si="13"/>
        <v>-2.3273518216421945</v>
      </c>
      <c r="H166" s="75">
        <f>VLOOKUP($A166,'Data Vlaue (Cr)'!$C:$FB,99)</f>
        <v>1812</v>
      </c>
      <c r="I166" s="75">
        <f>VLOOKUP($A166,'Data Vlaue (Cr)'!$C:$FB,100)</f>
        <v>1789</v>
      </c>
      <c r="J166" s="75">
        <f t="shared" si="14"/>
        <v>23</v>
      </c>
      <c r="K166" s="75">
        <f t="shared" si="15"/>
        <v>1.2693156732891833</v>
      </c>
      <c r="L166" s="75">
        <f>VLOOKUP($A166,'Data Vlaue (Cr)'!$C:$FB,67)</f>
        <v>346</v>
      </c>
      <c r="M166" s="75">
        <f>VLOOKUP($A166,'Data Vlaue (Cr)'!$C:$FB,68)</f>
        <v>596</v>
      </c>
      <c r="N166" s="75">
        <f t="shared" si="16"/>
        <v>-250</v>
      </c>
      <c r="O166" s="75">
        <f t="shared" si="17"/>
        <v>-72.25433526011561</v>
      </c>
      <c r="P166" s="75">
        <f>VLOOKUP($A166,'Data Vlaue (Cr)'!$C:$FB,119)</f>
        <v>0.74</v>
      </c>
      <c r="Q166" s="75">
        <f>VLOOKUP($A166,'Data Vlaue (Cr)'!$C:$FB,122)*100</f>
        <v>-6.3299999999999992</v>
      </c>
      <c r="R166" s="75">
        <f>VLOOKUP($A166,'Data Vlaue (Cr)'!$C:$FB,125)</f>
        <v>0.64</v>
      </c>
      <c r="S166" s="75">
        <f>VLOOKUP($A166,'Data Vlaue (Cr)'!$C:$FB,128)*100</f>
        <v>23.080000000000002</v>
      </c>
    </row>
    <row r="167" spans="1:19" x14ac:dyDescent="0.25">
      <c r="A167" s="96" t="str">
        <f>'Data Vlaue (Cr)'!C158</f>
        <v>PAYTM</v>
      </c>
      <c r="B167" s="75">
        <f>VLOOKUP($A167,'Data Vlaue (Cr)'!$C:$FB,2)</f>
        <v>725</v>
      </c>
      <c r="C167" s="75">
        <f>VLOOKUP($A167,'Data Vlaue (Cr)'!$C:$FB,8)</f>
        <v>1097.95</v>
      </c>
      <c r="D167" s="75">
        <f>VLOOKUP($A167,'Data Vlaue (Cr)'!$C:$FB,4)</f>
        <v>1102.55</v>
      </c>
      <c r="E167" s="75">
        <f>VLOOKUP($A167,'Data Vlaue (Cr)'!$C:$FB,5)</f>
        <v>1115.3499999999999</v>
      </c>
      <c r="F167" s="75">
        <f t="shared" si="12"/>
        <v>4.5999999999999091</v>
      </c>
      <c r="G167" s="75">
        <f t="shared" si="13"/>
        <v>-1.1609450818556941</v>
      </c>
      <c r="H167" s="75">
        <f>VLOOKUP($A167,'Data Vlaue (Cr)'!$C:$FB,99)</f>
        <v>3027</v>
      </c>
      <c r="I167" s="75">
        <f>VLOOKUP($A167,'Data Vlaue (Cr)'!$C:$FB,100)</f>
        <v>2850</v>
      </c>
      <c r="J167" s="75">
        <f t="shared" si="14"/>
        <v>177</v>
      </c>
      <c r="K167" s="75">
        <f t="shared" si="15"/>
        <v>5.8473736372646181</v>
      </c>
      <c r="L167" s="75">
        <f>VLOOKUP($A167,'Data Vlaue (Cr)'!$C:$FB,67)</f>
        <v>2515</v>
      </c>
      <c r="M167" s="75">
        <f>VLOOKUP($A167,'Data Vlaue (Cr)'!$C:$FB,68)</f>
        <v>2961</v>
      </c>
      <c r="N167" s="75">
        <f t="shared" si="16"/>
        <v>-446</v>
      </c>
      <c r="O167" s="75">
        <f t="shared" si="17"/>
        <v>-17.733598409542743</v>
      </c>
      <c r="P167" s="75">
        <f>VLOOKUP($A167,'Data Vlaue (Cr)'!$C:$FB,119)</f>
        <v>0.8</v>
      </c>
      <c r="Q167" s="75">
        <f>VLOOKUP($A167,'Data Vlaue (Cr)'!$C:$FB,122)*100</f>
        <v>-6.98</v>
      </c>
      <c r="R167" s="75">
        <f>VLOOKUP($A167,'Data Vlaue (Cr)'!$C:$FB,125)</f>
        <v>0.63</v>
      </c>
      <c r="S167" s="75">
        <f>VLOOKUP($A167,'Data Vlaue (Cr)'!$C:$FB,128)*100</f>
        <v>16.669999999999998</v>
      </c>
    </row>
    <row r="168" spans="1:19" x14ac:dyDescent="0.25">
      <c r="A168" s="96" t="str">
        <f>'Data Vlaue (Cr)'!C159</f>
        <v>PERSISTENT</v>
      </c>
      <c r="B168" s="75">
        <f>VLOOKUP($A168,'Data Vlaue (Cr)'!$C:$FB,2)</f>
        <v>100</v>
      </c>
      <c r="C168" s="75">
        <f>VLOOKUP($A168,'Data Vlaue (Cr)'!$C:$FB,8)</f>
        <v>5471.1</v>
      </c>
      <c r="D168" s="75">
        <f>VLOOKUP($A168,'Data Vlaue (Cr)'!$C:$FB,4)</f>
        <v>5468.9</v>
      </c>
      <c r="E168" s="75">
        <f>VLOOKUP($A168,'Data Vlaue (Cr)'!$C:$FB,5)</f>
        <v>5363.2</v>
      </c>
      <c r="F168" s="75">
        <f t="shared" si="12"/>
        <v>-2.2000000000007276</v>
      </c>
      <c r="G168" s="75">
        <f t="shared" si="13"/>
        <v>1.9327469875111964</v>
      </c>
      <c r="H168" s="75">
        <f>VLOOKUP($A168,'Data Vlaue (Cr)'!$C:$FB,99)</f>
        <v>4006</v>
      </c>
      <c r="I168" s="75">
        <f>VLOOKUP($A168,'Data Vlaue (Cr)'!$C:$FB,100)</f>
        <v>3946</v>
      </c>
      <c r="J168" s="75">
        <f t="shared" si="14"/>
        <v>60</v>
      </c>
      <c r="K168" s="75">
        <f t="shared" si="15"/>
        <v>1.4977533699450822</v>
      </c>
      <c r="L168" s="75">
        <f>VLOOKUP($A168,'Data Vlaue (Cr)'!$C:$FB,67)</f>
        <v>1893</v>
      </c>
      <c r="M168" s="75">
        <f>VLOOKUP($A168,'Data Vlaue (Cr)'!$C:$FB,68)</f>
        <v>2223</v>
      </c>
      <c r="N168" s="75">
        <f t="shared" si="16"/>
        <v>-330</v>
      </c>
      <c r="O168" s="75">
        <f t="shared" si="17"/>
        <v>-17.432646592709986</v>
      </c>
      <c r="P168" s="75">
        <f>VLOOKUP($A168,'Data Vlaue (Cr)'!$C:$FB,119)</f>
        <v>0.95</v>
      </c>
      <c r="Q168" s="75">
        <f>VLOOKUP($A168,'Data Vlaue (Cr)'!$C:$FB,122)*100</f>
        <v>4.3999999999999995</v>
      </c>
      <c r="R168" s="75">
        <f>VLOOKUP($A168,'Data Vlaue (Cr)'!$C:$FB,125)</f>
        <v>0.6</v>
      </c>
      <c r="S168" s="75">
        <f>VLOOKUP($A168,'Data Vlaue (Cr)'!$C:$FB,128)*100</f>
        <v>25</v>
      </c>
    </row>
    <row r="169" spans="1:19" x14ac:dyDescent="0.25">
      <c r="A169" s="96" t="str">
        <f>'Data Vlaue (Cr)'!C160</f>
        <v>PETRONET</v>
      </c>
      <c r="B169" s="75">
        <f>VLOOKUP($A169,'Data Vlaue (Cr)'!$C:$FB,2)</f>
        <v>1900</v>
      </c>
      <c r="C169" s="75">
        <f>VLOOKUP($A169,'Data Vlaue (Cr)'!$C:$FB,8)</f>
        <v>271.37</v>
      </c>
      <c r="D169" s="75">
        <f>VLOOKUP($A169,'Data Vlaue (Cr)'!$C:$FB,4)</f>
        <v>272.05</v>
      </c>
      <c r="E169" s="75">
        <f>VLOOKUP($A169,'Data Vlaue (Cr)'!$C:$FB,5)</f>
        <v>270.72000000000003</v>
      </c>
      <c r="F169" s="75">
        <f t="shared" si="12"/>
        <v>0.68000000000000682</v>
      </c>
      <c r="G169" s="75">
        <f t="shared" si="13"/>
        <v>0.48888072045579273</v>
      </c>
      <c r="H169" s="75">
        <f>VLOOKUP($A169,'Data Vlaue (Cr)'!$C:$FB,99)</f>
        <v>1627</v>
      </c>
      <c r="I169" s="75">
        <f>VLOOKUP($A169,'Data Vlaue (Cr)'!$C:$FB,100)</f>
        <v>1489</v>
      </c>
      <c r="J169" s="75">
        <f t="shared" si="14"/>
        <v>138</v>
      </c>
      <c r="K169" s="75">
        <f t="shared" si="15"/>
        <v>8.4818684695759075</v>
      </c>
      <c r="L169" s="75">
        <f>VLOOKUP($A169,'Data Vlaue (Cr)'!$C:$FB,67)</f>
        <v>1321</v>
      </c>
      <c r="M169" s="75">
        <f>VLOOKUP($A169,'Data Vlaue (Cr)'!$C:$FB,68)</f>
        <v>1055</v>
      </c>
      <c r="N169" s="75">
        <f t="shared" si="16"/>
        <v>266</v>
      </c>
      <c r="O169" s="75">
        <f t="shared" si="17"/>
        <v>20.136260408781226</v>
      </c>
      <c r="P169" s="75">
        <f>VLOOKUP($A169,'Data Vlaue (Cr)'!$C:$FB,119)</f>
        <v>0.62</v>
      </c>
      <c r="Q169" s="75">
        <f>VLOOKUP($A169,'Data Vlaue (Cr)'!$C:$FB,122)*100</f>
        <v>-17.330000000000002</v>
      </c>
      <c r="R169" s="75">
        <f>VLOOKUP($A169,'Data Vlaue (Cr)'!$C:$FB,125)</f>
        <v>0.25</v>
      </c>
      <c r="S169" s="75">
        <f>VLOOKUP($A169,'Data Vlaue (Cr)'!$C:$FB,128)*100</f>
        <v>-53.7</v>
      </c>
    </row>
    <row r="170" spans="1:19" x14ac:dyDescent="0.25">
      <c r="A170" s="96" t="str">
        <f>'Data Vlaue (Cr)'!C161</f>
        <v>PFC</v>
      </c>
      <c r="B170" s="75">
        <f>VLOOKUP($A170,'Data Vlaue (Cr)'!$C:$FB,2)</f>
        <v>1300</v>
      </c>
      <c r="C170" s="75">
        <f>VLOOKUP($A170,'Data Vlaue (Cr)'!$C:$FB,8)</f>
        <v>428.05</v>
      </c>
      <c r="D170" s="75">
        <f>VLOOKUP($A170,'Data Vlaue (Cr)'!$C:$FB,4)</f>
        <v>429.8</v>
      </c>
      <c r="E170" s="75">
        <f>VLOOKUP($A170,'Data Vlaue (Cr)'!$C:$FB,5)</f>
        <v>419.7</v>
      </c>
      <c r="F170" s="75">
        <f t="shared" si="12"/>
        <v>1.75</v>
      </c>
      <c r="G170" s="75">
        <f t="shared" si="13"/>
        <v>2.3499302000930715</v>
      </c>
      <c r="H170" s="75">
        <f>VLOOKUP($A170,'Data Vlaue (Cr)'!$C:$FB,99)</f>
        <v>3847</v>
      </c>
      <c r="I170" s="75">
        <f>VLOOKUP($A170,'Data Vlaue (Cr)'!$C:$FB,100)</f>
        <v>3540</v>
      </c>
      <c r="J170" s="75">
        <f t="shared" si="14"/>
        <v>307</v>
      </c>
      <c r="K170" s="75">
        <f t="shared" si="15"/>
        <v>7.9802443462438273</v>
      </c>
      <c r="L170" s="75">
        <f>VLOOKUP($A170,'Data Vlaue (Cr)'!$C:$FB,67)</f>
        <v>3868</v>
      </c>
      <c r="M170" s="75">
        <f>VLOOKUP($A170,'Data Vlaue (Cr)'!$C:$FB,68)</f>
        <v>2298</v>
      </c>
      <c r="N170" s="75">
        <f t="shared" si="16"/>
        <v>1570</v>
      </c>
      <c r="O170" s="75">
        <f t="shared" si="17"/>
        <v>40.589451913133402</v>
      </c>
      <c r="P170" s="75">
        <f>VLOOKUP($A170,'Data Vlaue (Cr)'!$C:$FB,119)</f>
        <v>0.75</v>
      </c>
      <c r="Q170" s="75">
        <f>VLOOKUP($A170,'Data Vlaue (Cr)'!$C:$FB,122)*100</f>
        <v>0</v>
      </c>
      <c r="R170" s="75">
        <f>VLOOKUP($A170,'Data Vlaue (Cr)'!$C:$FB,125)</f>
        <v>0.48</v>
      </c>
      <c r="S170" s="75">
        <f>VLOOKUP($A170,'Data Vlaue (Cr)'!$C:$FB,128)*100</f>
        <v>-18.64</v>
      </c>
    </row>
    <row r="171" spans="1:19" x14ac:dyDescent="0.25">
      <c r="A171" s="96" t="str">
        <f>'Data Vlaue (Cr)'!C162</f>
        <v>PGEL</v>
      </c>
      <c r="B171" s="75">
        <f>VLOOKUP($A171,'Data Vlaue (Cr)'!$C:$FB,2)</f>
        <v>950</v>
      </c>
      <c r="C171" s="75">
        <f>VLOOKUP($A171,'Data Vlaue (Cr)'!$C:$FB,8)</f>
        <v>479.8</v>
      </c>
      <c r="D171" s="75">
        <f>VLOOKUP($A171,'Data Vlaue (Cr)'!$C:$FB,4)</f>
        <v>479.85</v>
      </c>
      <c r="E171" s="75">
        <f>VLOOKUP($A171,'Data Vlaue (Cr)'!$C:$FB,5)</f>
        <v>482.3</v>
      </c>
      <c r="F171" s="75">
        <f t="shared" si="12"/>
        <v>5.0000000000011369E-2</v>
      </c>
      <c r="G171" s="75">
        <f t="shared" si="13"/>
        <v>-0.51057622173595674</v>
      </c>
      <c r="H171" s="75">
        <f>VLOOKUP($A171,'Data Vlaue (Cr)'!$C:$FB,99)</f>
        <v>1554</v>
      </c>
      <c r="I171" s="75">
        <f>VLOOKUP($A171,'Data Vlaue (Cr)'!$C:$FB,100)</f>
        <v>1558</v>
      </c>
      <c r="J171" s="75">
        <f t="shared" si="14"/>
        <v>-4</v>
      </c>
      <c r="K171" s="75">
        <f t="shared" si="15"/>
        <v>-0.2574002574002574</v>
      </c>
      <c r="L171" s="75">
        <f>VLOOKUP($A171,'Data Vlaue (Cr)'!$C:$FB,67)</f>
        <v>1393</v>
      </c>
      <c r="M171" s="75">
        <f>VLOOKUP($A171,'Data Vlaue (Cr)'!$C:$FB,68)</f>
        <v>2059</v>
      </c>
      <c r="N171" s="75">
        <f t="shared" si="16"/>
        <v>-666</v>
      </c>
      <c r="O171" s="75">
        <f t="shared" si="17"/>
        <v>-47.810480976310124</v>
      </c>
      <c r="P171" s="75">
        <f>VLOOKUP($A171,'Data Vlaue (Cr)'!$C:$FB,119)</f>
        <v>0.62</v>
      </c>
      <c r="Q171" s="75">
        <f>VLOOKUP($A171,'Data Vlaue (Cr)'!$C:$FB,122)*100</f>
        <v>10.71</v>
      </c>
      <c r="R171" s="75">
        <f>VLOOKUP($A171,'Data Vlaue (Cr)'!$C:$FB,125)</f>
        <v>0.61</v>
      </c>
      <c r="S171" s="75">
        <f>VLOOKUP($A171,'Data Vlaue (Cr)'!$C:$FB,128)*100</f>
        <v>69.44</v>
      </c>
    </row>
    <row r="172" spans="1:19" x14ac:dyDescent="0.25">
      <c r="A172" s="96" t="str">
        <f>'Data Vlaue (Cr)'!C163</f>
        <v>PHOENIXLTD</v>
      </c>
      <c r="B172" s="75">
        <f>VLOOKUP($A172,'Data Vlaue (Cr)'!$C:$FB,2)</f>
        <v>350</v>
      </c>
      <c r="C172" s="75">
        <f>VLOOKUP($A172,'Data Vlaue (Cr)'!$C:$FB,8)</f>
        <v>1709.9</v>
      </c>
      <c r="D172" s="75">
        <f>VLOOKUP($A172,'Data Vlaue (Cr)'!$C:$FB,4)</f>
        <v>1710.3</v>
      </c>
      <c r="E172" s="75">
        <f>VLOOKUP($A172,'Data Vlaue (Cr)'!$C:$FB,5)</f>
        <v>1715.5</v>
      </c>
      <c r="F172" s="75">
        <f t="shared" si="12"/>
        <v>0.39999999999986358</v>
      </c>
      <c r="G172" s="75">
        <f t="shared" si="13"/>
        <v>-0.3040402268607873</v>
      </c>
      <c r="H172" s="75">
        <f>VLOOKUP($A172,'Data Vlaue (Cr)'!$C:$FB,99)</f>
        <v>823</v>
      </c>
      <c r="I172" s="75">
        <f>VLOOKUP($A172,'Data Vlaue (Cr)'!$C:$FB,100)</f>
        <v>834</v>
      </c>
      <c r="J172" s="75">
        <f t="shared" si="14"/>
        <v>-11</v>
      </c>
      <c r="K172" s="75">
        <f t="shared" si="15"/>
        <v>-1.336573511543135</v>
      </c>
      <c r="L172" s="75">
        <f>VLOOKUP($A172,'Data Vlaue (Cr)'!$C:$FB,67)</f>
        <v>205</v>
      </c>
      <c r="M172" s="75">
        <f>VLOOKUP($A172,'Data Vlaue (Cr)'!$C:$FB,68)</f>
        <v>575</v>
      </c>
      <c r="N172" s="75">
        <f t="shared" si="16"/>
        <v>-370</v>
      </c>
      <c r="O172" s="75">
        <f t="shared" si="17"/>
        <v>-180.48780487804879</v>
      </c>
      <c r="P172" s="75">
        <f>VLOOKUP($A172,'Data Vlaue (Cr)'!$C:$FB,119)</f>
        <v>1.29</v>
      </c>
      <c r="Q172" s="75">
        <f>VLOOKUP($A172,'Data Vlaue (Cr)'!$C:$FB,122)*100</f>
        <v>-3.01</v>
      </c>
      <c r="R172" s="75">
        <f>VLOOKUP($A172,'Data Vlaue (Cr)'!$C:$FB,125)</f>
        <v>1.18</v>
      </c>
      <c r="S172" s="75">
        <f>VLOOKUP($A172,'Data Vlaue (Cr)'!$C:$FB,128)*100</f>
        <v>87.3</v>
      </c>
    </row>
    <row r="173" spans="1:19" x14ac:dyDescent="0.25">
      <c r="A173" s="96" t="str">
        <f>'Data Vlaue (Cr)'!C164</f>
        <v>PIDILITIND</v>
      </c>
      <c r="B173" s="75">
        <f>VLOOKUP($A173,'Data Vlaue (Cr)'!$C:$FB,2)</f>
        <v>500</v>
      </c>
      <c r="C173" s="75">
        <f>VLOOKUP($A173,'Data Vlaue (Cr)'!$C:$FB,8)</f>
        <v>1347.4</v>
      </c>
      <c r="D173" s="75">
        <f>VLOOKUP($A173,'Data Vlaue (Cr)'!$C:$FB,4)</f>
        <v>1350.4</v>
      </c>
      <c r="E173" s="75">
        <f>VLOOKUP($A173,'Data Vlaue (Cr)'!$C:$FB,5)</f>
        <v>1357</v>
      </c>
      <c r="F173" s="75">
        <f t="shared" si="12"/>
        <v>3</v>
      </c>
      <c r="G173" s="75">
        <f t="shared" si="13"/>
        <v>-0.48874407582937712</v>
      </c>
      <c r="H173" s="75">
        <f>VLOOKUP($A173,'Data Vlaue (Cr)'!$C:$FB,99)</f>
        <v>1297</v>
      </c>
      <c r="I173" s="75">
        <f>VLOOKUP($A173,'Data Vlaue (Cr)'!$C:$FB,100)</f>
        <v>1296</v>
      </c>
      <c r="J173" s="75">
        <f t="shared" si="14"/>
        <v>1</v>
      </c>
      <c r="K173" s="75">
        <f t="shared" si="15"/>
        <v>7.7101002313030062E-2</v>
      </c>
      <c r="L173" s="75">
        <f>VLOOKUP($A173,'Data Vlaue (Cr)'!$C:$FB,67)</f>
        <v>310</v>
      </c>
      <c r="M173" s="75">
        <f>VLOOKUP($A173,'Data Vlaue (Cr)'!$C:$FB,68)</f>
        <v>658</v>
      </c>
      <c r="N173" s="75">
        <f t="shared" si="16"/>
        <v>-348</v>
      </c>
      <c r="O173" s="75">
        <f t="shared" si="17"/>
        <v>-112.25806451612902</v>
      </c>
      <c r="P173" s="75">
        <f>VLOOKUP($A173,'Data Vlaue (Cr)'!$C:$FB,119)</f>
        <v>0.84</v>
      </c>
      <c r="Q173" s="75">
        <f>VLOOKUP($A173,'Data Vlaue (Cr)'!$C:$FB,122)*100</f>
        <v>-2.33</v>
      </c>
      <c r="R173" s="75">
        <f>VLOOKUP($A173,'Data Vlaue (Cr)'!$C:$FB,125)</f>
        <v>1.04</v>
      </c>
      <c r="S173" s="75">
        <f>VLOOKUP($A173,'Data Vlaue (Cr)'!$C:$FB,128)*100</f>
        <v>136.35999999999999</v>
      </c>
    </row>
    <row r="174" spans="1:19" x14ac:dyDescent="0.25">
      <c r="A174" s="96" t="str">
        <f>'Data Vlaue (Cr)'!C165</f>
        <v>PIIND</v>
      </c>
      <c r="B174" s="75">
        <f>VLOOKUP($A174,'Data Vlaue (Cr)'!$C:$FB,2)</f>
        <v>175</v>
      </c>
      <c r="C174" s="75">
        <f>VLOOKUP($A174,'Data Vlaue (Cr)'!$C:$FB,8)</f>
        <v>2880.7</v>
      </c>
      <c r="D174" s="75">
        <f>VLOOKUP($A174,'Data Vlaue (Cr)'!$C:$FB,4)</f>
        <v>2893.3</v>
      </c>
      <c r="E174" s="75">
        <f>VLOOKUP($A174,'Data Vlaue (Cr)'!$C:$FB,5)</f>
        <v>2885.3</v>
      </c>
      <c r="F174" s="75">
        <f t="shared" si="12"/>
        <v>12.600000000000364</v>
      </c>
      <c r="G174" s="75">
        <f t="shared" si="13"/>
        <v>0.27650088134655926</v>
      </c>
      <c r="H174" s="75">
        <f>VLOOKUP($A174,'Data Vlaue (Cr)'!$C:$FB,99)</f>
        <v>1036</v>
      </c>
      <c r="I174" s="75">
        <f>VLOOKUP($A174,'Data Vlaue (Cr)'!$C:$FB,100)</f>
        <v>1006</v>
      </c>
      <c r="J174" s="75">
        <f t="shared" si="14"/>
        <v>30</v>
      </c>
      <c r="K174" s="75">
        <f t="shared" si="15"/>
        <v>2.8957528957528957</v>
      </c>
      <c r="L174" s="75">
        <f>VLOOKUP($A174,'Data Vlaue (Cr)'!$C:$FB,67)</f>
        <v>369</v>
      </c>
      <c r="M174" s="75">
        <f>VLOOKUP($A174,'Data Vlaue (Cr)'!$C:$FB,68)</f>
        <v>270</v>
      </c>
      <c r="N174" s="75">
        <f t="shared" si="16"/>
        <v>99</v>
      </c>
      <c r="O174" s="75">
        <f t="shared" si="17"/>
        <v>26.829268292682929</v>
      </c>
      <c r="P174" s="75">
        <f>VLOOKUP($A174,'Data Vlaue (Cr)'!$C:$FB,119)</f>
        <v>0.97</v>
      </c>
      <c r="Q174" s="75">
        <f>VLOOKUP($A174,'Data Vlaue (Cr)'!$C:$FB,122)*100</f>
        <v>8.99</v>
      </c>
      <c r="R174" s="75">
        <f>VLOOKUP($A174,'Data Vlaue (Cr)'!$C:$FB,125)</f>
        <v>0.88</v>
      </c>
      <c r="S174" s="75">
        <f>VLOOKUP($A174,'Data Vlaue (Cr)'!$C:$FB,128)*100</f>
        <v>51.72</v>
      </c>
    </row>
    <row r="175" spans="1:19" x14ac:dyDescent="0.25">
      <c r="A175" s="96" t="str">
        <f>'Data Vlaue (Cr)'!C166</f>
        <v>PNB</v>
      </c>
      <c r="B175" s="75">
        <f>VLOOKUP($A175,'Data Vlaue (Cr)'!$C:$FB,2)</f>
        <v>8000</v>
      </c>
      <c r="C175" s="75">
        <f>VLOOKUP($A175,'Data Vlaue (Cr)'!$C:$FB,8)</f>
        <v>109.59</v>
      </c>
      <c r="D175" s="75">
        <f>VLOOKUP($A175,'Data Vlaue (Cr)'!$C:$FB,4)</f>
        <v>109.84</v>
      </c>
      <c r="E175" s="75">
        <f>VLOOKUP($A175,'Data Vlaue (Cr)'!$C:$FB,5)</f>
        <v>111.73</v>
      </c>
      <c r="F175" s="75">
        <f t="shared" si="12"/>
        <v>0.25</v>
      </c>
      <c r="G175" s="75">
        <f t="shared" si="13"/>
        <v>-1.7206846321922802</v>
      </c>
      <c r="H175" s="75">
        <f>VLOOKUP($A175,'Data Vlaue (Cr)'!$C:$FB,99)</f>
        <v>4744</v>
      </c>
      <c r="I175" s="75">
        <f>VLOOKUP($A175,'Data Vlaue (Cr)'!$C:$FB,100)</f>
        <v>4572</v>
      </c>
      <c r="J175" s="75">
        <f t="shared" si="14"/>
        <v>172</v>
      </c>
      <c r="K175" s="75">
        <f t="shared" si="15"/>
        <v>3.6256323777403039</v>
      </c>
      <c r="L175" s="75">
        <f>VLOOKUP($A175,'Data Vlaue (Cr)'!$C:$FB,67)</f>
        <v>2032</v>
      </c>
      <c r="M175" s="75">
        <f>VLOOKUP($A175,'Data Vlaue (Cr)'!$C:$FB,68)</f>
        <v>2782</v>
      </c>
      <c r="N175" s="75">
        <f t="shared" si="16"/>
        <v>-750</v>
      </c>
      <c r="O175" s="75">
        <f t="shared" si="17"/>
        <v>-36.909448818897637</v>
      </c>
      <c r="P175" s="75">
        <f>VLOOKUP($A175,'Data Vlaue (Cr)'!$C:$FB,119)</f>
        <v>0.76</v>
      </c>
      <c r="Q175" s="75">
        <f>VLOOKUP($A175,'Data Vlaue (Cr)'!$C:$FB,122)*100</f>
        <v>-3.8</v>
      </c>
      <c r="R175" s="75">
        <f>VLOOKUP($A175,'Data Vlaue (Cr)'!$C:$FB,125)</f>
        <v>0.64</v>
      </c>
      <c r="S175" s="75">
        <f>VLOOKUP($A175,'Data Vlaue (Cr)'!$C:$FB,128)*100</f>
        <v>25.490000000000002</v>
      </c>
    </row>
    <row r="176" spans="1:19" x14ac:dyDescent="0.25">
      <c r="A176" s="96" t="str">
        <f>'Data Vlaue (Cr)'!C167</f>
        <v>PNBHOUSING</v>
      </c>
      <c r="B176" s="75">
        <f>VLOOKUP($A176,'Data Vlaue (Cr)'!$C:$FB,2)</f>
        <v>650</v>
      </c>
      <c r="C176" s="75">
        <f>VLOOKUP($A176,'Data Vlaue (Cr)'!$C:$FB,8)</f>
        <v>862.95</v>
      </c>
      <c r="D176" s="75">
        <f>VLOOKUP($A176,'Data Vlaue (Cr)'!$C:$FB,4)</f>
        <v>867.55</v>
      </c>
      <c r="E176" s="75">
        <f>VLOOKUP($A176,'Data Vlaue (Cr)'!$C:$FB,5)</f>
        <v>877.1</v>
      </c>
      <c r="F176" s="75">
        <f t="shared" si="12"/>
        <v>4.5999999999999091</v>
      </c>
      <c r="G176" s="75">
        <f t="shared" si="13"/>
        <v>-1.1008011065644709</v>
      </c>
      <c r="H176" s="75">
        <f>VLOOKUP($A176,'Data Vlaue (Cr)'!$C:$FB,99)</f>
        <v>1370</v>
      </c>
      <c r="I176" s="75">
        <f>VLOOKUP($A176,'Data Vlaue (Cr)'!$C:$FB,100)</f>
        <v>1375</v>
      </c>
      <c r="J176" s="75">
        <f t="shared" si="14"/>
        <v>-5</v>
      </c>
      <c r="K176" s="75">
        <f t="shared" si="15"/>
        <v>-0.36496350364963503</v>
      </c>
      <c r="L176" s="75">
        <f>VLOOKUP($A176,'Data Vlaue (Cr)'!$C:$FB,67)</f>
        <v>393</v>
      </c>
      <c r="M176" s="75">
        <f>VLOOKUP($A176,'Data Vlaue (Cr)'!$C:$FB,68)</f>
        <v>644</v>
      </c>
      <c r="N176" s="75">
        <f t="shared" si="16"/>
        <v>-251</v>
      </c>
      <c r="O176" s="75">
        <f t="shared" si="17"/>
        <v>-63.867684478371501</v>
      </c>
      <c r="P176" s="75">
        <f>VLOOKUP($A176,'Data Vlaue (Cr)'!$C:$FB,119)</f>
        <v>0.87</v>
      </c>
      <c r="Q176" s="75">
        <f>VLOOKUP($A176,'Data Vlaue (Cr)'!$C:$FB,122)*100</f>
        <v>11.540000000000001</v>
      </c>
      <c r="R176" s="75">
        <f>VLOOKUP($A176,'Data Vlaue (Cr)'!$C:$FB,125)</f>
        <v>3.6</v>
      </c>
      <c r="S176" s="75">
        <f>VLOOKUP($A176,'Data Vlaue (Cr)'!$C:$FB,128)*100</f>
        <v>757.14</v>
      </c>
    </row>
    <row r="177" spans="1:19" x14ac:dyDescent="0.25">
      <c r="A177" s="96" t="str">
        <f>'Data Vlaue (Cr)'!C168</f>
        <v>POLICYBZR</v>
      </c>
      <c r="B177" s="75">
        <f>VLOOKUP($A177,'Data Vlaue (Cr)'!$C:$FB,2)</f>
        <v>350</v>
      </c>
      <c r="C177" s="75">
        <f>VLOOKUP($A177,'Data Vlaue (Cr)'!$C:$FB,8)</f>
        <v>1493.3</v>
      </c>
      <c r="D177" s="75">
        <f>VLOOKUP($A177,'Data Vlaue (Cr)'!$C:$FB,4)</f>
        <v>1500</v>
      </c>
      <c r="E177" s="75">
        <f>VLOOKUP($A177,'Data Vlaue (Cr)'!$C:$FB,5)</f>
        <v>1505.6</v>
      </c>
      <c r="F177" s="75">
        <f t="shared" ref="F177:F185" si="18">D177-C177</f>
        <v>6.7000000000000455</v>
      </c>
      <c r="G177" s="75">
        <f t="shared" ref="G177:G185" si="19">(D177-E177)/D177*100</f>
        <v>-0.37333333333332724</v>
      </c>
      <c r="H177" s="75">
        <f>VLOOKUP($A177,'Data Vlaue (Cr)'!$C:$FB,99)</f>
        <v>1468</v>
      </c>
      <c r="I177" s="75">
        <f>VLOOKUP($A177,'Data Vlaue (Cr)'!$C:$FB,100)</f>
        <v>1432</v>
      </c>
      <c r="J177" s="75">
        <f t="shared" ref="J177:J185" si="20">H177-I177</f>
        <v>36</v>
      </c>
      <c r="K177" s="75">
        <f t="shared" ref="K177:K185" si="21">J177/H177*100</f>
        <v>2.4523160762942782</v>
      </c>
      <c r="L177" s="75">
        <f>VLOOKUP($A177,'Data Vlaue (Cr)'!$C:$FB,67)</f>
        <v>310</v>
      </c>
      <c r="M177" s="75">
        <f>VLOOKUP($A177,'Data Vlaue (Cr)'!$C:$FB,68)</f>
        <v>342</v>
      </c>
      <c r="N177" s="75">
        <f t="shared" ref="N177:N185" si="22">L177-M177</f>
        <v>-32</v>
      </c>
      <c r="O177" s="75">
        <f t="shared" ref="O177:O185" si="23">N177/L177*100</f>
        <v>-10.32258064516129</v>
      </c>
      <c r="P177" s="75">
        <f>VLOOKUP($A177,'Data Vlaue (Cr)'!$C:$FB,119)</f>
        <v>0.91</v>
      </c>
      <c r="Q177" s="75">
        <f>VLOOKUP($A177,'Data Vlaue (Cr)'!$C:$FB,122)*100</f>
        <v>1.1100000000000001</v>
      </c>
      <c r="R177" s="75">
        <f>VLOOKUP($A177,'Data Vlaue (Cr)'!$C:$FB,125)</f>
        <v>0.43</v>
      </c>
      <c r="S177" s="75">
        <f>VLOOKUP($A177,'Data Vlaue (Cr)'!$C:$FB,128)*100</f>
        <v>-12.24</v>
      </c>
    </row>
    <row r="178" spans="1:19" x14ac:dyDescent="0.25">
      <c r="A178" s="96" t="str">
        <f>'Data Vlaue (Cr)'!C169</f>
        <v>POLYCAB</v>
      </c>
      <c r="B178" s="75">
        <f>VLOOKUP($A178,'Data Vlaue (Cr)'!$C:$FB,2)</f>
        <v>125</v>
      </c>
      <c r="C178" s="75">
        <f>VLOOKUP($A178,'Data Vlaue (Cr)'!$C:$FB,8)</f>
        <v>7607</v>
      </c>
      <c r="D178" s="75">
        <f>VLOOKUP($A178,'Data Vlaue (Cr)'!$C:$FB,4)</f>
        <v>7595</v>
      </c>
      <c r="E178" s="75">
        <f>VLOOKUP($A178,'Data Vlaue (Cr)'!$C:$FB,5)</f>
        <v>7617.5</v>
      </c>
      <c r="F178" s="75">
        <f t="shared" si="18"/>
        <v>-12</v>
      </c>
      <c r="G178" s="75">
        <f t="shared" si="19"/>
        <v>-0.29624753127057274</v>
      </c>
      <c r="H178" s="75">
        <f>VLOOKUP($A178,'Data Vlaue (Cr)'!$C:$FB,99)</f>
        <v>2769</v>
      </c>
      <c r="I178" s="75">
        <f>VLOOKUP($A178,'Data Vlaue (Cr)'!$C:$FB,100)</f>
        <v>2685</v>
      </c>
      <c r="J178" s="75">
        <f t="shared" si="20"/>
        <v>84</v>
      </c>
      <c r="K178" s="75">
        <f t="shared" si="21"/>
        <v>3.0335861321776814</v>
      </c>
      <c r="L178" s="75">
        <f>VLOOKUP($A178,'Data Vlaue (Cr)'!$C:$FB,67)</f>
        <v>1408</v>
      </c>
      <c r="M178" s="75">
        <f>VLOOKUP($A178,'Data Vlaue (Cr)'!$C:$FB,68)</f>
        <v>2906</v>
      </c>
      <c r="N178" s="75">
        <f t="shared" si="22"/>
        <v>-1498</v>
      </c>
      <c r="O178" s="75">
        <f t="shared" si="23"/>
        <v>-106.39204545454545</v>
      </c>
      <c r="P178" s="75">
        <f>VLOOKUP($A178,'Data Vlaue (Cr)'!$C:$FB,119)</f>
        <v>0.97</v>
      </c>
      <c r="Q178" s="75">
        <f>VLOOKUP($A178,'Data Vlaue (Cr)'!$C:$FB,122)*100</f>
        <v>-2.02</v>
      </c>
      <c r="R178" s="75">
        <f>VLOOKUP($A178,'Data Vlaue (Cr)'!$C:$FB,125)</f>
        <v>0.86</v>
      </c>
      <c r="S178" s="75">
        <f>VLOOKUP($A178,'Data Vlaue (Cr)'!$C:$FB,128)*100</f>
        <v>-2.27</v>
      </c>
    </row>
    <row r="179" spans="1:19" x14ac:dyDescent="0.25">
      <c r="A179" s="96" t="str">
        <f>'Data Vlaue (Cr)'!C170</f>
        <v>POWERGRID</v>
      </c>
      <c r="B179" s="75">
        <f>VLOOKUP($A179,'Data Vlaue (Cr)'!$C:$FB,2)</f>
        <v>1900</v>
      </c>
      <c r="C179" s="75">
        <f>VLOOKUP($A179,'Data Vlaue (Cr)'!$C:$FB,8)</f>
        <v>298.10000000000002</v>
      </c>
      <c r="D179" s="75">
        <f>VLOOKUP($A179,'Data Vlaue (Cr)'!$C:$FB,4)</f>
        <v>299.45</v>
      </c>
      <c r="E179" s="75">
        <f>VLOOKUP($A179,'Data Vlaue (Cr)'!$C:$FB,5)</f>
        <v>295.8</v>
      </c>
      <c r="F179" s="75">
        <f t="shared" si="18"/>
        <v>1.3499999999999659</v>
      </c>
      <c r="G179" s="75">
        <f t="shared" si="19"/>
        <v>1.2189013190849816</v>
      </c>
      <c r="H179" s="75">
        <f>VLOOKUP($A179,'Data Vlaue (Cr)'!$C:$FB,99)</f>
        <v>3721</v>
      </c>
      <c r="I179" s="75">
        <f>VLOOKUP($A179,'Data Vlaue (Cr)'!$C:$FB,100)</f>
        <v>3744</v>
      </c>
      <c r="J179" s="75">
        <f t="shared" si="20"/>
        <v>-23</v>
      </c>
      <c r="K179" s="75">
        <f t="shared" si="21"/>
        <v>-0.61811341037355549</v>
      </c>
      <c r="L179" s="75">
        <f>VLOOKUP($A179,'Data Vlaue (Cr)'!$C:$FB,67)</f>
        <v>1937</v>
      </c>
      <c r="M179" s="75">
        <f>VLOOKUP($A179,'Data Vlaue (Cr)'!$C:$FB,68)</f>
        <v>1615</v>
      </c>
      <c r="N179" s="75">
        <f t="shared" si="22"/>
        <v>322</v>
      </c>
      <c r="O179" s="75">
        <f t="shared" si="23"/>
        <v>16.623644811564276</v>
      </c>
      <c r="P179" s="75">
        <f>VLOOKUP($A179,'Data Vlaue (Cr)'!$C:$FB,119)</f>
        <v>0.51</v>
      </c>
      <c r="Q179" s="75">
        <f>VLOOKUP($A179,'Data Vlaue (Cr)'!$C:$FB,122)*100</f>
        <v>8.51</v>
      </c>
      <c r="R179" s="75">
        <f>VLOOKUP($A179,'Data Vlaue (Cr)'!$C:$FB,125)</f>
        <v>0.26</v>
      </c>
      <c r="S179" s="75">
        <f>VLOOKUP($A179,'Data Vlaue (Cr)'!$C:$FB,128)*100</f>
        <v>-31.580000000000002</v>
      </c>
    </row>
    <row r="180" spans="1:19" x14ac:dyDescent="0.25">
      <c r="A180" s="96" t="str">
        <f>'Data Vlaue (Cr)'!C171</f>
        <v>POWERINDIA</v>
      </c>
      <c r="B180" s="75">
        <f>VLOOKUP($A180,'Data Vlaue (Cr)'!$C:$FB,2)</f>
        <v>50</v>
      </c>
      <c r="C180" s="75">
        <f>VLOOKUP($A180,'Data Vlaue (Cr)'!$C:$FB,8)</f>
        <v>27315</v>
      </c>
      <c r="D180" s="75">
        <f>VLOOKUP($A180,'Data Vlaue (Cr)'!$C:$FB,4)</f>
        <v>27435</v>
      </c>
      <c r="E180" s="75">
        <f>VLOOKUP($A180,'Data Vlaue (Cr)'!$C:$FB,5)</f>
        <v>26040</v>
      </c>
      <c r="F180" s="75">
        <f t="shared" si="18"/>
        <v>120</v>
      </c>
      <c r="G180" s="75">
        <f t="shared" si="19"/>
        <v>5.0847457627118651</v>
      </c>
      <c r="H180" s="75">
        <f>VLOOKUP($A180,'Data Vlaue (Cr)'!$C:$FB,99)</f>
        <v>1853</v>
      </c>
      <c r="I180" s="75">
        <f>VLOOKUP($A180,'Data Vlaue (Cr)'!$C:$FB,100)</f>
        <v>1468</v>
      </c>
      <c r="J180" s="75">
        <f t="shared" si="20"/>
        <v>385</v>
      </c>
      <c r="K180" s="75">
        <f t="shared" si="21"/>
        <v>20.77711818672423</v>
      </c>
      <c r="L180" s="75">
        <f>VLOOKUP($A180,'Data Vlaue (Cr)'!$C:$FB,67)</f>
        <v>4240</v>
      </c>
      <c r="M180" s="75">
        <f>VLOOKUP($A180,'Data Vlaue (Cr)'!$C:$FB,68)</f>
        <v>1519</v>
      </c>
      <c r="N180" s="75">
        <f t="shared" si="22"/>
        <v>2721</v>
      </c>
      <c r="O180" s="75">
        <f t="shared" si="23"/>
        <v>64.174528301886795</v>
      </c>
      <c r="P180" s="75">
        <f>VLOOKUP($A180,'Data Vlaue (Cr)'!$C:$FB,119)</f>
        <v>0.96</v>
      </c>
      <c r="Q180" s="75">
        <f>VLOOKUP($A180,'Data Vlaue (Cr)'!$C:$FB,122)*100</f>
        <v>12.94</v>
      </c>
      <c r="R180" s="75">
        <f>VLOOKUP($A180,'Data Vlaue (Cr)'!$C:$FB,125)</f>
        <v>0.37</v>
      </c>
      <c r="S180" s="75">
        <f>VLOOKUP($A180,'Data Vlaue (Cr)'!$C:$FB,128)*100</f>
        <v>-21.279999999999998</v>
      </c>
    </row>
    <row r="181" spans="1:19" x14ac:dyDescent="0.25">
      <c r="A181" s="96" t="str">
        <f>'Data Vlaue (Cr)'!C172</f>
        <v>PPLPHARMA</v>
      </c>
      <c r="B181" s="75">
        <f>VLOOKUP($A181,'Data Vlaue (Cr)'!$C:$FB,2)</f>
        <v>2625</v>
      </c>
      <c r="C181" s="75">
        <f>VLOOKUP($A181,'Data Vlaue (Cr)'!$C:$FB,8)</f>
        <v>142.94999999999999</v>
      </c>
      <c r="D181" s="75">
        <f>VLOOKUP($A181,'Data Vlaue (Cr)'!$C:$FB,4)</f>
        <v>142.44999999999999</v>
      </c>
      <c r="E181" s="75">
        <f>VLOOKUP($A181,'Data Vlaue (Cr)'!$C:$FB,5)</f>
        <v>143.94999999999999</v>
      </c>
      <c r="F181" s="75">
        <f t="shared" si="18"/>
        <v>-0.5</v>
      </c>
      <c r="G181" s="75">
        <f t="shared" si="19"/>
        <v>-1.0530010530010532</v>
      </c>
      <c r="H181" s="75">
        <f>VLOOKUP($A181,'Data Vlaue (Cr)'!$C:$FB,99)</f>
        <v>284</v>
      </c>
      <c r="I181" s="75">
        <f>VLOOKUP($A181,'Data Vlaue (Cr)'!$C:$FB,100)</f>
        <v>266</v>
      </c>
      <c r="J181" s="75">
        <f t="shared" si="20"/>
        <v>18</v>
      </c>
      <c r="K181" s="75">
        <f t="shared" si="21"/>
        <v>6.3380281690140841</v>
      </c>
      <c r="L181" s="75">
        <f>VLOOKUP($A181,'Data Vlaue (Cr)'!$C:$FB,67)</f>
        <v>115</v>
      </c>
      <c r="M181" s="75">
        <f>VLOOKUP($A181,'Data Vlaue (Cr)'!$C:$FB,68)</f>
        <v>139</v>
      </c>
      <c r="N181" s="75">
        <f t="shared" si="22"/>
        <v>-24</v>
      </c>
      <c r="O181" s="75">
        <f t="shared" si="23"/>
        <v>-20.869565217391305</v>
      </c>
      <c r="P181" s="75">
        <f>VLOOKUP($A181,'Data Vlaue (Cr)'!$C:$FB,119)</f>
        <v>0.6</v>
      </c>
      <c r="Q181" s="75">
        <f>VLOOKUP($A181,'Data Vlaue (Cr)'!$C:$FB,122)*100</f>
        <v>-14.29</v>
      </c>
      <c r="R181" s="75">
        <f>VLOOKUP($A181,'Data Vlaue (Cr)'!$C:$FB,125)</f>
        <v>0.28999999999999998</v>
      </c>
      <c r="S181" s="75">
        <f>VLOOKUP($A181,'Data Vlaue (Cr)'!$C:$FB,128)*100</f>
        <v>-12.120000000000001</v>
      </c>
    </row>
    <row r="182" spans="1:19" x14ac:dyDescent="0.25">
      <c r="A182" s="96" t="str">
        <f>'Data Vlaue (Cr)'!C173</f>
        <v>PREMIERENE</v>
      </c>
      <c r="B182" s="75">
        <f>VLOOKUP($A182,'Data Vlaue (Cr)'!$C:$FB,2)</f>
        <v>575</v>
      </c>
      <c r="C182" s="75">
        <f>VLOOKUP($A182,'Data Vlaue (Cr)'!$C:$FB,8)</f>
        <v>956.45</v>
      </c>
      <c r="D182" s="75">
        <f>VLOOKUP($A182,'Data Vlaue (Cr)'!$C:$FB,4)</f>
        <v>960.5</v>
      </c>
      <c r="E182" s="75">
        <f>VLOOKUP($A182,'Data Vlaue (Cr)'!$C:$FB,5)</f>
        <v>963.85</v>
      </c>
      <c r="F182" s="75">
        <f t="shared" si="18"/>
        <v>4.0499999999999545</v>
      </c>
      <c r="G182" s="75">
        <f t="shared" si="19"/>
        <v>-0.34877667881312052</v>
      </c>
      <c r="H182" s="75">
        <f>VLOOKUP($A182,'Data Vlaue (Cr)'!$C:$FB,99)</f>
        <v>1383</v>
      </c>
      <c r="I182" s="75">
        <f>VLOOKUP($A182,'Data Vlaue (Cr)'!$C:$FB,100)</f>
        <v>1333</v>
      </c>
      <c r="J182" s="75">
        <f t="shared" si="20"/>
        <v>50</v>
      </c>
      <c r="K182" s="75">
        <f t="shared" si="21"/>
        <v>3.6153289949385394</v>
      </c>
      <c r="L182" s="75">
        <f>VLOOKUP($A182,'Data Vlaue (Cr)'!$C:$FB,67)</f>
        <v>626</v>
      </c>
      <c r="M182" s="75">
        <f>VLOOKUP($A182,'Data Vlaue (Cr)'!$C:$FB,68)</f>
        <v>896</v>
      </c>
      <c r="N182" s="75">
        <f t="shared" si="22"/>
        <v>-270</v>
      </c>
      <c r="O182" s="75">
        <f t="shared" si="23"/>
        <v>-43.130990415335461</v>
      </c>
      <c r="P182" s="75">
        <f>VLOOKUP($A182,'Data Vlaue (Cr)'!$C:$FB,119)</f>
        <v>0.84</v>
      </c>
      <c r="Q182" s="75">
        <f>VLOOKUP($A182,'Data Vlaue (Cr)'!$C:$FB,122)*100</f>
        <v>-6.67</v>
      </c>
      <c r="R182" s="75">
        <f>VLOOKUP($A182,'Data Vlaue (Cr)'!$C:$FB,125)</f>
        <v>0.36</v>
      </c>
      <c r="S182" s="75">
        <f>VLOOKUP($A182,'Data Vlaue (Cr)'!$C:$FB,128)*100</f>
        <v>-30.769999999999996</v>
      </c>
    </row>
    <row r="183" spans="1:19" x14ac:dyDescent="0.25">
      <c r="A183" s="96" t="str">
        <f>'Data Vlaue (Cr)'!C174</f>
        <v>PRESTIGE</v>
      </c>
      <c r="B183" s="75">
        <f>VLOOKUP($A183,'Data Vlaue (Cr)'!$C:$FB,2)</f>
        <v>450</v>
      </c>
      <c r="C183" s="75">
        <f>VLOOKUP($A183,'Data Vlaue (Cr)'!$C:$FB,8)</f>
        <v>1319.4</v>
      </c>
      <c r="D183" s="75">
        <f>VLOOKUP($A183,'Data Vlaue (Cr)'!$C:$FB,4)</f>
        <v>1326.5</v>
      </c>
      <c r="E183" s="75">
        <f>VLOOKUP($A183,'Data Vlaue (Cr)'!$C:$FB,5)</f>
        <v>1323.8</v>
      </c>
      <c r="F183" s="75">
        <f t="shared" si="18"/>
        <v>7.0999999999999091</v>
      </c>
      <c r="G183" s="75">
        <f t="shared" si="19"/>
        <v>0.20354315868828088</v>
      </c>
      <c r="H183" s="75">
        <f>VLOOKUP($A183,'Data Vlaue (Cr)'!$C:$FB,99)</f>
        <v>1272</v>
      </c>
      <c r="I183" s="75">
        <f>VLOOKUP($A183,'Data Vlaue (Cr)'!$C:$FB,100)</f>
        <v>1215</v>
      </c>
      <c r="J183" s="75">
        <f t="shared" si="20"/>
        <v>57</v>
      </c>
      <c r="K183" s="75">
        <f t="shared" si="21"/>
        <v>4.4811320754716979</v>
      </c>
      <c r="L183" s="75">
        <f>VLOOKUP($A183,'Data Vlaue (Cr)'!$C:$FB,67)</f>
        <v>548</v>
      </c>
      <c r="M183" s="75">
        <f>VLOOKUP($A183,'Data Vlaue (Cr)'!$C:$FB,68)</f>
        <v>1329</v>
      </c>
      <c r="N183" s="75">
        <f t="shared" si="22"/>
        <v>-781</v>
      </c>
      <c r="O183" s="75">
        <f t="shared" si="23"/>
        <v>-142.51824817518249</v>
      </c>
      <c r="P183" s="75">
        <f>VLOOKUP($A183,'Data Vlaue (Cr)'!$C:$FB,119)</f>
        <v>0.61</v>
      </c>
      <c r="Q183" s="75">
        <f>VLOOKUP($A183,'Data Vlaue (Cr)'!$C:$FB,122)*100</f>
        <v>-6.15</v>
      </c>
      <c r="R183" s="75">
        <f>VLOOKUP($A183,'Data Vlaue (Cr)'!$C:$FB,125)</f>
        <v>0.57999999999999996</v>
      </c>
      <c r="S183" s="75">
        <f>VLOOKUP($A183,'Data Vlaue (Cr)'!$C:$FB,128)*100</f>
        <v>38.1</v>
      </c>
    </row>
    <row r="184" spans="1:19" x14ac:dyDescent="0.25">
      <c r="A184" s="96" t="str">
        <f>'Data Vlaue (Cr)'!C175</f>
        <v>RBLBANK</v>
      </c>
      <c r="B184" s="75">
        <f>VLOOKUP($A184,'Data Vlaue (Cr)'!$C:$FB,2)</f>
        <v>3175</v>
      </c>
      <c r="C184" s="75">
        <f>VLOOKUP($A184,'Data Vlaue (Cr)'!$C:$FB,8)</f>
        <v>317.7</v>
      </c>
      <c r="D184" s="75">
        <f>VLOOKUP($A184,'Data Vlaue (Cr)'!$C:$FB,4)</f>
        <v>318.45</v>
      </c>
      <c r="E184" s="75">
        <f>VLOOKUP($A184,'Data Vlaue (Cr)'!$C:$FB,5)</f>
        <v>324.14999999999998</v>
      </c>
      <c r="F184" s="75">
        <f t="shared" si="18"/>
        <v>0.75</v>
      </c>
      <c r="G184" s="75">
        <f t="shared" si="19"/>
        <v>-1.7899199246349469</v>
      </c>
      <c r="H184" s="75">
        <f>VLOOKUP($A184,'Data Vlaue (Cr)'!$C:$FB,99)</f>
        <v>3861</v>
      </c>
      <c r="I184" s="75">
        <f>VLOOKUP($A184,'Data Vlaue (Cr)'!$C:$FB,100)</f>
        <v>3881</v>
      </c>
      <c r="J184" s="75">
        <f t="shared" si="20"/>
        <v>-20</v>
      </c>
      <c r="K184" s="75">
        <f t="shared" si="21"/>
        <v>-0.51800051800051794</v>
      </c>
      <c r="L184" s="75">
        <f>VLOOKUP($A184,'Data Vlaue (Cr)'!$C:$FB,67)</f>
        <v>1517</v>
      </c>
      <c r="M184" s="75">
        <f>VLOOKUP($A184,'Data Vlaue (Cr)'!$C:$FB,68)</f>
        <v>3085</v>
      </c>
      <c r="N184" s="75">
        <f t="shared" si="22"/>
        <v>-1568</v>
      </c>
      <c r="O184" s="75">
        <f t="shared" si="23"/>
        <v>-103.36189848384971</v>
      </c>
      <c r="P184" s="75">
        <f>VLOOKUP($A184,'Data Vlaue (Cr)'!$C:$FB,119)</f>
        <v>1.05</v>
      </c>
      <c r="Q184" s="75">
        <f>VLOOKUP($A184,'Data Vlaue (Cr)'!$C:$FB,122)*100</f>
        <v>-1.87</v>
      </c>
      <c r="R184" s="75">
        <f>VLOOKUP($A184,'Data Vlaue (Cr)'!$C:$FB,125)</f>
        <v>0.75</v>
      </c>
      <c r="S184" s="75">
        <f>VLOOKUP($A184,'Data Vlaue (Cr)'!$C:$FB,128)*100</f>
        <v>38.89</v>
      </c>
    </row>
    <row r="185" spans="1:19" x14ac:dyDescent="0.25">
      <c r="A185" s="96" t="str">
        <f>'Data Vlaue (Cr)'!C176</f>
        <v>RECLTD</v>
      </c>
      <c r="B185" s="75">
        <f>VLOOKUP($A185,'Data Vlaue (Cr)'!$C:$FB,2)</f>
        <v>1400</v>
      </c>
      <c r="C185" s="75">
        <f>VLOOKUP($A185,'Data Vlaue (Cr)'!$C:$FB,8)</f>
        <v>346.8</v>
      </c>
      <c r="D185" s="75">
        <f>VLOOKUP($A185,'Data Vlaue (Cr)'!$C:$FB,4)</f>
        <v>348.15</v>
      </c>
      <c r="E185" s="75">
        <f>VLOOKUP($A185,'Data Vlaue (Cr)'!$C:$FB,5)</f>
        <v>343.55</v>
      </c>
      <c r="F185" s="75">
        <f t="shared" si="18"/>
        <v>1.3499999999999659</v>
      </c>
      <c r="G185" s="75">
        <f t="shared" si="19"/>
        <v>1.3212695677150557</v>
      </c>
      <c r="H185" s="75">
        <f>VLOOKUP($A185,'Data Vlaue (Cr)'!$C:$FB,99)</f>
        <v>3805</v>
      </c>
      <c r="I185" s="75">
        <f>VLOOKUP($A185,'Data Vlaue (Cr)'!$C:$FB,100)</f>
        <v>3735</v>
      </c>
      <c r="J185" s="75">
        <f t="shared" si="20"/>
        <v>70</v>
      </c>
      <c r="K185" s="75">
        <f t="shared" si="21"/>
        <v>1.8396846254927726</v>
      </c>
      <c r="L185" s="75">
        <f>VLOOKUP($A185,'Data Vlaue (Cr)'!$C:$FB,67)</f>
        <v>1887</v>
      </c>
      <c r="M185" s="75">
        <f>VLOOKUP($A185,'Data Vlaue (Cr)'!$C:$FB,68)</f>
        <v>1615</v>
      </c>
      <c r="N185" s="75">
        <f t="shared" si="22"/>
        <v>272</v>
      </c>
      <c r="O185" s="75">
        <f t="shared" si="23"/>
        <v>14.414414414414415</v>
      </c>
      <c r="P185" s="75">
        <f>VLOOKUP($A185,'Data Vlaue (Cr)'!$C:$FB,119)</f>
        <v>0.89</v>
      </c>
      <c r="Q185" s="75">
        <f>VLOOKUP($A185,'Data Vlaue (Cr)'!$C:$FB,122)*100</f>
        <v>-1.1100000000000001</v>
      </c>
      <c r="R185" s="75">
        <f>VLOOKUP($A185,'Data Vlaue (Cr)'!$C:$FB,125)</f>
        <v>0.51</v>
      </c>
      <c r="S185" s="75">
        <f>VLOOKUP($A185,'Data Vlaue (Cr)'!$C:$FB,128)*100</f>
        <v>-19.05</v>
      </c>
    </row>
    <row r="186" spans="1:19" x14ac:dyDescent="0.25">
      <c r="A186" s="96" t="str">
        <f>'Data Vlaue (Cr)'!C177</f>
        <v>RELIANCE</v>
      </c>
      <c r="B186" s="75">
        <f>VLOOKUP($A186,'Data Vlaue (Cr)'!$C:$FB,2)</f>
        <v>500</v>
      </c>
      <c r="C186" s="75">
        <f>VLOOKUP($A186,'Data Vlaue (Cr)'!$C:$FB,8)</f>
        <v>1330</v>
      </c>
      <c r="D186" s="75">
        <f>VLOOKUP($A186,'Data Vlaue (Cr)'!$C:$FB,4)</f>
        <v>1335.7</v>
      </c>
      <c r="E186" s="75">
        <f>VLOOKUP($A186,'Data Vlaue (Cr)'!$C:$FB,5)</f>
        <v>1351</v>
      </c>
      <c r="F186" s="75">
        <f t="shared" ref="F186:F193" si="24">D186-C186</f>
        <v>5.7000000000000455</v>
      </c>
      <c r="G186" s="75">
        <f t="shared" ref="G186:G193" si="25">(D186-E186)/D186*100</f>
        <v>-1.1454667964363221</v>
      </c>
      <c r="H186" s="75">
        <f>VLOOKUP($A186,'Data Vlaue (Cr)'!$C:$FB,99)</f>
        <v>27913</v>
      </c>
      <c r="I186" s="75">
        <f>VLOOKUP($A186,'Data Vlaue (Cr)'!$C:$FB,100)</f>
        <v>27573</v>
      </c>
      <c r="J186" s="75">
        <f t="shared" ref="J186:J193" si="26">H186-I186</f>
        <v>340</v>
      </c>
      <c r="K186" s="75">
        <f t="shared" ref="K186:K193" si="27">J186/H186*100</f>
        <v>1.2180704331315158</v>
      </c>
      <c r="L186" s="75">
        <f>VLOOKUP($A186,'Data Vlaue (Cr)'!$C:$FB,67)</f>
        <v>14146</v>
      </c>
      <c r="M186" s="75">
        <f>VLOOKUP($A186,'Data Vlaue (Cr)'!$C:$FB,68)</f>
        <v>28971</v>
      </c>
      <c r="N186" s="75">
        <f t="shared" ref="N186:N193" si="28">L186-M186</f>
        <v>-14825</v>
      </c>
      <c r="O186" s="75">
        <f t="shared" ref="O186:O193" si="29">N186/L186*100</f>
        <v>-104.79994344691079</v>
      </c>
      <c r="P186" s="75">
        <f>VLOOKUP($A186,'Data Vlaue (Cr)'!$C:$FB,119)</f>
        <v>0.44</v>
      </c>
      <c r="Q186" s="75">
        <f>VLOOKUP($A186,'Data Vlaue (Cr)'!$C:$FB,122)*100</f>
        <v>2.33</v>
      </c>
      <c r="R186" s="75">
        <f>VLOOKUP($A186,'Data Vlaue (Cr)'!$C:$FB,125)</f>
        <v>0.61</v>
      </c>
      <c r="S186" s="75">
        <f>VLOOKUP($A186,'Data Vlaue (Cr)'!$C:$FB,128)*100</f>
        <v>60.529999999999994</v>
      </c>
    </row>
    <row r="187" spans="1:19" x14ac:dyDescent="0.25">
      <c r="A187" s="96" t="str">
        <f>'Data Vlaue (Cr)'!C178</f>
        <v>RVNL</v>
      </c>
      <c r="B187" s="75">
        <f>VLOOKUP($A187,'Data Vlaue (Cr)'!$C:$FB,2)</f>
        <v>1525</v>
      </c>
      <c r="C187" s="75">
        <f>VLOOKUP($A187,'Data Vlaue (Cr)'!$C:$FB,8)</f>
        <v>272.83</v>
      </c>
      <c r="D187" s="75">
        <f>VLOOKUP($A187,'Data Vlaue (Cr)'!$C:$FB,4)</f>
        <v>271.77999999999997</v>
      </c>
      <c r="E187" s="75">
        <f>VLOOKUP($A187,'Data Vlaue (Cr)'!$C:$FB,5)</f>
        <v>272.68</v>
      </c>
      <c r="F187" s="75">
        <f t="shared" si="24"/>
        <v>-1.0500000000000114</v>
      </c>
      <c r="G187" s="75">
        <f t="shared" si="25"/>
        <v>-0.33115019501068299</v>
      </c>
      <c r="H187" s="75">
        <f>VLOOKUP($A187,'Data Vlaue (Cr)'!$C:$FB,99)</f>
        <v>2070</v>
      </c>
      <c r="I187" s="75">
        <f>VLOOKUP($A187,'Data Vlaue (Cr)'!$C:$FB,100)</f>
        <v>2030</v>
      </c>
      <c r="J187" s="75">
        <f t="shared" si="26"/>
        <v>40</v>
      </c>
      <c r="K187" s="75">
        <f t="shared" si="27"/>
        <v>1.932367149758454</v>
      </c>
      <c r="L187" s="75">
        <f>VLOOKUP($A187,'Data Vlaue (Cr)'!$C:$FB,67)</f>
        <v>731</v>
      </c>
      <c r="M187" s="75">
        <f>VLOOKUP($A187,'Data Vlaue (Cr)'!$C:$FB,68)</f>
        <v>991</v>
      </c>
      <c r="N187" s="75">
        <f t="shared" si="28"/>
        <v>-260</v>
      </c>
      <c r="O187" s="75">
        <f t="shared" si="29"/>
        <v>-35.567715458276332</v>
      </c>
      <c r="P187" s="75">
        <f>VLOOKUP($A187,'Data Vlaue (Cr)'!$C:$FB,119)</f>
        <v>0.71</v>
      </c>
      <c r="Q187" s="75">
        <f>VLOOKUP($A187,'Data Vlaue (Cr)'!$C:$FB,122)*100</f>
        <v>-2.74</v>
      </c>
      <c r="R187" s="75">
        <f>VLOOKUP($A187,'Data Vlaue (Cr)'!$C:$FB,125)</f>
        <v>0.31</v>
      </c>
      <c r="S187" s="75">
        <f>VLOOKUP($A187,'Data Vlaue (Cr)'!$C:$FB,128)*100</f>
        <v>-18.420000000000002</v>
      </c>
    </row>
    <row r="188" spans="1:19" x14ac:dyDescent="0.25">
      <c r="A188" s="96" t="str">
        <f>'Data Vlaue (Cr)'!C179</f>
        <v>SAIL</v>
      </c>
      <c r="B188" s="75">
        <f>VLOOKUP($A188,'Data Vlaue (Cr)'!$C:$FB,2)</f>
        <v>4700</v>
      </c>
      <c r="C188" s="75">
        <f>VLOOKUP($A188,'Data Vlaue (Cr)'!$C:$FB,8)</f>
        <v>163.35</v>
      </c>
      <c r="D188" s="75">
        <f>VLOOKUP($A188,'Data Vlaue (Cr)'!$C:$FB,4)</f>
        <v>166.73</v>
      </c>
      <c r="E188" s="75">
        <f>VLOOKUP($A188,'Data Vlaue (Cr)'!$C:$FB,5)</f>
        <v>165.45</v>
      </c>
      <c r="F188" s="75">
        <f t="shared" si="24"/>
        <v>3.3799999999999955</v>
      </c>
      <c r="G188" s="75">
        <f t="shared" si="25"/>
        <v>0.76770827085707505</v>
      </c>
      <c r="H188" s="75">
        <f>VLOOKUP($A188,'Data Vlaue (Cr)'!$C:$FB,99)</f>
        <v>3814</v>
      </c>
      <c r="I188" s="75">
        <f>VLOOKUP($A188,'Data Vlaue (Cr)'!$C:$FB,100)</f>
        <v>3893</v>
      </c>
      <c r="J188" s="75">
        <f t="shared" si="26"/>
        <v>-79</v>
      </c>
      <c r="K188" s="75">
        <f t="shared" si="27"/>
        <v>-2.0713162034609334</v>
      </c>
      <c r="L188" s="75">
        <f>VLOOKUP($A188,'Data Vlaue (Cr)'!$C:$FB,67)</f>
        <v>118</v>
      </c>
      <c r="M188" s="75">
        <f>VLOOKUP($A188,'Data Vlaue (Cr)'!$C:$FB,68)</f>
        <v>1338</v>
      </c>
      <c r="N188" s="75">
        <f t="shared" si="28"/>
        <v>-1220</v>
      </c>
      <c r="O188" s="75">
        <f t="shared" si="29"/>
        <v>-1033.8983050847457</v>
      </c>
      <c r="P188" s="75">
        <f>VLOOKUP($A188,'Data Vlaue (Cr)'!$C:$FB,119)</f>
        <v>0.71</v>
      </c>
      <c r="Q188" s="75">
        <f>VLOOKUP($A188,'Data Vlaue (Cr)'!$C:$FB,122)*100</f>
        <v>4.41</v>
      </c>
      <c r="R188" s="75">
        <f>VLOOKUP($A188,'Data Vlaue (Cr)'!$C:$FB,125)</f>
        <v>0.35</v>
      </c>
      <c r="S188" s="75">
        <f>VLOOKUP($A188,'Data Vlaue (Cr)'!$C:$FB,128)*100</f>
        <v>-22.220000000000002</v>
      </c>
    </row>
    <row r="189" spans="1:19" x14ac:dyDescent="0.25">
      <c r="A189" s="96" t="str">
        <f>'Data Vlaue (Cr)'!C180</f>
        <v>SAMMAANCAP</v>
      </c>
      <c r="B189" s="75">
        <f>VLOOKUP($A189,'Data Vlaue (Cr)'!$C:$FB,2)</f>
        <v>4300</v>
      </c>
      <c r="C189" s="75">
        <f>VLOOKUP($A189,'Data Vlaue (Cr)'!$C:$FB,8)</f>
        <v>153.55000000000001</v>
      </c>
      <c r="D189" s="75">
        <f>VLOOKUP($A189,'Data Vlaue (Cr)'!$C:$FB,4)</f>
        <v>153.91</v>
      </c>
      <c r="E189" s="75">
        <f>VLOOKUP($A189,'Data Vlaue (Cr)'!$C:$FB,5)</f>
        <v>153.07</v>
      </c>
      <c r="F189" s="75">
        <f t="shared" si="24"/>
        <v>0.35999999999998522</v>
      </c>
      <c r="G189" s="75">
        <f t="shared" si="25"/>
        <v>0.5457735039958439</v>
      </c>
      <c r="H189" s="75">
        <f>VLOOKUP($A189,'Data Vlaue (Cr)'!$C:$FB,99)</f>
        <v>2271</v>
      </c>
      <c r="I189" s="75">
        <f>VLOOKUP($A189,'Data Vlaue (Cr)'!$C:$FB,100)</f>
        <v>2299</v>
      </c>
      <c r="J189" s="75">
        <f t="shared" si="26"/>
        <v>-28</v>
      </c>
      <c r="K189" s="75">
        <f t="shared" si="27"/>
        <v>-1.2329370321444297</v>
      </c>
      <c r="L189" s="75">
        <f>VLOOKUP($A189,'Data Vlaue (Cr)'!$C:$FB,67)</f>
        <v>37</v>
      </c>
      <c r="M189" s="75">
        <f>VLOOKUP($A189,'Data Vlaue (Cr)'!$C:$FB,68)</f>
        <v>254</v>
      </c>
      <c r="N189" s="75">
        <f t="shared" si="28"/>
        <v>-217</v>
      </c>
      <c r="O189" s="75">
        <f t="shared" si="29"/>
        <v>-586.48648648648646</v>
      </c>
      <c r="P189" s="75">
        <f>VLOOKUP($A189,'Data Vlaue (Cr)'!$C:$FB,119)</f>
        <v>1.05</v>
      </c>
      <c r="Q189" s="75">
        <f>VLOOKUP($A189,'Data Vlaue (Cr)'!$C:$FB,122)*100</f>
        <v>1.94</v>
      </c>
      <c r="R189" s="75">
        <f>VLOOKUP($A189,'Data Vlaue (Cr)'!$C:$FB,125)</f>
        <v>0.62</v>
      </c>
      <c r="S189" s="75">
        <f>VLOOKUP($A189,'Data Vlaue (Cr)'!$C:$FB,128)*100</f>
        <v>-27.91</v>
      </c>
    </row>
    <row r="190" spans="1:19" x14ac:dyDescent="0.25">
      <c r="A190" s="96" t="str">
        <f>'Data Vlaue (Cr)'!C181</f>
        <v>SBICARD</v>
      </c>
      <c r="B190" s="75">
        <f>VLOOKUP($A190,'Data Vlaue (Cr)'!$C:$FB,2)</f>
        <v>800</v>
      </c>
      <c r="C190" s="75">
        <f>VLOOKUP($A190,'Data Vlaue (Cr)'!$C:$FB,8)</f>
        <v>668.9</v>
      </c>
      <c r="D190" s="75">
        <f>VLOOKUP($A190,'Data Vlaue (Cr)'!$C:$FB,4)</f>
        <v>666.5</v>
      </c>
      <c r="E190" s="75">
        <f>VLOOKUP($A190,'Data Vlaue (Cr)'!$C:$FB,5)</f>
        <v>667.9</v>
      </c>
      <c r="F190" s="75">
        <f t="shared" si="24"/>
        <v>-2.3999999999999773</v>
      </c>
      <c r="G190" s="75">
        <f t="shared" si="25"/>
        <v>-0.21005251312827866</v>
      </c>
      <c r="H190" s="75">
        <f>VLOOKUP($A190,'Data Vlaue (Cr)'!$C:$FB,99)</f>
        <v>2370</v>
      </c>
      <c r="I190" s="75">
        <f>VLOOKUP($A190,'Data Vlaue (Cr)'!$C:$FB,100)</f>
        <v>2343</v>
      </c>
      <c r="J190" s="75">
        <f t="shared" si="26"/>
        <v>27</v>
      </c>
      <c r="K190" s="75">
        <f t="shared" si="27"/>
        <v>1.139240506329114</v>
      </c>
      <c r="L190" s="75">
        <f>VLOOKUP($A190,'Data Vlaue (Cr)'!$C:$FB,67)</f>
        <v>594</v>
      </c>
      <c r="M190" s="75">
        <f>VLOOKUP($A190,'Data Vlaue (Cr)'!$C:$FB,68)</f>
        <v>1230</v>
      </c>
      <c r="N190" s="75">
        <f t="shared" si="28"/>
        <v>-636</v>
      </c>
      <c r="O190" s="75">
        <f t="shared" si="29"/>
        <v>-107.07070707070707</v>
      </c>
      <c r="P190" s="75">
        <f>VLOOKUP($A190,'Data Vlaue (Cr)'!$C:$FB,119)</f>
        <v>0.76</v>
      </c>
      <c r="Q190" s="75">
        <f>VLOOKUP($A190,'Data Vlaue (Cr)'!$C:$FB,122)*100</f>
        <v>-9.5200000000000014</v>
      </c>
      <c r="R190" s="75">
        <f>VLOOKUP($A190,'Data Vlaue (Cr)'!$C:$FB,125)</f>
        <v>0.62</v>
      </c>
      <c r="S190" s="75">
        <f>VLOOKUP($A190,'Data Vlaue (Cr)'!$C:$FB,128)*100</f>
        <v>37.78</v>
      </c>
    </row>
    <row r="191" spans="1:19" x14ac:dyDescent="0.25">
      <c r="A191" s="96" t="str">
        <f>'Data Vlaue (Cr)'!C182</f>
        <v>SBILIFE</v>
      </c>
      <c r="B191" s="75">
        <f>VLOOKUP($A191,'Data Vlaue (Cr)'!$C:$FB,2)</f>
        <v>375</v>
      </c>
      <c r="C191" s="75">
        <f>VLOOKUP($A191,'Data Vlaue (Cr)'!$C:$FB,8)</f>
        <v>1904</v>
      </c>
      <c r="D191" s="75">
        <f>VLOOKUP($A191,'Data Vlaue (Cr)'!$C:$FB,4)</f>
        <v>1911.9</v>
      </c>
      <c r="E191" s="75">
        <f>VLOOKUP($A191,'Data Vlaue (Cr)'!$C:$FB,5)</f>
        <v>1917.6</v>
      </c>
      <c r="F191" s="75">
        <f t="shared" si="24"/>
        <v>7.9000000000000909</v>
      </c>
      <c r="G191" s="75">
        <f t="shared" si="25"/>
        <v>-0.2981327475286269</v>
      </c>
      <c r="H191" s="75">
        <f>VLOOKUP($A191,'Data Vlaue (Cr)'!$C:$FB,99)</f>
        <v>2432</v>
      </c>
      <c r="I191" s="75">
        <f>VLOOKUP($A191,'Data Vlaue (Cr)'!$C:$FB,100)</f>
        <v>2430</v>
      </c>
      <c r="J191" s="75">
        <f t="shared" si="26"/>
        <v>2</v>
      </c>
      <c r="K191" s="75">
        <f t="shared" si="27"/>
        <v>8.223684210526315E-2</v>
      </c>
      <c r="L191" s="75">
        <f>VLOOKUP($A191,'Data Vlaue (Cr)'!$C:$FB,67)</f>
        <v>480</v>
      </c>
      <c r="M191" s="75">
        <f>VLOOKUP($A191,'Data Vlaue (Cr)'!$C:$FB,68)</f>
        <v>793</v>
      </c>
      <c r="N191" s="75">
        <f t="shared" si="28"/>
        <v>-313</v>
      </c>
      <c r="O191" s="75">
        <f t="shared" si="29"/>
        <v>-65.208333333333329</v>
      </c>
      <c r="P191" s="75">
        <f>VLOOKUP($A191,'Data Vlaue (Cr)'!$C:$FB,119)</f>
        <v>1.5</v>
      </c>
      <c r="Q191" s="75">
        <f>VLOOKUP($A191,'Data Vlaue (Cr)'!$C:$FB,122)*100</f>
        <v>-15.25</v>
      </c>
      <c r="R191" s="75">
        <f>VLOOKUP($A191,'Data Vlaue (Cr)'!$C:$FB,125)</f>
        <v>0.84</v>
      </c>
      <c r="S191" s="75">
        <f>VLOOKUP($A191,'Data Vlaue (Cr)'!$C:$FB,128)*100</f>
        <v>-17.649999999999999</v>
      </c>
    </row>
    <row r="192" spans="1:19" x14ac:dyDescent="0.25">
      <c r="A192" s="96" t="str">
        <f>'Data Vlaue (Cr)'!C183</f>
        <v>SBIN</v>
      </c>
      <c r="B192" s="75">
        <f>VLOOKUP($A192,'Data Vlaue (Cr)'!$C:$FB,2)</f>
        <v>750</v>
      </c>
      <c r="C192" s="75">
        <f>VLOOKUP($A192,'Data Vlaue (Cr)'!$C:$FB,8)</f>
        <v>1040.95</v>
      </c>
      <c r="D192" s="75">
        <f>VLOOKUP($A192,'Data Vlaue (Cr)'!$C:$FB,4)</f>
        <v>1045.7</v>
      </c>
      <c r="E192" s="75">
        <f>VLOOKUP($A192,'Data Vlaue (Cr)'!$C:$FB,5)</f>
        <v>1067.2</v>
      </c>
      <c r="F192" s="75">
        <f t="shared" si="24"/>
        <v>4.75</v>
      </c>
      <c r="G192" s="75">
        <f t="shared" si="25"/>
        <v>-2.0560390169264608</v>
      </c>
      <c r="H192" s="75">
        <f>VLOOKUP($A192,'Data Vlaue (Cr)'!$C:$FB,99)</f>
        <v>15868</v>
      </c>
      <c r="I192" s="75">
        <f>VLOOKUP($A192,'Data Vlaue (Cr)'!$C:$FB,100)</f>
        <v>15018</v>
      </c>
      <c r="J192" s="75">
        <f t="shared" si="26"/>
        <v>850</v>
      </c>
      <c r="K192" s="75">
        <f t="shared" si="27"/>
        <v>5.3566927148979078</v>
      </c>
      <c r="L192" s="75">
        <f>VLOOKUP($A192,'Data Vlaue (Cr)'!$C:$FB,67)</f>
        <v>11224</v>
      </c>
      <c r="M192" s="75">
        <f>VLOOKUP($A192,'Data Vlaue (Cr)'!$C:$FB,68)</f>
        <v>16793</v>
      </c>
      <c r="N192" s="75">
        <f t="shared" si="28"/>
        <v>-5569</v>
      </c>
      <c r="O192" s="75">
        <f t="shared" si="29"/>
        <v>-49.616892373485385</v>
      </c>
      <c r="P192" s="75">
        <f>VLOOKUP($A192,'Data Vlaue (Cr)'!$C:$FB,119)</f>
        <v>0.65</v>
      </c>
      <c r="Q192" s="75">
        <f>VLOOKUP($A192,'Data Vlaue (Cr)'!$C:$FB,122)*100</f>
        <v>-8.4500000000000011</v>
      </c>
      <c r="R192" s="75">
        <f>VLOOKUP($A192,'Data Vlaue (Cr)'!$C:$FB,125)</f>
        <v>0.69</v>
      </c>
      <c r="S192" s="75">
        <f>VLOOKUP($A192,'Data Vlaue (Cr)'!$C:$FB,128)*100</f>
        <v>21.05</v>
      </c>
    </row>
    <row r="193" spans="1:19" x14ac:dyDescent="0.25">
      <c r="A193" s="96" t="str">
        <f>'Data Vlaue (Cr)'!C184</f>
        <v>SHREECEM</v>
      </c>
      <c r="B193" s="75">
        <f>VLOOKUP($A193,'Data Vlaue (Cr)'!$C:$FB,2)</f>
        <v>25</v>
      </c>
      <c r="C193" s="75">
        <f>VLOOKUP($A193,'Data Vlaue (Cr)'!$C:$FB,8)</f>
        <v>23990</v>
      </c>
      <c r="D193" s="75">
        <f>VLOOKUP($A193,'Data Vlaue (Cr)'!$C:$FB,4)</f>
        <v>23975</v>
      </c>
      <c r="E193" s="75">
        <f>VLOOKUP($A193,'Data Vlaue (Cr)'!$C:$FB,5)</f>
        <v>24375</v>
      </c>
      <c r="F193" s="75">
        <f t="shared" si="24"/>
        <v>-15</v>
      </c>
      <c r="G193" s="75">
        <f t="shared" si="25"/>
        <v>-1.6684045881126173</v>
      </c>
      <c r="H193" s="75">
        <f>VLOOKUP($A193,'Data Vlaue (Cr)'!$C:$FB,99)</f>
        <v>1155</v>
      </c>
      <c r="I193" s="75">
        <f>VLOOKUP($A193,'Data Vlaue (Cr)'!$C:$FB,100)</f>
        <v>1100</v>
      </c>
      <c r="J193" s="75">
        <f t="shared" si="26"/>
        <v>55</v>
      </c>
      <c r="K193" s="75">
        <f t="shared" si="27"/>
        <v>4.7619047619047619</v>
      </c>
      <c r="L193" s="75">
        <f>VLOOKUP($A193,'Data Vlaue (Cr)'!$C:$FB,67)</f>
        <v>307</v>
      </c>
      <c r="M193" s="75">
        <f>VLOOKUP($A193,'Data Vlaue (Cr)'!$C:$FB,68)</f>
        <v>480</v>
      </c>
      <c r="N193" s="75">
        <f t="shared" si="28"/>
        <v>-173</v>
      </c>
      <c r="O193" s="75">
        <f t="shared" si="29"/>
        <v>-56.351791530944631</v>
      </c>
      <c r="P193" s="75">
        <f>VLOOKUP($A193,'Data Vlaue (Cr)'!$C:$FB,119)</f>
        <v>0.67</v>
      </c>
      <c r="Q193" s="75">
        <f>VLOOKUP($A193,'Data Vlaue (Cr)'!$C:$FB,122)*100</f>
        <v>-5.63</v>
      </c>
      <c r="R193" s="75">
        <f>VLOOKUP($A193,'Data Vlaue (Cr)'!$C:$FB,125)</f>
        <v>0.3</v>
      </c>
      <c r="S193" s="75">
        <f>VLOOKUP($A193,'Data Vlaue (Cr)'!$C:$FB,128)*100</f>
        <v>-25</v>
      </c>
    </row>
    <row r="194" spans="1:19" ht="13.9" customHeight="1" x14ac:dyDescent="0.25">
      <c r="A194" s="96" t="str">
        <f>'Data Vlaue (Cr)'!C185</f>
        <v>SHRIRAMFIN</v>
      </c>
      <c r="B194" s="75">
        <f>VLOOKUP($A194,'Data Vlaue (Cr)'!$C:$FB,2)</f>
        <v>825</v>
      </c>
      <c r="C194" s="75">
        <f>VLOOKUP($A194,'Data Vlaue (Cr)'!$C:$FB,8)</f>
        <v>996.3</v>
      </c>
      <c r="D194" s="75">
        <f>VLOOKUP($A194,'Data Vlaue (Cr)'!$C:$FB,4)</f>
        <v>999.8</v>
      </c>
      <c r="E194" s="75">
        <f>VLOOKUP($A194,'Data Vlaue (Cr)'!$C:$FB,5)</f>
        <v>1026.1500000000001</v>
      </c>
      <c r="F194" s="75">
        <f t="shared" ref="F194:F214" si="30">D194-C194</f>
        <v>3.5</v>
      </c>
      <c r="G194" s="75">
        <f t="shared" ref="G194:G214" si="31">(D194-E194)/D194*100</f>
        <v>-2.6355271054210978</v>
      </c>
      <c r="H194" s="75">
        <f>VLOOKUP($A194,'Data Vlaue (Cr)'!$C:$FB,99)</f>
        <v>6266</v>
      </c>
      <c r="I194" s="75">
        <f>VLOOKUP($A194,'Data Vlaue (Cr)'!$C:$FB,100)</f>
        <v>6228</v>
      </c>
      <c r="J194" s="75">
        <f t="shared" ref="J194:J214" si="32">H194-I194</f>
        <v>38</v>
      </c>
      <c r="K194" s="75">
        <f t="shared" ref="K194:K214" si="33">J194/H194*100</f>
        <v>0.60644749441429946</v>
      </c>
      <c r="L194" s="75">
        <f>VLOOKUP($A194,'Data Vlaue (Cr)'!$C:$FB,67)</f>
        <v>3417</v>
      </c>
      <c r="M194" s="75">
        <f>VLOOKUP($A194,'Data Vlaue (Cr)'!$C:$FB,68)</f>
        <v>8702</v>
      </c>
      <c r="N194" s="75">
        <f t="shared" ref="N194:N214" si="34">L194-M194</f>
        <v>-5285</v>
      </c>
      <c r="O194" s="75">
        <f t="shared" ref="O194:O214" si="35">N194/L194*100</f>
        <v>-154.6678372841674</v>
      </c>
      <c r="P194" s="75">
        <f>VLOOKUP($A194,'Data Vlaue (Cr)'!$C:$FB,119)</f>
        <v>0.7</v>
      </c>
      <c r="Q194" s="75">
        <f>VLOOKUP($A194,'Data Vlaue (Cr)'!$C:$FB,122)*100</f>
        <v>-6.67</v>
      </c>
      <c r="R194" s="75">
        <f>VLOOKUP($A194,'Data Vlaue (Cr)'!$C:$FB,125)</f>
        <v>0.73</v>
      </c>
      <c r="S194" s="75">
        <f>VLOOKUP($A194,'Data Vlaue (Cr)'!$C:$FB,128)*100</f>
        <v>58.699999999999996</v>
      </c>
    </row>
    <row r="195" spans="1:19" x14ac:dyDescent="0.25">
      <c r="A195" s="96" t="str">
        <f>'Data Vlaue (Cr)'!C186</f>
        <v>SIEMENS</v>
      </c>
      <c r="B195" s="75">
        <f>VLOOKUP($A195,'Data Vlaue (Cr)'!$C:$FB,2)</f>
        <v>175</v>
      </c>
      <c r="C195" s="75">
        <f>VLOOKUP($A195,'Data Vlaue (Cr)'!$C:$FB,8)</f>
        <v>3222.5</v>
      </c>
      <c r="D195" s="75">
        <f>VLOOKUP($A195,'Data Vlaue (Cr)'!$C:$FB,4)</f>
        <v>3238.6</v>
      </c>
      <c r="E195" s="75">
        <f>VLOOKUP($A195,'Data Vlaue (Cr)'!$C:$FB,5)</f>
        <v>3242.9</v>
      </c>
      <c r="F195" s="75">
        <f t="shared" si="30"/>
        <v>16.099999999999909</v>
      </c>
      <c r="G195" s="75">
        <f t="shared" si="31"/>
        <v>-0.13277342061385111</v>
      </c>
      <c r="H195" s="75">
        <f>VLOOKUP($A195,'Data Vlaue (Cr)'!$C:$FB,99)</f>
        <v>1141</v>
      </c>
      <c r="I195" s="75">
        <f>VLOOKUP($A195,'Data Vlaue (Cr)'!$C:$FB,100)</f>
        <v>1125</v>
      </c>
      <c r="J195" s="75">
        <f t="shared" si="32"/>
        <v>16</v>
      </c>
      <c r="K195" s="75">
        <f t="shared" si="33"/>
        <v>1.4022787028921999</v>
      </c>
      <c r="L195" s="75">
        <f>VLOOKUP($A195,'Data Vlaue (Cr)'!$C:$FB,67)</f>
        <v>720</v>
      </c>
      <c r="M195" s="75">
        <f>VLOOKUP($A195,'Data Vlaue (Cr)'!$C:$FB,68)</f>
        <v>1236</v>
      </c>
      <c r="N195" s="75">
        <f t="shared" si="34"/>
        <v>-516</v>
      </c>
      <c r="O195" s="75">
        <f t="shared" si="35"/>
        <v>-71.666666666666671</v>
      </c>
      <c r="P195" s="75">
        <f>VLOOKUP($A195,'Data Vlaue (Cr)'!$C:$FB,119)</f>
        <v>0.69</v>
      </c>
      <c r="Q195" s="75">
        <f>VLOOKUP($A195,'Data Vlaue (Cr)'!$C:$FB,122)*100</f>
        <v>4.55</v>
      </c>
      <c r="R195" s="75">
        <f>VLOOKUP($A195,'Data Vlaue (Cr)'!$C:$FB,125)</f>
        <v>0.47</v>
      </c>
      <c r="S195" s="75">
        <f>VLOOKUP($A195,'Data Vlaue (Cr)'!$C:$FB,128)*100</f>
        <v>42.42</v>
      </c>
    </row>
    <row r="196" spans="1:19" x14ac:dyDescent="0.25">
      <c r="A196" s="96" t="str">
        <f>'Data Vlaue (Cr)'!C187</f>
        <v>SOLARINDS</v>
      </c>
      <c r="B196" s="75">
        <f>VLOOKUP($A196,'Data Vlaue (Cr)'!$C:$FB,2)</f>
        <v>50</v>
      </c>
      <c r="C196" s="75">
        <f>VLOOKUP($A196,'Data Vlaue (Cr)'!$C:$FB,8)</f>
        <v>13928</v>
      </c>
      <c r="D196" s="75">
        <f>VLOOKUP($A196,'Data Vlaue (Cr)'!$C:$FB,4)</f>
        <v>13996</v>
      </c>
      <c r="E196" s="75">
        <f>VLOOKUP($A196,'Data Vlaue (Cr)'!$C:$FB,5)</f>
        <v>13689</v>
      </c>
      <c r="F196" s="75">
        <f t="shared" si="30"/>
        <v>68</v>
      </c>
      <c r="G196" s="75">
        <f t="shared" si="31"/>
        <v>2.1934838525292939</v>
      </c>
      <c r="H196" s="75">
        <f>VLOOKUP($A196,'Data Vlaue (Cr)'!$C:$FB,99)</f>
        <v>1644</v>
      </c>
      <c r="I196" s="75">
        <f>VLOOKUP($A196,'Data Vlaue (Cr)'!$C:$FB,100)</f>
        <v>1549</v>
      </c>
      <c r="J196" s="75">
        <f t="shared" si="32"/>
        <v>95</v>
      </c>
      <c r="K196" s="75">
        <f t="shared" si="33"/>
        <v>5.778588807785888</v>
      </c>
      <c r="L196" s="75">
        <f>VLOOKUP($A196,'Data Vlaue (Cr)'!$C:$FB,67)</f>
        <v>1152</v>
      </c>
      <c r="M196" s="75">
        <f>VLOOKUP($A196,'Data Vlaue (Cr)'!$C:$FB,68)</f>
        <v>645</v>
      </c>
      <c r="N196" s="75">
        <f t="shared" si="34"/>
        <v>507</v>
      </c>
      <c r="O196" s="75">
        <f t="shared" si="35"/>
        <v>44.010416666666671</v>
      </c>
      <c r="P196" s="75">
        <f>VLOOKUP($A196,'Data Vlaue (Cr)'!$C:$FB,119)</f>
        <v>0.82</v>
      </c>
      <c r="Q196" s="75">
        <f>VLOOKUP($A196,'Data Vlaue (Cr)'!$C:$FB,122)*100</f>
        <v>-2.3800000000000003</v>
      </c>
      <c r="R196" s="75">
        <f>VLOOKUP($A196,'Data Vlaue (Cr)'!$C:$FB,125)</f>
        <v>0.34</v>
      </c>
      <c r="S196" s="75">
        <f>VLOOKUP($A196,'Data Vlaue (Cr)'!$C:$FB,128)*100</f>
        <v>-24.44</v>
      </c>
    </row>
    <row r="197" spans="1:19" x14ac:dyDescent="0.25">
      <c r="A197" s="96" t="str">
        <f>'Data Vlaue (Cr)'!C188</f>
        <v>SONACOMS</v>
      </c>
      <c r="B197" s="75">
        <f>VLOOKUP($A197,'Data Vlaue (Cr)'!$C:$FB,2)</f>
        <v>1225</v>
      </c>
      <c r="C197" s="75">
        <f>VLOOKUP($A197,'Data Vlaue (Cr)'!$C:$FB,8)</f>
        <v>523.04999999999995</v>
      </c>
      <c r="D197" s="75">
        <f>VLOOKUP($A197,'Data Vlaue (Cr)'!$C:$FB,4)</f>
        <v>523.4</v>
      </c>
      <c r="E197" s="75">
        <f>VLOOKUP($A197,'Data Vlaue (Cr)'!$C:$FB,5)</f>
        <v>536.20000000000005</v>
      </c>
      <c r="F197" s="75">
        <f t="shared" si="30"/>
        <v>0.35000000000002274</v>
      </c>
      <c r="G197" s="75">
        <f t="shared" si="31"/>
        <v>-2.4455483377913771</v>
      </c>
      <c r="H197" s="75">
        <f>VLOOKUP($A197,'Data Vlaue (Cr)'!$C:$FB,99)</f>
        <v>961</v>
      </c>
      <c r="I197" s="75">
        <f>VLOOKUP($A197,'Data Vlaue (Cr)'!$C:$FB,100)</f>
        <v>945</v>
      </c>
      <c r="J197" s="75">
        <f t="shared" si="32"/>
        <v>16</v>
      </c>
      <c r="K197" s="75">
        <f t="shared" si="33"/>
        <v>1.6649323621227889</v>
      </c>
      <c r="L197" s="75">
        <f>VLOOKUP($A197,'Data Vlaue (Cr)'!$C:$FB,67)</f>
        <v>382</v>
      </c>
      <c r="M197" s="75">
        <f>VLOOKUP($A197,'Data Vlaue (Cr)'!$C:$FB,68)</f>
        <v>639</v>
      </c>
      <c r="N197" s="75">
        <f t="shared" si="34"/>
        <v>-257</v>
      </c>
      <c r="O197" s="75">
        <f t="shared" si="35"/>
        <v>-67.277486910994767</v>
      </c>
      <c r="P197" s="75">
        <f>VLOOKUP($A197,'Data Vlaue (Cr)'!$C:$FB,119)</f>
        <v>0.69</v>
      </c>
      <c r="Q197" s="75">
        <f>VLOOKUP($A197,'Data Vlaue (Cr)'!$C:$FB,122)*100</f>
        <v>-9.2100000000000009</v>
      </c>
      <c r="R197" s="75">
        <f>VLOOKUP($A197,'Data Vlaue (Cr)'!$C:$FB,125)</f>
        <v>0.45</v>
      </c>
      <c r="S197" s="75">
        <f>VLOOKUP($A197,'Data Vlaue (Cr)'!$C:$FB,128)*100</f>
        <v>12.5</v>
      </c>
    </row>
    <row r="198" spans="1:19" x14ac:dyDescent="0.25">
      <c r="A198" s="96" t="str">
        <f>'Data Vlaue (Cr)'!C189</f>
        <v>SRF</v>
      </c>
      <c r="B198" s="75">
        <f>VLOOKUP($A198,'Data Vlaue (Cr)'!$C:$FB,2)</f>
        <v>200</v>
      </c>
      <c r="C198" s="75">
        <f>VLOOKUP($A198,'Data Vlaue (Cr)'!$C:$FB,8)</f>
        <v>2399.8000000000002</v>
      </c>
      <c r="D198" s="75">
        <f>VLOOKUP($A198,'Data Vlaue (Cr)'!$C:$FB,4)</f>
        <v>2411.6999999999998</v>
      </c>
      <c r="E198" s="75">
        <f>VLOOKUP($A198,'Data Vlaue (Cr)'!$C:$FB,5)</f>
        <v>2448.1</v>
      </c>
      <c r="F198" s="75">
        <f t="shared" si="30"/>
        <v>11.899999999999636</v>
      </c>
      <c r="G198" s="75">
        <f t="shared" si="31"/>
        <v>-1.5093087863332957</v>
      </c>
      <c r="H198" s="75">
        <f>VLOOKUP($A198,'Data Vlaue (Cr)'!$C:$FB,99)</f>
        <v>1677</v>
      </c>
      <c r="I198" s="75">
        <f>VLOOKUP($A198,'Data Vlaue (Cr)'!$C:$FB,100)</f>
        <v>1556</v>
      </c>
      <c r="J198" s="75">
        <f t="shared" si="32"/>
        <v>121</v>
      </c>
      <c r="K198" s="75">
        <f t="shared" si="33"/>
        <v>7.2152653548002395</v>
      </c>
      <c r="L198" s="75">
        <f>VLOOKUP($A198,'Data Vlaue (Cr)'!$C:$FB,67)</f>
        <v>815</v>
      </c>
      <c r="M198" s="75">
        <f>VLOOKUP($A198,'Data Vlaue (Cr)'!$C:$FB,68)</f>
        <v>1201</v>
      </c>
      <c r="N198" s="75">
        <f t="shared" si="34"/>
        <v>-386</v>
      </c>
      <c r="O198" s="75">
        <f t="shared" si="35"/>
        <v>-47.361963190184049</v>
      </c>
      <c r="P198" s="75">
        <f>VLOOKUP($A198,'Data Vlaue (Cr)'!$C:$FB,119)</f>
        <v>0.67</v>
      </c>
      <c r="Q198" s="75">
        <f>VLOOKUP($A198,'Data Vlaue (Cr)'!$C:$FB,122)*100</f>
        <v>-6.94</v>
      </c>
      <c r="R198" s="75">
        <f>VLOOKUP($A198,'Data Vlaue (Cr)'!$C:$FB,125)</f>
        <v>0.42</v>
      </c>
      <c r="S198" s="75">
        <f>VLOOKUP($A198,'Data Vlaue (Cr)'!$C:$FB,128)*100</f>
        <v>13.51</v>
      </c>
    </row>
    <row r="199" spans="1:19" x14ac:dyDescent="0.25">
      <c r="A199" s="96" t="str">
        <f>'Data Vlaue (Cr)'!C190</f>
        <v>SUNPHARMA</v>
      </c>
      <c r="B199" s="75">
        <f>VLOOKUP($A199,'Data Vlaue (Cr)'!$C:$FB,2)</f>
        <v>350</v>
      </c>
      <c r="C199" s="75">
        <f>VLOOKUP($A199,'Data Vlaue (Cr)'!$C:$FB,8)</f>
        <v>1717.1</v>
      </c>
      <c r="D199" s="75">
        <f>VLOOKUP($A199,'Data Vlaue (Cr)'!$C:$FB,4)</f>
        <v>1725</v>
      </c>
      <c r="E199" s="75">
        <f>VLOOKUP($A199,'Data Vlaue (Cr)'!$C:$FB,5)</f>
        <v>1722.5</v>
      </c>
      <c r="F199" s="75">
        <f t="shared" si="30"/>
        <v>7.9000000000000909</v>
      </c>
      <c r="G199" s="75">
        <f t="shared" si="31"/>
        <v>0.14492753623188406</v>
      </c>
      <c r="H199" s="75">
        <f>VLOOKUP($A199,'Data Vlaue (Cr)'!$C:$FB,99)</f>
        <v>4797</v>
      </c>
      <c r="I199" s="75">
        <f>VLOOKUP($A199,'Data Vlaue (Cr)'!$C:$FB,100)</f>
        <v>4775</v>
      </c>
      <c r="J199" s="75">
        <f t="shared" si="32"/>
        <v>22</v>
      </c>
      <c r="K199" s="75">
        <f t="shared" si="33"/>
        <v>0.45861997081509276</v>
      </c>
      <c r="L199" s="75">
        <f>VLOOKUP($A199,'Data Vlaue (Cr)'!$C:$FB,67)</f>
        <v>1948</v>
      </c>
      <c r="M199" s="75">
        <f>VLOOKUP($A199,'Data Vlaue (Cr)'!$C:$FB,68)</f>
        <v>3862</v>
      </c>
      <c r="N199" s="75">
        <f t="shared" si="34"/>
        <v>-1914</v>
      </c>
      <c r="O199" s="75">
        <f t="shared" si="35"/>
        <v>-98.254620123203281</v>
      </c>
      <c r="P199" s="75">
        <f>VLOOKUP($A199,'Data Vlaue (Cr)'!$C:$FB,119)</f>
        <v>0.89</v>
      </c>
      <c r="Q199" s="75">
        <f>VLOOKUP($A199,'Data Vlaue (Cr)'!$C:$FB,122)*100</f>
        <v>1.1400000000000001</v>
      </c>
      <c r="R199" s="75">
        <f>VLOOKUP($A199,'Data Vlaue (Cr)'!$C:$FB,125)</f>
        <v>0.62</v>
      </c>
      <c r="S199" s="75">
        <f>VLOOKUP($A199,'Data Vlaue (Cr)'!$C:$FB,128)*100</f>
        <v>-7.46</v>
      </c>
    </row>
    <row r="200" spans="1:19" x14ac:dyDescent="0.25">
      <c r="A200" s="96" t="str">
        <f>'Data Vlaue (Cr)'!C191</f>
        <v>SUPREMEIND</v>
      </c>
      <c r="B200" s="75">
        <f>VLOOKUP($A200,'Data Vlaue (Cr)'!$C:$FB,2)</f>
        <v>175</v>
      </c>
      <c r="C200" s="75">
        <f>VLOOKUP($A200,'Data Vlaue (Cr)'!$C:$FB,8)</f>
        <v>3771.9</v>
      </c>
      <c r="D200" s="75">
        <f>VLOOKUP($A200,'Data Vlaue (Cr)'!$C:$FB,4)</f>
        <v>3790</v>
      </c>
      <c r="E200" s="75">
        <f>VLOOKUP($A200,'Data Vlaue (Cr)'!$C:$FB,5)</f>
        <v>3804.4</v>
      </c>
      <c r="F200" s="75">
        <f t="shared" si="30"/>
        <v>18.099999999999909</v>
      </c>
      <c r="G200" s="75">
        <f t="shared" si="31"/>
        <v>-0.3799472295514536</v>
      </c>
      <c r="H200" s="75">
        <f>VLOOKUP($A200,'Data Vlaue (Cr)'!$C:$FB,99)</f>
        <v>1073</v>
      </c>
      <c r="I200" s="75">
        <f>VLOOKUP($A200,'Data Vlaue (Cr)'!$C:$FB,100)</f>
        <v>998</v>
      </c>
      <c r="J200" s="75">
        <f t="shared" si="32"/>
        <v>75</v>
      </c>
      <c r="K200" s="75">
        <f t="shared" si="33"/>
        <v>6.9897483690587139</v>
      </c>
      <c r="L200" s="75">
        <f>VLOOKUP($A200,'Data Vlaue (Cr)'!$C:$FB,67)</f>
        <v>399</v>
      </c>
      <c r="M200" s="75">
        <f>VLOOKUP($A200,'Data Vlaue (Cr)'!$C:$FB,68)</f>
        <v>511</v>
      </c>
      <c r="N200" s="75">
        <f t="shared" si="34"/>
        <v>-112</v>
      </c>
      <c r="O200" s="75">
        <f t="shared" si="35"/>
        <v>-28.07017543859649</v>
      </c>
      <c r="P200" s="75">
        <f>VLOOKUP($A200,'Data Vlaue (Cr)'!$C:$FB,119)</f>
        <v>0.64</v>
      </c>
      <c r="Q200" s="75">
        <f>VLOOKUP($A200,'Data Vlaue (Cr)'!$C:$FB,122)*100</f>
        <v>-18.990000000000002</v>
      </c>
      <c r="R200" s="75">
        <f>VLOOKUP($A200,'Data Vlaue (Cr)'!$C:$FB,125)</f>
        <v>0.44</v>
      </c>
      <c r="S200" s="75">
        <f>VLOOKUP($A200,'Data Vlaue (Cr)'!$C:$FB,128)*100</f>
        <v>-47.620000000000005</v>
      </c>
    </row>
    <row r="201" spans="1:19" x14ac:dyDescent="0.25">
      <c r="A201" s="96" t="str">
        <f>'Data Vlaue (Cr)'!C192</f>
        <v>SUZLON</v>
      </c>
      <c r="B201" s="75">
        <f>VLOOKUP($A201,'Data Vlaue (Cr)'!$C:$FB,2)</f>
        <v>9025</v>
      </c>
      <c r="C201" s="75">
        <f>VLOOKUP($A201,'Data Vlaue (Cr)'!$C:$FB,8)</f>
        <v>44.23</v>
      </c>
      <c r="D201" s="75">
        <f>VLOOKUP($A201,'Data Vlaue (Cr)'!$C:$FB,4)</f>
        <v>44.38</v>
      </c>
      <c r="E201" s="75">
        <f>VLOOKUP($A201,'Data Vlaue (Cr)'!$C:$FB,5)</f>
        <v>44.45</v>
      </c>
      <c r="F201" s="75">
        <f t="shared" si="30"/>
        <v>0.15000000000000568</v>
      </c>
      <c r="G201" s="75">
        <f t="shared" si="31"/>
        <v>-0.15772870662460631</v>
      </c>
      <c r="H201" s="75">
        <f>VLOOKUP($A201,'Data Vlaue (Cr)'!$C:$FB,99)</f>
        <v>2097</v>
      </c>
      <c r="I201" s="75">
        <f>VLOOKUP($A201,'Data Vlaue (Cr)'!$C:$FB,100)</f>
        <v>2031</v>
      </c>
      <c r="J201" s="75">
        <f t="shared" si="32"/>
        <v>66</v>
      </c>
      <c r="K201" s="75">
        <f t="shared" si="33"/>
        <v>3.1473533619456364</v>
      </c>
      <c r="L201" s="75">
        <f>VLOOKUP($A201,'Data Vlaue (Cr)'!$C:$FB,67)</f>
        <v>930</v>
      </c>
      <c r="M201" s="75">
        <f>VLOOKUP($A201,'Data Vlaue (Cr)'!$C:$FB,68)</f>
        <v>1486</v>
      </c>
      <c r="N201" s="75">
        <f t="shared" si="34"/>
        <v>-556</v>
      </c>
      <c r="O201" s="75">
        <f t="shared" si="35"/>
        <v>-59.784946236559144</v>
      </c>
      <c r="P201" s="75">
        <f>VLOOKUP($A201,'Data Vlaue (Cr)'!$C:$FB,119)</f>
        <v>0.46</v>
      </c>
      <c r="Q201" s="75">
        <f>VLOOKUP($A201,'Data Vlaue (Cr)'!$C:$FB,122)*100</f>
        <v>-2.13</v>
      </c>
      <c r="R201" s="75">
        <f>VLOOKUP($A201,'Data Vlaue (Cr)'!$C:$FB,125)</f>
        <v>0.41</v>
      </c>
      <c r="S201" s="75">
        <f>VLOOKUP($A201,'Data Vlaue (Cr)'!$C:$FB,128)*100</f>
        <v>32.26</v>
      </c>
    </row>
    <row r="202" spans="1:19" x14ac:dyDescent="0.25">
      <c r="A202" s="96" t="str">
        <f>'Data Vlaue (Cr)'!C193</f>
        <v>SWIGGY</v>
      </c>
      <c r="B202" s="75">
        <f>VLOOKUP($A202,'Data Vlaue (Cr)'!$C:$FB,2)</f>
        <v>1300</v>
      </c>
      <c r="C202" s="75">
        <f>VLOOKUP($A202,'Data Vlaue (Cr)'!$C:$FB,8)</f>
        <v>271.89999999999998</v>
      </c>
      <c r="D202" s="75">
        <f>VLOOKUP($A202,'Data Vlaue (Cr)'!$C:$FB,4)</f>
        <v>272.64999999999998</v>
      </c>
      <c r="E202" s="75">
        <f>VLOOKUP($A202,'Data Vlaue (Cr)'!$C:$FB,5)</f>
        <v>279.10000000000002</v>
      </c>
      <c r="F202" s="75">
        <f t="shared" si="30"/>
        <v>0.75</v>
      </c>
      <c r="G202" s="75">
        <f t="shared" si="31"/>
        <v>-2.3656702732441026</v>
      </c>
      <c r="H202" s="75">
        <f>VLOOKUP($A202,'Data Vlaue (Cr)'!$C:$FB,99)</f>
        <v>1707</v>
      </c>
      <c r="I202" s="75">
        <f>VLOOKUP($A202,'Data Vlaue (Cr)'!$C:$FB,100)</f>
        <v>1672</v>
      </c>
      <c r="J202" s="75">
        <f t="shared" si="32"/>
        <v>35</v>
      </c>
      <c r="K202" s="75">
        <f t="shared" si="33"/>
        <v>2.0503807850029294</v>
      </c>
      <c r="L202" s="75">
        <f>VLOOKUP($A202,'Data Vlaue (Cr)'!$C:$FB,67)</f>
        <v>472</v>
      </c>
      <c r="M202" s="75">
        <f>VLOOKUP($A202,'Data Vlaue (Cr)'!$C:$FB,68)</f>
        <v>556</v>
      </c>
      <c r="N202" s="75">
        <f t="shared" si="34"/>
        <v>-84</v>
      </c>
      <c r="O202" s="75">
        <f t="shared" si="35"/>
        <v>-17.796610169491526</v>
      </c>
      <c r="P202" s="75">
        <f>VLOOKUP($A202,'Data Vlaue (Cr)'!$C:$FB,119)</f>
        <v>0.65</v>
      </c>
      <c r="Q202" s="75">
        <f>VLOOKUP($A202,'Data Vlaue (Cr)'!$C:$FB,122)*100</f>
        <v>-7.1400000000000006</v>
      </c>
      <c r="R202" s="75">
        <f>VLOOKUP($A202,'Data Vlaue (Cr)'!$C:$FB,125)</f>
        <v>0.46</v>
      </c>
      <c r="S202" s="75">
        <f>VLOOKUP($A202,'Data Vlaue (Cr)'!$C:$FB,128)*100</f>
        <v>9.5200000000000014</v>
      </c>
    </row>
    <row r="203" spans="1:19" x14ac:dyDescent="0.25">
      <c r="A203" s="96" t="str">
        <f>'Data Vlaue (Cr)'!C194</f>
        <v>TATACONSUM</v>
      </c>
      <c r="B203" s="75">
        <f>VLOOKUP($A203,'Data Vlaue (Cr)'!$C:$FB,2)</f>
        <v>550</v>
      </c>
      <c r="C203" s="75">
        <f>VLOOKUP($A203,'Data Vlaue (Cr)'!$C:$FB,8)</f>
        <v>1078</v>
      </c>
      <c r="D203" s="75">
        <f>VLOOKUP($A203,'Data Vlaue (Cr)'!$C:$FB,4)</f>
        <v>1082.5</v>
      </c>
      <c r="E203" s="75">
        <f>VLOOKUP($A203,'Data Vlaue (Cr)'!$C:$FB,5)</f>
        <v>1073.9000000000001</v>
      </c>
      <c r="F203" s="75">
        <f t="shared" si="30"/>
        <v>4.5</v>
      </c>
      <c r="G203" s="75">
        <f t="shared" si="31"/>
        <v>0.79445727482678141</v>
      </c>
      <c r="H203" s="75">
        <f>VLOOKUP($A203,'Data Vlaue (Cr)'!$C:$FB,99)</f>
        <v>1864</v>
      </c>
      <c r="I203" s="75">
        <f>VLOOKUP($A203,'Data Vlaue (Cr)'!$C:$FB,100)</f>
        <v>1830</v>
      </c>
      <c r="J203" s="75">
        <f t="shared" si="32"/>
        <v>34</v>
      </c>
      <c r="K203" s="75">
        <f t="shared" si="33"/>
        <v>1.8240343347639485</v>
      </c>
      <c r="L203" s="75">
        <f>VLOOKUP($A203,'Data Vlaue (Cr)'!$C:$FB,67)</f>
        <v>481</v>
      </c>
      <c r="M203" s="75">
        <f>VLOOKUP($A203,'Data Vlaue (Cr)'!$C:$FB,68)</f>
        <v>603</v>
      </c>
      <c r="N203" s="75">
        <f t="shared" si="34"/>
        <v>-122</v>
      </c>
      <c r="O203" s="75">
        <f t="shared" si="35"/>
        <v>-25.363825363825367</v>
      </c>
      <c r="P203" s="75">
        <f>VLOOKUP($A203,'Data Vlaue (Cr)'!$C:$FB,119)</f>
        <v>1.56</v>
      </c>
      <c r="Q203" s="75">
        <f>VLOOKUP($A203,'Data Vlaue (Cr)'!$C:$FB,122)*100</f>
        <v>2.63</v>
      </c>
      <c r="R203" s="75">
        <f>VLOOKUP($A203,'Data Vlaue (Cr)'!$C:$FB,125)</f>
        <v>0.37</v>
      </c>
      <c r="S203" s="75">
        <f>VLOOKUP($A203,'Data Vlaue (Cr)'!$C:$FB,128)*100</f>
        <v>-7.5</v>
      </c>
    </row>
    <row r="204" spans="1:19" x14ac:dyDescent="0.25">
      <c r="A204" s="96" t="str">
        <f>'Data Vlaue (Cr)'!C195</f>
        <v>TATAELXSI</v>
      </c>
      <c r="B204" s="75">
        <f>VLOOKUP($A204,'Data Vlaue (Cr)'!$C:$FB,2)</f>
        <v>100</v>
      </c>
      <c r="C204" s="75">
        <f>VLOOKUP($A204,'Data Vlaue (Cr)'!$C:$FB,8)</f>
        <v>4452</v>
      </c>
      <c r="D204" s="75">
        <f>VLOOKUP($A204,'Data Vlaue (Cr)'!$C:$FB,4)</f>
        <v>4460.2</v>
      </c>
      <c r="E204" s="75">
        <f>VLOOKUP($A204,'Data Vlaue (Cr)'!$C:$FB,5)</f>
        <v>4441.7</v>
      </c>
      <c r="F204" s="75">
        <f t="shared" si="30"/>
        <v>8.1999999999998181</v>
      </c>
      <c r="G204" s="75">
        <f t="shared" si="31"/>
        <v>0.41477960629568184</v>
      </c>
      <c r="H204" s="75">
        <f>VLOOKUP($A204,'Data Vlaue (Cr)'!$C:$FB,99)</f>
        <v>1212</v>
      </c>
      <c r="I204" s="75">
        <f>VLOOKUP($A204,'Data Vlaue (Cr)'!$C:$FB,100)</f>
        <v>1168</v>
      </c>
      <c r="J204" s="75">
        <f t="shared" si="32"/>
        <v>44</v>
      </c>
      <c r="K204" s="75">
        <f t="shared" si="33"/>
        <v>3.6303630363036308</v>
      </c>
      <c r="L204" s="75">
        <f>VLOOKUP($A204,'Data Vlaue (Cr)'!$C:$FB,67)</f>
        <v>684</v>
      </c>
      <c r="M204" s="75">
        <f>VLOOKUP($A204,'Data Vlaue (Cr)'!$C:$FB,68)</f>
        <v>876</v>
      </c>
      <c r="N204" s="75">
        <f t="shared" si="34"/>
        <v>-192</v>
      </c>
      <c r="O204" s="75">
        <f t="shared" si="35"/>
        <v>-28.07017543859649</v>
      </c>
      <c r="P204" s="75">
        <f>VLOOKUP($A204,'Data Vlaue (Cr)'!$C:$FB,119)</f>
        <v>0.74</v>
      </c>
      <c r="Q204" s="75">
        <f>VLOOKUP($A204,'Data Vlaue (Cr)'!$C:$FB,122)*100</f>
        <v>12.120000000000001</v>
      </c>
      <c r="R204" s="75">
        <f>VLOOKUP($A204,'Data Vlaue (Cr)'!$C:$FB,125)</f>
        <v>0.59</v>
      </c>
      <c r="S204" s="75">
        <f>VLOOKUP($A204,'Data Vlaue (Cr)'!$C:$FB,128)*100</f>
        <v>22.919999999999998</v>
      </c>
    </row>
    <row r="205" spans="1:19" x14ac:dyDescent="0.25">
      <c r="A205" s="96" t="str">
        <f>'Data Vlaue (Cr)'!C196</f>
        <v>TATAPOWER</v>
      </c>
      <c r="B205" s="75">
        <f>VLOOKUP($A205,'Data Vlaue (Cr)'!$C:$FB,2)</f>
        <v>1450</v>
      </c>
      <c r="C205" s="75">
        <f>VLOOKUP($A205,'Data Vlaue (Cr)'!$C:$FB,8)</f>
        <v>394.7</v>
      </c>
      <c r="D205" s="75">
        <f>VLOOKUP($A205,'Data Vlaue (Cr)'!$C:$FB,4)</f>
        <v>396.85</v>
      </c>
      <c r="E205" s="75">
        <f>VLOOKUP($A205,'Data Vlaue (Cr)'!$C:$FB,5)</f>
        <v>397.05</v>
      </c>
      <c r="F205" s="75">
        <f t="shared" si="30"/>
        <v>2.1500000000000341</v>
      </c>
      <c r="G205" s="75">
        <f t="shared" si="31"/>
        <v>-5.0396875393722722E-2</v>
      </c>
      <c r="H205" s="75">
        <f>VLOOKUP($A205,'Data Vlaue (Cr)'!$C:$FB,99)</f>
        <v>4243</v>
      </c>
      <c r="I205" s="75">
        <f>VLOOKUP($A205,'Data Vlaue (Cr)'!$C:$FB,100)</f>
        <v>4065</v>
      </c>
      <c r="J205" s="75">
        <f t="shared" si="32"/>
        <v>178</v>
      </c>
      <c r="K205" s="75">
        <f t="shared" si="33"/>
        <v>4.1951449446146594</v>
      </c>
      <c r="L205" s="75">
        <f>VLOOKUP($A205,'Data Vlaue (Cr)'!$C:$FB,67)</f>
        <v>1478</v>
      </c>
      <c r="M205" s="75">
        <f>VLOOKUP($A205,'Data Vlaue (Cr)'!$C:$FB,68)</f>
        <v>2508</v>
      </c>
      <c r="N205" s="75">
        <f t="shared" si="34"/>
        <v>-1030</v>
      </c>
      <c r="O205" s="75">
        <f t="shared" si="35"/>
        <v>-69.688768606224627</v>
      </c>
      <c r="P205" s="75">
        <f>VLOOKUP($A205,'Data Vlaue (Cr)'!$C:$FB,119)</f>
        <v>0.7</v>
      </c>
      <c r="Q205" s="75">
        <f>VLOOKUP($A205,'Data Vlaue (Cr)'!$C:$FB,122)*100</f>
        <v>1.4500000000000002</v>
      </c>
      <c r="R205" s="75">
        <f>VLOOKUP($A205,'Data Vlaue (Cr)'!$C:$FB,125)</f>
        <v>0.37</v>
      </c>
      <c r="S205" s="75">
        <f>VLOOKUP($A205,'Data Vlaue (Cr)'!$C:$FB,128)*100</f>
        <v>8.82</v>
      </c>
    </row>
    <row r="206" spans="1:19" x14ac:dyDescent="0.25">
      <c r="A206" s="96" t="str">
        <f>'Data Vlaue (Cr)'!C197</f>
        <v>TATASTEEL</v>
      </c>
      <c r="B206" s="75">
        <f>VLOOKUP($A206,'Data Vlaue (Cr)'!$C:$FB,2)</f>
        <v>5500</v>
      </c>
      <c r="C206" s="75">
        <f>VLOOKUP($A206,'Data Vlaue (Cr)'!$C:$FB,8)</f>
        <v>205.2</v>
      </c>
      <c r="D206" s="75">
        <f>VLOOKUP($A206,'Data Vlaue (Cr)'!$C:$FB,4)</f>
        <v>206.19</v>
      </c>
      <c r="E206" s="75">
        <f>VLOOKUP($A206,'Data Vlaue (Cr)'!$C:$FB,5)</f>
        <v>205.23</v>
      </c>
      <c r="F206" s="75">
        <f t="shared" si="30"/>
        <v>0.99000000000000909</v>
      </c>
      <c r="G206" s="75">
        <f t="shared" si="31"/>
        <v>0.46558998981522287</v>
      </c>
      <c r="H206" s="75">
        <f>VLOOKUP($A206,'Data Vlaue (Cr)'!$C:$FB,99)</f>
        <v>7809</v>
      </c>
      <c r="I206" s="75">
        <f>VLOOKUP($A206,'Data Vlaue (Cr)'!$C:$FB,100)</f>
        <v>7435</v>
      </c>
      <c r="J206" s="75">
        <f t="shared" si="32"/>
        <v>374</v>
      </c>
      <c r="K206" s="75">
        <f t="shared" si="33"/>
        <v>4.7893456268408245</v>
      </c>
      <c r="L206" s="75">
        <f>VLOOKUP($A206,'Data Vlaue (Cr)'!$C:$FB,67)</f>
        <v>4970</v>
      </c>
      <c r="M206" s="75">
        <f>VLOOKUP($A206,'Data Vlaue (Cr)'!$C:$FB,68)</f>
        <v>5817</v>
      </c>
      <c r="N206" s="75">
        <f t="shared" si="34"/>
        <v>-847</v>
      </c>
      <c r="O206" s="75">
        <f t="shared" si="35"/>
        <v>-17.04225352112676</v>
      </c>
      <c r="P206" s="75">
        <f>VLOOKUP($A206,'Data Vlaue (Cr)'!$C:$FB,119)</f>
        <v>0.78</v>
      </c>
      <c r="Q206" s="75">
        <f>VLOOKUP($A206,'Data Vlaue (Cr)'!$C:$FB,122)*100</f>
        <v>4</v>
      </c>
      <c r="R206" s="75">
        <f>VLOOKUP($A206,'Data Vlaue (Cr)'!$C:$FB,125)</f>
        <v>0.68</v>
      </c>
      <c r="S206" s="75">
        <f>VLOOKUP($A206,'Data Vlaue (Cr)'!$C:$FB,128)*100</f>
        <v>-10.530000000000001</v>
      </c>
    </row>
    <row r="207" spans="1:19" x14ac:dyDescent="0.25">
      <c r="A207" s="96" t="str">
        <f>'Data Vlaue (Cr)'!C198</f>
        <v>TATATECH</v>
      </c>
      <c r="B207" s="75">
        <f>VLOOKUP($A207,'Data Vlaue (Cr)'!$C:$FB,2)</f>
        <v>800</v>
      </c>
      <c r="C207" s="75">
        <f>VLOOKUP($A207,'Data Vlaue (Cr)'!$C:$FB,8)</f>
        <v>558.9</v>
      </c>
      <c r="D207" s="75">
        <f>VLOOKUP($A207,'Data Vlaue (Cr)'!$C:$FB,4)</f>
        <v>562.65</v>
      </c>
      <c r="E207" s="75">
        <f>VLOOKUP($A207,'Data Vlaue (Cr)'!$C:$FB,5)</f>
        <v>563</v>
      </c>
      <c r="F207" s="75">
        <f t="shared" si="30"/>
        <v>3.75</v>
      </c>
      <c r="G207" s="75">
        <f t="shared" si="31"/>
        <v>-6.2205634053145435E-2</v>
      </c>
      <c r="H207" s="75">
        <f>VLOOKUP($A207,'Data Vlaue (Cr)'!$C:$FB,99)</f>
        <v>595</v>
      </c>
      <c r="I207" s="75">
        <f>VLOOKUP($A207,'Data Vlaue (Cr)'!$C:$FB,100)</f>
        <v>612</v>
      </c>
      <c r="J207" s="75">
        <f t="shared" si="32"/>
        <v>-17</v>
      </c>
      <c r="K207" s="75">
        <f t="shared" si="33"/>
        <v>-2.8571428571428572</v>
      </c>
      <c r="L207" s="75">
        <f>VLOOKUP($A207,'Data Vlaue (Cr)'!$C:$FB,67)</f>
        <v>134</v>
      </c>
      <c r="M207" s="75">
        <f>VLOOKUP($A207,'Data Vlaue (Cr)'!$C:$FB,68)</f>
        <v>204</v>
      </c>
      <c r="N207" s="75">
        <f t="shared" si="34"/>
        <v>-70</v>
      </c>
      <c r="O207" s="75">
        <f t="shared" si="35"/>
        <v>-52.238805970149251</v>
      </c>
      <c r="P207" s="75">
        <f>VLOOKUP($A207,'Data Vlaue (Cr)'!$C:$FB,119)</f>
        <v>0.86</v>
      </c>
      <c r="Q207" s="75">
        <f>VLOOKUP($A207,'Data Vlaue (Cr)'!$C:$FB,122)*100</f>
        <v>11.690000000000001</v>
      </c>
      <c r="R207" s="75">
        <f>VLOOKUP($A207,'Data Vlaue (Cr)'!$C:$FB,125)</f>
        <v>0.22</v>
      </c>
      <c r="S207" s="75">
        <f>VLOOKUP($A207,'Data Vlaue (Cr)'!$C:$FB,128)*100</f>
        <v>-38.89</v>
      </c>
    </row>
    <row r="208" spans="1:19" x14ac:dyDescent="0.25">
      <c r="A208" s="96" t="str">
        <f>'Data Vlaue (Cr)'!C199</f>
        <v>TCS</v>
      </c>
      <c r="B208" s="75">
        <f>VLOOKUP($A208,'Data Vlaue (Cr)'!$C:$FB,2)</f>
        <v>175</v>
      </c>
      <c r="C208" s="75">
        <f>VLOOKUP($A208,'Data Vlaue (Cr)'!$C:$FB,8)</f>
        <v>2589</v>
      </c>
      <c r="D208" s="75">
        <f>VLOOKUP($A208,'Data Vlaue (Cr)'!$C:$FB,4)</f>
        <v>2588</v>
      </c>
      <c r="E208" s="75">
        <f>VLOOKUP($A208,'Data Vlaue (Cr)'!$C:$FB,5)</f>
        <v>2563.4</v>
      </c>
      <c r="F208" s="75">
        <f t="shared" si="30"/>
        <v>-1</v>
      </c>
      <c r="G208" s="75">
        <f t="shared" si="31"/>
        <v>0.95054095826893004</v>
      </c>
      <c r="H208" s="75">
        <f>VLOOKUP($A208,'Data Vlaue (Cr)'!$C:$FB,99)</f>
        <v>15556</v>
      </c>
      <c r="I208" s="75">
        <f>VLOOKUP($A208,'Data Vlaue (Cr)'!$C:$FB,100)</f>
        <v>13293</v>
      </c>
      <c r="J208" s="75">
        <f t="shared" si="32"/>
        <v>2263</v>
      </c>
      <c r="K208" s="75">
        <f t="shared" si="33"/>
        <v>14.547441501671383</v>
      </c>
      <c r="L208" s="75">
        <f>VLOOKUP($A208,'Data Vlaue (Cr)'!$C:$FB,67)</f>
        <v>17197</v>
      </c>
      <c r="M208" s="75">
        <f>VLOOKUP($A208,'Data Vlaue (Cr)'!$C:$FB,68)</f>
        <v>8117</v>
      </c>
      <c r="N208" s="75">
        <f t="shared" si="34"/>
        <v>9080</v>
      </c>
      <c r="O208" s="75">
        <f t="shared" si="35"/>
        <v>52.799906960516374</v>
      </c>
      <c r="P208" s="75">
        <f>VLOOKUP($A208,'Data Vlaue (Cr)'!$C:$FB,119)</f>
        <v>0.72</v>
      </c>
      <c r="Q208" s="75">
        <f>VLOOKUP($A208,'Data Vlaue (Cr)'!$C:$FB,122)*100</f>
        <v>-23.400000000000002</v>
      </c>
      <c r="R208" s="75">
        <f>VLOOKUP($A208,'Data Vlaue (Cr)'!$C:$FB,125)</f>
        <v>0.51</v>
      </c>
      <c r="S208" s="75">
        <f>VLOOKUP($A208,'Data Vlaue (Cr)'!$C:$FB,128)*100</f>
        <v>-1.92</v>
      </c>
    </row>
    <row r="209" spans="1:19" x14ac:dyDescent="0.25">
      <c r="A209" s="96" t="str">
        <f>'Data Vlaue (Cr)'!C200</f>
        <v>TECHM</v>
      </c>
      <c r="B209" s="75">
        <f>VLOOKUP($A209,'Data Vlaue (Cr)'!$C:$FB,2)</f>
        <v>600</v>
      </c>
      <c r="C209" s="75">
        <f>VLOOKUP($A209,'Data Vlaue (Cr)'!$C:$FB,8)</f>
        <v>1461.6</v>
      </c>
      <c r="D209" s="75">
        <f>VLOOKUP($A209,'Data Vlaue (Cr)'!$C:$FB,4)</f>
        <v>1464.6</v>
      </c>
      <c r="E209" s="75">
        <f>VLOOKUP($A209,'Data Vlaue (Cr)'!$C:$FB,5)</f>
        <v>1456</v>
      </c>
      <c r="F209" s="75">
        <f t="shared" si="30"/>
        <v>3</v>
      </c>
      <c r="G209" s="75">
        <f t="shared" si="31"/>
        <v>0.58719104192270311</v>
      </c>
      <c r="H209" s="75">
        <f>VLOOKUP($A209,'Data Vlaue (Cr)'!$C:$FB,99)</f>
        <v>4013</v>
      </c>
      <c r="I209" s="75">
        <f>VLOOKUP($A209,'Data Vlaue (Cr)'!$C:$FB,100)</f>
        <v>4078</v>
      </c>
      <c r="J209" s="75">
        <f t="shared" si="32"/>
        <v>-65</v>
      </c>
      <c r="K209" s="75">
        <f t="shared" si="33"/>
        <v>-1.619735858460005</v>
      </c>
      <c r="L209" s="75">
        <f>VLOOKUP($A209,'Data Vlaue (Cr)'!$C:$FB,67)</f>
        <v>2140</v>
      </c>
      <c r="M209" s="75">
        <f>VLOOKUP($A209,'Data Vlaue (Cr)'!$C:$FB,68)</f>
        <v>2714</v>
      </c>
      <c r="N209" s="75">
        <f t="shared" si="34"/>
        <v>-574</v>
      </c>
      <c r="O209" s="75">
        <f t="shared" si="35"/>
        <v>-26.822429906542055</v>
      </c>
      <c r="P209" s="75">
        <f>VLOOKUP($A209,'Data Vlaue (Cr)'!$C:$FB,119)</f>
        <v>0.79</v>
      </c>
      <c r="Q209" s="75">
        <f>VLOOKUP($A209,'Data Vlaue (Cr)'!$C:$FB,122)*100</f>
        <v>-2.4699999999999998</v>
      </c>
      <c r="R209" s="75">
        <f>VLOOKUP($A209,'Data Vlaue (Cr)'!$C:$FB,125)</f>
        <v>0.59</v>
      </c>
      <c r="S209" s="75">
        <f>VLOOKUP($A209,'Data Vlaue (Cr)'!$C:$FB,128)*100</f>
        <v>-13.239999999999998</v>
      </c>
    </row>
    <row r="210" spans="1:19" x14ac:dyDescent="0.25">
      <c r="A210" s="96" t="str">
        <f>'Data Vlaue (Cr)'!C201</f>
        <v>TIINDIA</v>
      </c>
      <c r="B210" s="75">
        <f>VLOOKUP($A210,'Data Vlaue (Cr)'!$C:$FB,2)</f>
        <v>200</v>
      </c>
      <c r="C210" s="75">
        <f>VLOOKUP($A210,'Data Vlaue (Cr)'!$C:$FB,8)</f>
        <v>2743.3</v>
      </c>
      <c r="D210" s="75">
        <f>VLOOKUP($A210,'Data Vlaue (Cr)'!$C:$FB,4)</f>
        <v>2752.1</v>
      </c>
      <c r="E210" s="75">
        <f>VLOOKUP($A210,'Data Vlaue (Cr)'!$C:$FB,5)</f>
        <v>2742</v>
      </c>
      <c r="F210" s="75">
        <f t="shared" si="30"/>
        <v>8.7999999999997272</v>
      </c>
      <c r="G210" s="75">
        <f t="shared" si="31"/>
        <v>0.36699247847098249</v>
      </c>
      <c r="H210" s="75">
        <f>VLOOKUP($A210,'Data Vlaue (Cr)'!$C:$FB,99)</f>
        <v>845</v>
      </c>
      <c r="I210" s="75">
        <f>VLOOKUP($A210,'Data Vlaue (Cr)'!$C:$FB,100)</f>
        <v>827</v>
      </c>
      <c r="J210" s="75">
        <f t="shared" si="32"/>
        <v>18</v>
      </c>
      <c r="K210" s="75">
        <f t="shared" si="33"/>
        <v>2.1301775147928992</v>
      </c>
      <c r="L210" s="75">
        <f>VLOOKUP($A210,'Data Vlaue (Cr)'!$C:$FB,67)</f>
        <v>125</v>
      </c>
      <c r="M210" s="75">
        <f>VLOOKUP($A210,'Data Vlaue (Cr)'!$C:$FB,68)</f>
        <v>273</v>
      </c>
      <c r="N210" s="75">
        <f t="shared" si="34"/>
        <v>-148</v>
      </c>
      <c r="O210" s="75">
        <f t="shared" si="35"/>
        <v>-118.39999999999999</v>
      </c>
      <c r="P210" s="75">
        <f>VLOOKUP($A210,'Data Vlaue (Cr)'!$C:$FB,119)</f>
        <v>0.55000000000000004</v>
      </c>
      <c r="Q210" s="75">
        <f>VLOOKUP($A210,'Data Vlaue (Cr)'!$C:$FB,122)*100</f>
        <v>1.8499999999999999</v>
      </c>
      <c r="R210" s="75">
        <f>VLOOKUP($A210,'Data Vlaue (Cr)'!$C:$FB,125)</f>
        <v>0.22</v>
      </c>
      <c r="S210" s="75">
        <f>VLOOKUP($A210,'Data Vlaue (Cr)'!$C:$FB,128)*100</f>
        <v>-4.3499999999999996</v>
      </c>
    </row>
    <row r="211" spans="1:19" x14ac:dyDescent="0.25">
      <c r="A211" s="96" t="str">
        <f>'Data Vlaue (Cr)'!C202</f>
        <v>TITAN</v>
      </c>
      <c r="B211" s="75">
        <f>VLOOKUP($A211,'Data Vlaue (Cr)'!$C:$FB,2)</f>
        <v>175</v>
      </c>
      <c r="C211" s="75">
        <f>VLOOKUP($A211,'Data Vlaue (Cr)'!$C:$FB,8)</f>
        <v>4439.8</v>
      </c>
      <c r="D211" s="75">
        <f>VLOOKUP($A211,'Data Vlaue (Cr)'!$C:$FB,4)</f>
        <v>4449.7</v>
      </c>
      <c r="E211" s="75">
        <f>VLOOKUP($A211,'Data Vlaue (Cr)'!$C:$FB,5)</f>
        <v>4501.8999999999996</v>
      </c>
      <c r="F211" s="75">
        <f t="shared" si="30"/>
        <v>9.8999999999996362</v>
      </c>
      <c r="G211" s="75">
        <f t="shared" si="31"/>
        <v>-1.1731127941209478</v>
      </c>
      <c r="H211" s="75">
        <f>VLOOKUP($A211,'Data Vlaue (Cr)'!$C:$FB,99)</f>
        <v>6910</v>
      </c>
      <c r="I211" s="75">
        <f>VLOOKUP($A211,'Data Vlaue (Cr)'!$C:$FB,100)</f>
        <v>6984</v>
      </c>
      <c r="J211" s="75">
        <f t="shared" si="32"/>
        <v>-74</v>
      </c>
      <c r="K211" s="75">
        <f t="shared" si="33"/>
        <v>-1.0709117221418234</v>
      </c>
      <c r="L211" s="75">
        <f>VLOOKUP($A211,'Data Vlaue (Cr)'!$C:$FB,67)</f>
        <v>3162</v>
      </c>
      <c r="M211" s="75">
        <f>VLOOKUP($A211,'Data Vlaue (Cr)'!$C:$FB,68)</f>
        <v>10641</v>
      </c>
      <c r="N211" s="75">
        <f t="shared" si="34"/>
        <v>-7479</v>
      </c>
      <c r="O211" s="75">
        <f t="shared" si="35"/>
        <v>-236.52751423149905</v>
      </c>
      <c r="P211" s="75">
        <f>VLOOKUP($A211,'Data Vlaue (Cr)'!$C:$FB,119)</f>
        <v>0.74</v>
      </c>
      <c r="Q211" s="75">
        <f>VLOOKUP($A211,'Data Vlaue (Cr)'!$C:$FB,122)*100</f>
        <v>-5.13</v>
      </c>
      <c r="R211" s="75">
        <f>VLOOKUP($A211,'Data Vlaue (Cr)'!$C:$FB,125)</f>
        <v>0.83</v>
      </c>
      <c r="S211" s="75">
        <f>VLOOKUP($A211,'Data Vlaue (Cr)'!$C:$FB,128)*100</f>
        <v>53.7</v>
      </c>
    </row>
    <row r="212" spans="1:19" x14ac:dyDescent="0.25">
      <c r="A212" s="96" t="str">
        <f>'Data Vlaue (Cr)'!C203</f>
        <v>TMPV</v>
      </c>
      <c r="B212" s="75">
        <f>VLOOKUP($A212,'Data Vlaue (Cr)'!$C:$FB,2)</f>
        <v>800</v>
      </c>
      <c r="C212" s="75">
        <f>VLOOKUP($A212,'Data Vlaue (Cr)'!$C:$FB,8)</f>
        <v>333.25</v>
      </c>
      <c r="D212" s="75">
        <f>VLOOKUP($A212,'Data Vlaue (Cr)'!$C:$FB,4)</f>
        <v>333.9</v>
      </c>
      <c r="E212" s="75">
        <f>VLOOKUP($A212,'Data Vlaue (Cr)'!$C:$FB,5)</f>
        <v>336.3</v>
      </c>
      <c r="F212" s="75">
        <f t="shared" si="30"/>
        <v>0.64999999999997726</v>
      </c>
      <c r="G212" s="75">
        <f t="shared" si="31"/>
        <v>-0.71877807726865361</v>
      </c>
      <c r="H212" s="75">
        <f>VLOOKUP($A212,'Data Vlaue (Cr)'!$C:$FB,99)</f>
        <v>3638</v>
      </c>
      <c r="I212" s="75">
        <f>VLOOKUP($A212,'Data Vlaue (Cr)'!$C:$FB,100)</f>
        <v>3568</v>
      </c>
      <c r="J212" s="75">
        <f t="shared" si="32"/>
        <v>70</v>
      </c>
      <c r="K212" s="75">
        <f t="shared" si="33"/>
        <v>1.9241341396371632</v>
      </c>
      <c r="L212" s="75">
        <f>VLOOKUP($A212,'Data Vlaue (Cr)'!$C:$FB,67)</f>
        <v>2182</v>
      </c>
      <c r="M212" s="75">
        <f>VLOOKUP($A212,'Data Vlaue (Cr)'!$C:$FB,68)</f>
        <v>4428</v>
      </c>
      <c r="N212" s="75">
        <f t="shared" si="34"/>
        <v>-2246</v>
      </c>
      <c r="O212" s="75">
        <f t="shared" si="35"/>
        <v>-102.93308890925756</v>
      </c>
      <c r="P212" s="75">
        <f>VLOOKUP($A212,'Data Vlaue (Cr)'!$C:$FB,119)</f>
        <v>0.81</v>
      </c>
      <c r="Q212" s="75">
        <f>VLOOKUP($A212,'Data Vlaue (Cr)'!$C:$FB,122)*100</f>
        <v>-8.99</v>
      </c>
      <c r="R212" s="75">
        <f>VLOOKUP($A212,'Data Vlaue (Cr)'!$C:$FB,125)</f>
        <v>0.64</v>
      </c>
      <c r="S212" s="75">
        <f>VLOOKUP($A212,'Data Vlaue (Cr)'!$C:$FB,128)*100</f>
        <v>16.36</v>
      </c>
    </row>
    <row r="213" spans="1:19" x14ac:dyDescent="0.25">
      <c r="A213" s="96" t="str">
        <f>'Data Vlaue (Cr)'!C204</f>
        <v>TORNTPHARM</v>
      </c>
      <c r="B213" s="75">
        <f>VLOOKUP($A213,'Data Vlaue (Cr)'!$C:$FB,2)</f>
        <v>250</v>
      </c>
      <c r="C213" s="75">
        <f>VLOOKUP($A213,'Data Vlaue (Cr)'!$C:$FB,8)</f>
        <v>4094.5</v>
      </c>
      <c r="D213" s="75">
        <f>VLOOKUP($A213,'Data Vlaue (Cr)'!$C:$FB,4)</f>
        <v>4104.7</v>
      </c>
      <c r="E213" s="75">
        <f>VLOOKUP($A213,'Data Vlaue (Cr)'!$C:$FB,5)</f>
        <v>4046.1</v>
      </c>
      <c r="F213" s="75">
        <f t="shared" si="30"/>
        <v>10.199999999999818</v>
      </c>
      <c r="G213" s="75">
        <f t="shared" si="31"/>
        <v>1.4276317392257634</v>
      </c>
      <c r="H213" s="75">
        <f>VLOOKUP($A213,'Data Vlaue (Cr)'!$C:$FB,99)</f>
        <v>1749</v>
      </c>
      <c r="I213" s="75">
        <f>VLOOKUP($A213,'Data Vlaue (Cr)'!$C:$FB,100)</f>
        <v>1695</v>
      </c>
      <c r="J213" s="75">
        <f t="shared" si="32"/>
        <v>54</v>
      </c>
      <c r="K213" s="75">
        <f t="shared" si="33"/>
        <v>3.0874785591766725</v>
      </c>
      <c r="L213" s="75">
        <f>VLOOKUP($A213,'Data Vlaue (Cr)'!$C:$FB,67)</f>
        <v>967</v>
      </c>
      <c r="M213" s="75">
        <f>VLOOKUP($A213,'Data Vlaue (Cr)'!$C:$FB,68)</f>
        <v>686</v>
      </c>
      <c r="N213" s="75">
        <f t="shared" si="34"/>
        <v>281</v>
      </c>
      <c r="O213" s="75">
        <f t="shared" si="35"/>
        <v>29.058945191313342</v>
      </c>
      <c r="P213" s="75">
        <f>VLOOKUP($A213,'Data Vlaue (Cr)'!$C:$FB,119)</f>
        <v>0.68</v>
      </c>
      <c r="Q213" s="75">
        <f>VLOOKUP($A213,'Data Vlaue (Cr)'!$C:$FB,122)*100</f>
        <v>-18.07</v>
      </c>
      <c r="R213" s="75">
        <f>VLOOKUP($A213,'Data Vlaue (Cr)'!$C:$FB,125)</f>
        <v>0.23</v>
      </c>
      <c r="S213" s="75">
        <f>VLOOKUP($A213,'Data Vlaue (Cr)'!$C:$FB,128)*100</f>
        <v>-48.89</v>
      </c>
    </row>
    <row r="214" spans="1:19" x14ac:dyDescent="0.25">
      <c r="A214" s="96" t="str">
        <f>'Data Vlaue (Cr)'!C205</f>
        <v>TORNTPOWER</v>
      </c>
      <c r="B214" s="75">
        <f>VLOOKUP($A214,'Data Vlaue (Cr)'!$C:$FB,2)</f>
        <v>425</v>
      </c>
      <c r="C214" s="75">
        <f>VLOOKUP($A214,'Data Vlaue (Cr)'!$C:$FB,8)</f>
        <v>1446</v>
      </c>
      <c r="D214" s="75">
        <f>VLOOKUP($A214,'Data Vlaue (Cr)'!$C:$FB,4)</f>
        <v>1454.1</v>
      </c>
      <c r="E214" s="75">
        <f>VLOOKUP($A214,'Data Vlaue (Cr)'!$C:$FB,5)</f>
        <v>1453.6</v>
      </c>
      <c r="F214" s="75">
        <f t="shared" si="30"/>
        <v>8.0999999999999091</v>
      </c>
      <c r="G214" s="75">
        <f t="shared" si="31"/>
        <v>3.4385530568736673E-2</v>
      </c>
      <c r="H214" s="75">
        <f>VLOOKUP($A214,'Data Vlaue (Cr)'!$C:$FB,99)</f>
        <v>706</v>
      </c>
      <c r="I214" s="75">
        <f>VLOOKUP($A214,'Data Vlaue (Cr)'!$C:$FB,100)</f>
        <v>681</v>
      </c>
      <c r="J214" s="75">
        <f t="shared" si="32"/>
        <v>25</v>
      </c>
      <c r="K214" s="75">
        <f t="shared" si="33"/>
        <v>3.5410764872521248</v>
      </c>
      <c r="L214" s="75">
        <f>VLOOKUP($A214,'Data Vlaue (Cr)'!$C:$FB,67)</f>
        <v>206</v>
      </c>
      <c r="M214" s="75">
        <f>VLOOKUP($A214,'Data Vlaue (Cr)'!$C:$FB,68)</f>
        <v>303</v>
      </c>
      <c r="N214" s="75">
        <f t="shared" si="34"/>
        <v>-97</v>
      </c>
      <c r="O214" s="75">
        <f t="shared" si="35"/>
        <v>-47.087378640776699</v>
      </c>
      <c r="P214" s="75">
        <f>VLOOKUP($A214,'Data Vlaue (Cr)'!$C:$FB,119)</f>
        <v>0.91</v>
      </c>
      <c r="Q214" s="75">
        <f>VLOOKUP($A214,'Data Vlaue (Cr)'!$C:$FB,122)*100</f>
        <v>-4.21</v>
      </c>
      <c r="R214" s="75">
        <f>VLOOKUP($A214,'Data Vlaue (Cr)'!$C:$FB,125)</f>
        <v>0.55000000000000004</v>
      </c>
      <c r="S214" s="75">
        <f>VLOOKUP($A214,'Data Vlaue (Cr)'!$C:$FB,128)*100</f>
        <v>-22.54</v>
      </c>
    </row>
    <row r="215" spans="1:19" x14ac:dyDescent="0.25">
      <c r="A215" s="96" t="str">
        <f>'Data Vlaue (Cr)'!C206</f>
        <v>TRENT</v>
      </c>
      <c r="B215" s="75">
        <f>VLOOKUP($A215,'Data Vlaue (Cr)'!$C:$FB,2)</f>
        <v>100</v>
      </c>
      <c r="C215" s="75">
        <f>VLOOKUP($A215,'Data Vlaue (Cr)'!$C:$FB,8)</f>
        <v>3850.7</v>
      </c>
      <c r="D215" s="75">
        <f>VLOOKUP($A215,'Data Vlaue (Cr)'!$C:$FB,4)</f>
        <v>3853.6</v>
      </c>
      <c r="E215" s="75">
        <f>VLOOKUP($A215,'Data Vlaue (Cr)'!$C:$FB,5)</f>
        <v>3894.6</v>
      </c>
      <c r="F215" s="75">
        <f t="shared" ref="F215:F221" si="36">D215-C215</f>
        <v>2.9000000000000909</v>
      </c>
      <c r="G215" s="75">
        <f t="shared" ref="G215:G221" si="37">(D215-E215)/D215*100</f>
        <v>-1.0639402117500518</v>
      </c>
      <c r="H215" s="75">
        <f>VLOOKUP($A215,'Data Vlaue (Cr)'!$C:$FB,99)</f>
        <v>4769</v>
      </c>
      <c r="I215" s="75">
        <f>VLOOKUP($A215,'Data Vlaue (Cr)'!$C:$FB,100)</f>
        <v>4588</v>
      </c>
      <c r="J215" s="75">
        <f t="shared" ref="J215:J221" si="38">H215-I215</f>
        <v>181</v>
      </c>
      <c r="K215" s="75">
        <f t="shared" ref="K215:K221" si="39">J215/H215*100</f>
        <v>3.7953449360452924</v>
      </c>
      <c r="L215" s="75">
        <f>VLOOKUP($A215,'Data Vlaue (Cr)'!$C:$FB,67)</f>
        <v>2108</v>
      </c>
      <c r="M215" s="75">
        <f>VLOOKUP($A215,'Data Vlaue (Cr)'!$C:$FB,68)</f>
        <v>4517</v>
      </c>
      <c r="N215" s="75">
        <f t="shared" ref="N215:N221" si="40">L215-M215</f>
        <v>-2409</v>
      </c>
      <c r="O215" s="75">
        <f t="shared" ref="O215:O221" si="41">N215/L215*100</f>
        <v>-114.27893738140418</v>
      </c>
      <c r="P215" s="75">
        <f>VLOOKUP($A215,'Data Vlaue (Cr)'!$C:$FB,119)</f>
        <v>0.89</v>
      </c>
      <c r="Q215" s="75">
        <f>VLOOKUP($A215,'Data Vlaue (Cr)'!$C:$FB,122)*100</f>
        <v>1.1400000000000001</v>
      </c>
      <c r="R215" s="75">
        <f>VLOOKUP($A215,'Data Vlaue (Cr)'!$C:$FB,125)</f>
        <v>0.74</v>
      </c>
      <c r="S215" s="75">
        <f>VLOOKUP($A215,'Data Vlaue (Cr)'!$C:$FB,128)*100</f>
        <v>57.45</v>
      </c>
    </row>
    <row r="216" spans="1:19" x14ac:dyDescent="0.25">
      <c r="A216" s="96" t="str">
        <f>'Data Vlaue (Cr)'!C207</f>
        <v>TVSMOTOR</v>
      </c>
      <c r="B216" s="75">
        <f>VLOOKUP($A216,'Data Vlaue (Cr)'!$C:$FB,2)</f>
        <v>175</v>
      </c>
      <c r="C216" s="75">
        <f>VLOOKUP($A216,'Data Vlaue (Cr)'!$C:$FB,8)</f>
        <v>3727.1</v>
      </c>
      <c r="D216" s="75">
        <f>VLOOKUP($A216,'Data Vlaue (Cr)'!$C:$FB,4)</f>
        <v>3738.4</v>
      </c>
      <c r="E216" s="75">
        <f>VLOOKUP($A216,'Data Vlaue (Cr)'!$C:$FB,5)</f>
        <v>3714.5</v>
      </c>
      <c r="F216" s="75">
        <f t="shared" si="36"/>
        <v>11.300000000000182</v>
      </c>
      <c r="G216" s="75">
        <f t="shared" si="37"/>
        <v>0.63931093515942894</v>
      </c>
      <c r="H216" s="75">
        <f>VLOOKUP($A216,'Data Vlaue (Cr)'!$C:$FB,99)</f>
        <v>3960</v>
      </c>
      <c r="I216" s="75">
        <f>VLOOKUP($A216,'Data Vlaue (Cr)'!$C:$FB,100)</f>
        <v>3883</v>
      </c>
      <c r="J216" s="75">
        <f t="shared" si="38"/>
        <v>77</v>
      </c>
      <c r="K216" s="75">
        <f t="shared" si="39"/>
        <v>1.9444444444444444</v>
      </c>
      <c r="L216" s="75">
        <f>VLOOKUP($A216,'Data Vlaue (Cr)'!$C:$FB,67)</f>
        <v>1151</v>
      </c>
      <c r="M216" s="75">
        <f>VLOOKUP($A216,'Data Vlaue (Cr)'!$C:$FB,68)</f>
        <v>2081</v>
      </c>
      <c r="N216" s="75">
        <f t="shared" si="40"/>
        <v>-930</v>
      </c>
      <c r="O216" s="75">
        <f t="shared" si="41"/>
        <v>-80.799304952215465</v>
      </c>
      <c r="P216" s="75">
        <f>VLOOKUP($A216,'Data Vlaue (Cr)'!$C:$FB,119)</f>
        <v>0.77</v>
      </c>
      <c r="Q216" s="75">
        <f>VLOOKUP($A216,'Data Vlaue (Cr)'!$C:$FB,122)*100</f>
        <v>0</v>
      </c>
      <c r="R216" s="75">
        <f>VLOOKUP($A216,'Data Vlaue (Cr)'!$C:$FB,125)</f>
        <v>0.5</v>
      </c>
      <c r="S216" s="75">
        <f>VLOOKUP($A216,'Data Vlaue (Cr)'!$C:$FB,128)*100</f>
        <v>25</v>
      </c>
    </row>
    <row r="217" spans="1:19" x14ac:dyDescent="0.25">
      <c r="A217" s="96" t="str">
        <f>'Data Vlaue (Cr)'!C208</f>
        <v>ULTRACEMCO</v>
      </c>
      <c r="B217" s="75">
        <f>VLOOKUP($A217,'Data Vlaue (Cr)'!$C:$FB,2)</f>
        <v>50</v>
      </c>
      <c r="C217" s="75">
        <f>VLOOKUP($A217,'Data Vlaue (Cr)'!$C:$FB,8)</f>
        <v>11448</v>
      </c>
      <c r="D217" s="75">
        <f>VLOOKUP($A217,'Data Vlaue (Cr)'!$C:$FB,4)</f>
        <v>11468</v>
      </c>
      <c r="E217" s="75">
        <f>VLOOKUP($A217,'Data Vlaue (Cr)'!$C:$FB,5)</f>
        <v>11625</v>
      </c>
      <c r="F217" s="75">
        <f t="shared" si="36"/>
        <v>20</v>
      </c>
      <c r="G217" s="75">
        <f t="shared" si="37"/>
        <v>-1.3690268573421696</v>
      </c>
      <c r="H217" s="75">
        <f>VLOOKUP($A217,'Data Vlaue (Cr)'!$C:$FB,99)</f>
        <v>3737</v>
      </c>
      <c r="I217" s="75">
        <f>VLOOKUP($A217,'Data Vlaue (Cr)'!$C:$FB,100)</f>
        <v>3645</v>
      </c>
      <c r="J217" s="75">
        <f t="shared" si="38"/>
        <v>92</v>
      </c>
      <c r="K217" s="75">
        <f t="shared" si="39"/>
        <v>2.4618678084024617</v>
      </c>
      <c r="L217" s="75">
        <f>VLOOKUP($A217,'Data Vlaue (Cr)'!$C:$FB,67)</f>
        <v>1357</v>
      </c>
      <c r="M217" s="75">
        <f>VLOOKUP($A217,'Data Vlaue (Cr)'!$C:$FB,68)</f>
        <v>2942</v>
      </c>
      <c r="N217" s="75">
        <f t="shared" si="40"/>
        <v>-1585</v>
      </c>
      <c r="O217" s="75">
        <f t="shared" si="41"/>
        <v>-116.80176860722182</v>
      </c>
      <c r="P217" s="75">
        <f>VLOOKUP($A217,'Data Vlaue (Cr)'!$C:$FB,119)</f>
        <v>0.73</v>
      </c>
      <c r="Q217" s="75">
        <f>VLOOKUP($A217,'Data Vlaue (Cr)'!$C:$FB,122)*100</f>
        <v>-7.59</v>
      </c>
      <c r="R217" s="75">
        <f>VLOOKUP($A217,'Data Vlaue (Cr)'!$C:$FB,125)</f>
        <v>0.73</v>
      </c>
      <c r="S217" s="75">
        <f>VLOOKUP($A217,'Data Vlaue (Cr)'!$C:$FB,128)*100</f>
        <v>12.31</v>
      </c>
    </row>
    <row r="218" spans="1:19" x14ac:dyDescent="0.25">
      <c r="A218" s="96" t="str">
        <f>'Data Vlaue (Cr)'!C209</f>
        <v>UNIONBANK</v>
      </c>
      <c r="B218" s="75">
        <f>VLOOKUP($A218,'Data Vlaue (Cr)'!$C:$FB,2)</f>
        <v>4425</v>
      </c>
      <c r="C218" s="75">
        <f>VLOOKUP($A218,'Data Vlaue (Cr)'!$C:$FB,8)</f>
        <v>184.69</v>
      </c>
      <c r="D218" s="75">
        <f>VLOOKUP($A218,'Data Vlaue (Cr)'!$C:$FB,4)</f>
        <v>184.46</v>
      </c>
      <c r="E218" s="75">
        <f>VLOOKUP($A218,'Data Vlaue (Cr)'!$C:$FB,5)</f>
        <v>186.18</v>
      </c>
      <c r="F218" s="75">
        <f t="shared" si="36"/>
        <v>-0.22999999999998977</v>
      </c>
      <c r="G218" s="75">
        <f t="shared" si="37"/>
        <v>-0.93245147999566247</v>
      </c>
      <c r="H218" s="75">
        <f>VLOOKUP($A218,'Data Vlaue (Cr)'!$C:$FB,99)</f>
        <v>2693</v>
      </c>
      <c r="I218" s="75">
        <f>VLOOKUP($A218,'Data Vlaue (Cr)'!$C:$FB,100)</f>
        <v>2559</v>
      </c>
      <c r="J218" s="75">
        <f t="shared" si="38"/>
        <v>134</v>
      </c>
      <c r="K218" s="75">
        <f t="shared" si="39"/>
        <v>4.9758633494244338</v>
      </c>
      <c r="L218" s="75">
        <f>VLOOKUP($A218,'Data Vlaue (Cr)'!$C:$FB,67)</f>
        <v>1484</v>
      </c>
      <c r="M218" s="75">
        <f>VLOOKUP($A218,'Data Vlaue (Cr)'!$C:$FB,68)</f>
        <v>2068</v>
      </c>
      <c r="N218" s="75">
        <f t="shared" si="40"/>
        <v>-584</v>
      </c>
      <c r="O218" s="75">
        <f t="shared" si="41"/>
        <v>-39.353099730458219</v>
      </c>
      <c r="P218" s="75">
        <f>VLOOKUP($A218,'Data Vlaue (Cr)'!$C:$FB,119)</f>
        <v>0.82</v>
      </c>
      <c r="Q218" s="75">
        <f>VLOOKUP($A218,'Data Vlaue (Cr)'!$C:$FB,122)*100</f>
        <v>-5.75</v>
      </c>
      <c r="R218" s="75">
        <f>VLOOKUP($A218,'Data Vlaue (Cr)'!$C:$FB,125)</f>
        <v>0.47</v>
      </c>
      <c r="S218" s="75">
        <f>VLOOKUP($A218,'Data Vlaue (Cr)'!$C:$FB,128)*100</f>
        <v>-7.84</v>
      </c>
    </row>
    <row r="219" spans="1:19" x14ac:dyDescent="0.25">
      <c r="A219" s="96" t="str">
        <f>'Data Vlaue (Cr)'!C210</f>
        <v>UNITDSPR</v>
      </c>
      <c r="B219" s="75">
        <f>VLOOKUP($A219,'Data Vlaue (Cr)'!$C:$FB,2)</f>
        <v>400</v>
      </c>
      <c r="C219" s="75">
        <f>VLOOKUP($A219,'Data Vlaue (Cr)'!$C:$FB,8)</f>
        <v>1249.7</v>
      </c>
      <c r="D219" s="75">
        <f>VLOOKUP($A219,'Data Vlaue (Cr)'!$C:$FB,4)</f>
        <v>1255.9000000000001</v>
      </c>
      <c r="E219" s="75">
        <f>VLOOKUP($A219,'Data Vlaue (Cr)'!$C:$FB,5)</f>
        <v>1252.9000000000001</v>
      </c>
      <c r="F219" s="75">
        <f t="shared" si="36"/>
        <v>6.2000000000000455</v>
      </c>
      <c r="G219" s="75">
        <f t="shared" si="37"/>
        <v>0.23887252169758738</v>
      </c>
      <c r="H219" s="75">
        <f>VLOOKUP($A219,'Data Vlaue (Cr)'!$C:$FB,99)</f>
        <v>2342</v>
      </c>
      <c r="I219" s="75">
        <f>VLOOKUP($A219,'Data Vlaue (Cr)'!$C:$FB,100)</f>
        <v>2261</v>
      </c>
      <c r="J219" s="75">
        <f t="shared" si="38"/>
        <v>81</v>
      </c>
      <c r="K219" s="75">
        <f t="shared" si="39"/>
        <v>3.4585824081981213</v>
      </c>
      <c r="L219" s="75">
        <f>VLOOKUP($A219,'Data Vlaue (Cr)'!$C:$FB,67)</f>
        <v>390</v>
      </c>
      <c r="M219" s="75">
        <f>VLOOKUP($A219,'Data Vlaue (Cr)'!$C:$FB,68)</f>
        <v>564</v>
      </c>
      <c r="N219" s="75">
        <f t="shared" si="40"/>
        <v>-174</v>
      </c>
      <c r="O219" s="75">
        <f t="shared" si="41"/>
        <v>-44.61538461538462</v>
      </c>
      <c r="P219" s="75">
        <f>VLOOKUP($A219,'Data Vlaue (Cr)'!$C:$FB,119)</f>
        <v>0.61</v>
      </c>
      <c r="Q219" s="75">
        <f>VLOOKUP($A219,'Data Vlaue (Cr)'!$C:$FB,122)*100</f>
        <v>-6.15</v>
      </c>
      <c r="R219" s="75">
        <f>VLOOKUP($A219,'Data Vlaue (Cr)'!$C:$FB,125)</f>
        <v>0.28000000000000003</v>
      </c>
      <c r="S219" s="75">
        <f>VLOOKUP($A219,'Data Vlaue (Cr)'!$C:$FB,128)*100</f>
        <v>-37.78</v>
      </c>
    </row>
    <row r="220" spans="1:19" x14ac:dyDescent="0.25">
      <c r="A220" s="96" t="str">
        <f>'Data Vlaue (Cr)'!C211</f>
        <v>UNOMINDA</v>
      </c>
      <c r="B220" s="75">
        <f>VLOOKUP($A220,'Data Vlaue (Cr)'!$C:$FB,2)</f>
        <v>550</v>
      </c>
      <c r="C220" s="75">
        <f>VLOOKUP($A220,'Data Vlaue (Cr)'!$C:$FB,8)</f>
        <v>1054.5999999999999</v>
      </c>
      <c r="D220" s="75">
        <f>VLOOKUP($A220,'Data Vlaue (Cr)'!$C:$FB,4)</f>
        <v>1056.4000000000001</v>
      </c>
      <c r="E220" s="75">
        <f>VLOOKUP($A220,'Data Vlaue (Cr)'!$C:$FB,5)</f>
        <v>1096.2</v>
      </c>
      <c r="F220" s="75">
        <f t="shared" si="36"/>
        <v>1.8000000000001819</v>
      </c>
      <c r="G220" s="75">
        <f t="shared" si="37"/>
        <v>-3.7675123059447131</v>
      </c>
      <c r="H220" s="75">
        <f>VLOOKUP($A220,'Data Vlaue (Cr)'!$C:$FB,99)</f>
        <v>727</v>
      </c>
      <c r="I220" s="75">
        <f>VLOOKUP($A220,'Data Vlaue (Cr)'!$C:$FB,100)</f>
        <v>706</v>
      </c>
      <c r="J220" s="75">
        <f t="shared" si="38"/>
        <v>21</v>
      </c>
      <c r="K220" s="75">
        <f t="shared" si="39"/>
        <v>2.8885832187070153</v>
      </c>
      <c r="L220" s="75">
        <f>VLOOKUP($A220,'Data Vlaue (Cr)'!$C:$FB,67)</f>
        <v>283</v>
      </c>
      <c r="M220" s="75">
        <f>VLOOKUP($A220,'Data Vlaue (Cr)'!$C:$FB,68)</f>
        <v>345</v>
      </c>
      <c r="N220" s="75">
        <f t="shared" si="40"/>
        <v>-62</v>
      </c>
      <c r="O220" s="75">
        <f t="shared" si="41"/>
        <v>-21.908127208480565</v>
      </c>
      <c r="P220" s="75">
        <f>VLOOKUP($A220,'Data Vlaue (Cr)'!$C:$FB,119)</f>
        <v>0.5</v>
      </c>
      <c r="Q220" s="75">
        <f>VLOOKUP($A220,'Data Vlaue (Cr)'!$C:$FB,122)*100</f>
        <v>0</v>
      </c>
      <c r="R220" s="75">
        <f>VLOOKUP($A220,'Data Vlaue (Cr)'!$C:$FB,125)</f>
        <v>0.56000000000000005</v>
      </c>
      <c r="S220" s="75">
        <f>VLOOKUP($A220,'Data Vlaue (Cr)'!$C:$FB,128)*100</f>
        <v>86.67</v>
      </c>
    </row>
    <row r="221" spans="1:19" x14ac:dyDescent="0.25">
      <c r="A221" s="96" t="str">
        <f>'Data Vlaue (Cr)'!C220</f>
        <v>ZYDUSLIFE</v>
      </c>
      <c r="B221" s="75">
        <f>VLOOKUP($A221,'Data Vlaue (Cr)'!$C:$FB,2)</f>
        <v>900</v>
      </c>
      <c r="C221" s="75">
        <f>VLOOKUP($A221,'Data Vlaue (Cr)'!$C:$FB,8)</f>
        <v>902.25</v>
      </c>
      <c r="D221" s="75">
        <f>VLOOKUP($A221,'Data Vlaue (Cr)'!$C:$FB,4)</f>
        <v>905.7</v>
      </c>
      <c r="E221" s="75">
        <f>VLOOKUP($A221,'Data Vlaue (Cr)'!$C:$FB,5)</f>
        <v>893.45</v>
      </c>
      <c r="F221" s="75">
        <f t="shared" si="36"/>
        <v>3.4500000000000455</v>
      </c>
      <c r="G221" s="75">
        <f t="shared" si="37"/>
        <v>1.3525449928232305</v>
      </c>
      <c r="H221" s="75">
        <f>VLOOKUP($A221,'Data Vlaue (Cr)'!$C:$FB,99)</f>
        <v>1240</v>
      </c>
      <c r="I221" s="75">
        <f>VLOOKUP($A221,'Data Vlaue (Cr)'!$C:$FB,100)</f>
        <v>1223</v>
      </c>
      <c r="J221" s="75">
        <f t="shared" si="38"/>
        <v>17</v>
      </c>
      <c r="K221" s="75">
        <f t="shared" si="39"/>
        <v>1.370967741935484</v>
      </c>
      <c r="L221" s="75">
        <f>VLOOKUP($A221,'Data Vlaue (Cr)'!$C:$FB,67)</f>
        <v>759</v>
      </c>
      <c r="M221" s="75">
        <f>VLOOKUP($A221,'Data Vlaue (Cr)'!$C:$FB,68)</f>
        <v>424</v>
      </c>
      <c r="N221" s="75">
        <f t="shared" si="40"/>
        <v>335</v>
      </c>
      <c r="O221" s="75">
        <f t="shared" si="41"/>
        <v>44.137022397891961</v>
      </c>
      <c r="P221" s="75">
        <f>VLOOKUP($A221,'Data Vlaue (Cr)'!$C:$FB,119)</f>
        <v>0.78</v>
      </c>
      <c r="Q221" s="75">
        <f>VLOOKUP($A221,'Data Vlaue (Cr)'!$C:$FB,122)*100</f>
        <v>-9.3000000000000007</v>
      </c>
      <c r="R221" s="75">
        <f>VLOOKUP($A221,'Data Vlaue (Cr)'!$C:$FB,125)</f>
        <v>0.31</v>
      </c>
      <c r="S221" s="75">
        <f>VLOOKUP($A221,'Data Vlaue (Cr)'!$C:$FB,128)*100</f>
        <v>-29.549999999999997</v>
      </c>
    </row>
    <row r="222" spans="1:19" x14ac:dyDescent="0.25">
      <c r="A222" s="96"/>
      <c r="B222" s="75"/>
      <c r="C222" s="75"/>
      <c r="D222" s="75"/>
      <c r="E222" s="75"/>
      <c r="F222" s="75"/>
      <c r="G222" s="75"/>
      <c r="H222" s="75"/>
      <c r="I222" s="75"/>
      <c r="J222" s="75"/>
      <c r="K222" s="75"/>
      <c r="L222" s="75"/>
      <c r="M222" s="75"/>
      <c r="N222" s="75"/>
      <c r="O222" s="75"/>
      <c r="P222" s="75"/>
      <c r="Q222" s="75"/>
      <c r="R222" s="75"/>
      <c r="S222" s="75"/>
    </row>
    <row r="223" spans="1:19" x14ac:dyDescent="0.25">
      <c r="A223" s="98"/>
      <c r="B223" s="75"/>
      <c r="C223" s="75"/>
      <c r="D223" s="75"/>
      <c r="E223" s="75"/>
      <c r="F223" s="75"/>
      <c r="G223" s="75"/>
      <c r="H223" s="75"/>
      <c r="I223" s="75"/>
      <c r="J223" s="75"/>
      <c r="K223" s="75"/>
      <c r="L223" s="75"/>
      <c r="M223" s="75"/>
      <c r="N223" s="75"/>
      <c r="O223" s="75"/>
      <c r="P223" s="75"/>
      <c r="Q223" s="75"/>
      <c r="R223" s="75"/>
      <c r="S223" s="75"/>
    </row>
    <row r="224" spans="1:19" x14ac:dyDescent="0.25">
      <c r="A224" s="98"/>
      <c r="B224" s="75"/>
      <c r="C224" s="75"/>
      <c r="D224" s="75"/>
      <c r="E224" s="75"/>
      <c r="F224" s="75"/>
      <c r="G224" s="75"/>
      <c r="H224" s="75"/>
      <c r="I224" s="75"/>
      <c r="J224" s="75"/>
      <c r="K224" s="75"/>
      <c r="L224" s="75"/>
      <c r="M224" s="75"/>
      <c r="N224" s="75"/>
      <c r="O224" s="75"/>
      <c r="P224" s="75"/>
      <c r="Q224" s="75"/>
      <c r="R224" s="75"/>
      <c r="S224" s="75"/>
    </row>
    <row r="225" spans="1:19" x14ac:dyDescent="0.25">
      <c r="A225" s="98"/>
      <c r="B225" s="75"/>
      <c r="C225" s="75"/>
      <c r="D225" s="75"/>
      <c r="E225" s="75"/>
      <c r="F225" s="75"/>
      <c r="G225" s="75"/>
      <c r="H225" s="75"/>
      <c r="I225" s="75"/>
      <c r="J225" s="75"/>
      <c r="K225" s="75"/>
      <c r="L225" s="75"/>
      <c r="M225" s="75"/>
      <c r="N225" s="75"/>
      <c r="O225" s="75"/>
      <c r="P225" s="75"/>
      <c r="Q225" s="75"/>
      <c r="R225" s="75"/>
      <c r="S225" s="75"/>
    </row>
    <row r="226" spans="1:19" x14ac:dyDescent="0.25">
      <c r="A226" s="98"/>
      <c r="B226" s="75"/>
      <c r="C226" s="75"/>
      <c r="D226" s="75"/>
      <c r="E226" s="75"/>
      <c r="F226" s="75"/>
      <c r="G226" s="75"/>
      <c r="H226" s="75"/>
      <c r="I226" s="75"/>
      <c r="J226" s="75"/>
      <c r="K226" s="75"/>
      <c r="L226" s="75"/>
      <c r="M226" s="75"/>
      <c r="N226" s="75"/>
      <c r="O226" s="75"/>
      <c r="P226" s="75"/>
      <c r="Q226" s="75"/>
      <c r="R226" s="75"/>
      <c r="S226" s="75"/>
    </row>
    <row r="227" spans="1:19" x14ac:dyDescent="0.25">
      <c r="A227" s="238"/>
      <c r="B227" s="238"/>
      <c r="C227" s="238"/>
      <c r="D227" s="238"/>
      <c r="E227" s="238"/>
      <c r="F227" s="238"/>
      <c r="G227" s="15"/>
      <c r="H227" s="16"/>
      <c r="I227" s="238"/>
      <c r="J227" s="238"/>
      <c r="K227" s="238"/>
      <c r="L227" s="238"/>
      <c r="M227" s="238"/>
      <c r="N227" s="16"/>
      <c r="O227" s="16"/>
      <c r="P227" s="16"/>
      <c r="Q227" s="238"/>
      <c r="R227" s="238"/>
      <c r="S227" s="238"/>
    </row>
    <row r="228" spans="1:19" x14ac:dyDescent="0.25">
      <c r="A228" s="235" t="s">
        <v>391</v>
      </c>
      <c r="B228" s="236"/>
      <c r="C228" s="236"/>
      <c r="D228" s="236"/>
      <c r="E228" s="236"/>
      <c r="F228" s="237"/>
      <c r="G228" s="18"/>
      <c r="H228" s="18">
        <f>SUM(H11:H223)</f>
        <v>1978443</v>
      </c>
      <c r="I228" s="18">
        <f>SUM(I11:I223)</f>
        <v>1810417</v>
      </c>
      <c r="J228" s="18">
        <f>H228-I228</f>
        <v>168026</v>
      </c>
      <c r="K228" s="19">
        <f>J228/I228</f>
        <v>9.2810661853042695E-2</v>
      </c>
      <c r="L228" s="18">
        <f>SUM(L11:L223)</f>
        <v>8334612</v>
      </c>
      <c r="M228" s="18">
        <f>SUM(M11:M223)</f>
        <v>8494197</v>
      </c>
      <c r="N228" s="18">
        <f>L228-M228</f>
        <v>-159585</v>
      </c>
      <c r="O228" s="19">
        <f>N228/M228</f>
        <v>-1.8787532241128856E-2</v>
      </c>
      <c r="P228" s="235"/>
      <c r="Q228" s="236"/>
      <c r="R228" s="236"/>
      <c r="S228" s="237"/>
    </row>
    <row r="232" spans="1:19" x14ac:dyDescent="0.25">
      <c r="A232" s="241" t="s">
        <v>334</v>
      </c>
      <c r="B232" s="241"/>
      <c r="C232" s="241"/>
      <c r="D232" s="6"/>
      <c r="E232" s="6"/>
      <c r="F232" s="6"/>
      <c r="G232" s="6"/>
      <c r="H232" s="8" t="s">
        <v>385</v>
      </c>
      <c r="J232" s="7"/>
      <c r="K232" s="7"/>
      <c r="L232" s="7"/>
      <c r="M232" s="7"/>
    </row>
    <row r="233" spans="1:19" x14ac:dyDescent="0.25">
      <c r="A233" s="22"/>
      <c r="B233" s="23" t="s">
        <v>182</v>
      </c>
      <c r="C233" s="24" t="s">
        <v>386</v>
      </c>
      <c r="D233" s="25" t="s">
        <v>266</v>
      </c>
      <c r="E233" s="24" t="s">
        <v>386</v>
      </c>
      <c r="F233" s="23" t="s">
        <v>461</v>
      </c>
      <c r="G233" s="23" t="s">
        <v>387</v>
      </c>
      <c r="H233" s="24" t="s">
        <v>386</v>
      </c>
    </row>
    <row r="234" spans="1:19" x14ac:dyDescent="0.25">
      <c r="A234" s="26" t="s">
        <v>388</v>
      </c>
      <c r="B234" s="9">
        <f>VLOOKUP(B233,'OI(Value)'!A7:E226,5,0)</f>
        <v>13805</v>
      </c>
      <c r="C234" s="146">
        <f>VLOOKUP(B233,'OI(Value)'!A7:G226,7,0)</f>
        <v>6.3E-3</v>
      </c>
      <c r="D234" s="9">
        <f>VLOOKUP(D233,'OI(Value)'!A7:E226,5,0)</f>
        <v>54213</v>
      </c>
      <c r="E234" s="147">
        <f>VLOOKUP(D233,'OI(Value)'!A7:G226,7,0)</f>
        <v>-1.2200000000000001E-2</v>
      </c>
      <c r="F234" s="9">
        <f>G234-D234-B234</f>
        <v>479689</v>
      </c>
      <c r="G234" s="10">
        <f>'OI(Value)'!E227</f>
        <v>547707</v>
      </c>
      <c r="H234" s="147">
        <f>'OI(Value)'!D234</f>
        <v>5.1596930475601007E-3</v>
      </c>
    </row>
    <row r="235" spans="1:19" x14ac:dyDescent="0.25">
      <c r="A235" s="26" t="s">
        <v>389</v>
      </c>
      <c r="B235" s="9">
        <f>VLOOKUP(B233,'OI(Value)'!A7:H226,8,0)</f>
        <v>92747</v>
      </c>
      <c r="C235" s="146">
        <f>VLOOKUP(B233,'OI(Value)'!A7:J226,10,0)</f>
        <v>6.88E-2</v>
      </c>
      <c r="D235" s="9">
        <f>VLOOKUP(D233,'OI(Value)'!A1:O227,8,0)</f>
        <v>509801</v>
      </c>
      <c r="E235" s="147">
        <f>VLOOKUP(D233,'OI(Value)'!A1:J226,10,0)</f>
        <v>0.25209999999999999</v>
      </c>
      <c r="F235" s="9">
        <f>G235-D235-B235</f>
        <v>148783</v>
      </c>
      <c r="G235" s="9">
        <f>'OI(Value)'!H227</f>
        <v>751331</v>
      </c>
      <c r="H235" s="147">
        <f>'OI(Value)'!D235</f>
        <v>0.15881548877924642</v>
      </c>
    </row>
    <row r="236" spans="1:19" x14ac:dyDescent="0.25">
      <c r="A236" s="26" t="s">
        <v>390</v>
      </c>
      <c r="B236" s="9">
        <f>VLOOKUP(B233,'OI(Value)'!A7:K226,11,0)</f>
        <v>71636</v>
      </c>
      <c r="C236" s="146">
        <f>VLOOKUP(B233,'OI(Value)'!A7:M226,13,0)</f>
        <v>2.6200000000000001E-2</v>
      </c>
      <c r="D236" s="9">
        <f>VLOOKUP(D233,'OI(Value)'!A2:O228,11,0)</f>
        <v>496054</v>
      </c>
      <c r="E236" s="147">
        <f>VLOOKUP(D233,'OI(Value)'!A7:M226,13,0)</f>
        <v>8.1199999999999994E-2</v>
      </c>
      <c r="F236" s="9">
        <f>G236-D236-B236</f>
        <v>111713</v>
      </c>
      <c r="G236" s="9">
        <f>'OI(Value)'!K227</f>
        <v>679403</v>
      </c>
      <c r="H236" s="147">
        <f>'OI(Volume)'!D242</f>
        <v>3.5794086663695567E-2</v>
      </c>
    </row>
    <row r="237" spans="1:19" x14ac:dyDescent="0.25">
      <c r="A237" s="22" t="s">
        <v>391</v>
      </c>
      <c r="B237" s="62">
        <f>SUM(B234:B236)</f>
        <v>178188</v>
      </c>
      <c r="C237" s="148">
        <f>VLOOKUP(B233,'OI(Value)'!A7:D148,4,0)</f>
        <v>4.6300000000000001E-2</v>
      </c>
      <c r="D237" s="62">
        <f>SUM(D234:D236)</f>
        <v>1060068</v>
      </c>
      <c r="E237" s="148">
        <f>VLOOKUP(D233,'OI(Value)'!A1:D227,4,0)</f>
        <v>0.1512</v>
      </c>
      <c r="F237" s="62">
        <f>SUM(F234:F236)</f>
        <v>740185</v>
      </c>
      <c r="G237" s="62">
        <f>SUM(G234:G236)</f>
        <v>1978441</v>
      </c>
      <c r="H237" s="151">
        <f>'OI(Value)'!D237</f>
        <v>8.4920399445826286E-2</v>
      </c>
    </row>
    <row r="241" spans="1:8" x14ac:dyDescent="0.25">
      <c r="A241" s="20" t="s">
        <v>392</v>
      </c>
      <c r="B241" s="11"/>
      <c r="C241" s="11"/>
      <c r="D241" s="11"/>
      <c r="E241" s="11"/>
      <c r="F241" s="11"/>
      <c r="G241" s="11"/>
      <c r="H241" s="12"/>
    </row>
    <row r="242" spans="1:8" x14ac:dyDescent="0.25">
      <c r="A242" s="27"/>
      <c r="B242" s="27"/>
      <c r="C242" s="242" t="s">
        <v>459</v>
      </c>
      <c r="D242" s="243"/>
      <c r="E242" s="244"/>
      <c r="F242" s="242" t="s">
        <v>460</v>
      </c>
      <c r="G242" s="243"/>
      <c r="H242" s="244"/>
    </row>
    <row r="243" spans="1:8" x14ac:dyDescent="0.25">
      <c r="A243" s="28"/>
      <c r="B243" s="27"/>
      <c r="C243" s="31">
        <f>D10</f>
        <v>46121</v>
      </c>
      <c r="D243" s="31" t="s">
        <v>397</v>
      </c>
      <c r="E243" s="32" t="s">
        <v>321</v>
      </c>
      <c r="F243" s="31">
        <f>C243</f>
        <v>46121</v>
      </c>
      <c r="G243" s="31" t="str">
        <f>D243</f>
        <v>Preious</v>
      </c>
      <c r="H243" s="32" t="s">
        <v>386</v>
      </c>
    </row>
    <row r="244" spans="1:8" x14ac:dyDescent="0.25">
      <c r="A244" s="29" t="s">
        <v>393</v>
      </c>
      <c r="B244" s="30"/>
      <c r="C244" s="13">
        <f>FII!N3</f>
        <v>10061</v>
      </c>
      <c r="D244" s="13">
        <f>FII!J3</f>
        <v>10428</v>
      </c>
      <c r="E244" s="14">
        <f>(C244-D244)/C244</f>
        <v>-3.6477487327303451E-2</v>
      </c>
      <c r="F244" s="13">
        <f>FII!M3</f>
        <v>60855</v>
      </c>
      <c r="G244" s="13">
        <f>FII!I3</f>
        <v>62124</v>
      </c>
      <c r="H244" s="14">
        <f>(F244-G244)/F244</f>
        <v>-2.0852846931229973E-2</v>
      </c>
    </row>
    <row r="245" spans="1:8" x14ac:dyDescent="0.25">
      <c r="A245" s="239" t="s">
        <v>394</v>
      </c>
      <c r="B245" s="240"/>
      <c r="C245" s="13">
        <f>FII!N4</f>
        <v>69950</v>
      </c>
      <c r="D245" s="13">
        <f>FII!J4</f>
        <v>70236</v>
      </c>
      <c r="E245" s="14">
        <f>(C245-D245)/C245</f>
        <v>-4.0886347390993571E-3</v>
      </c>
      <c r="F245" s="13">
        <f>FII!M4</f>
        <v>425319</v>
      </c>
      <c r="G245" s="13">
        <f>FII!I4</f>
        <v>420295</v>
      </c>
      <c r="H245" s="14">
        <f>(F245-G245)/F245</f>
        <v>1.1812310289453329E-2</v>
      </c>
    </row>
    <row r="246" spans="1:8" x14ac:dyDescent="0.25">
      <c r="A246" s="239" t="s">
        <v>395</v>
      </c>
      <c r="B246" s="240"/>
      <c r="C246" s="13">
        <f>FII!N15</f>
        <v>459289</v>
      </c>
      <c r="D246" s="13">
        <f>FII!J15</f>
        <v>458307</v>
      </c>
      <c r="E246" s="14">
        <f>(C246-D246)/C246</f>
        <v>2.1380873480531864E-3</v>
      </c>
      <c r="F246" s="13">
        <f>FII!M15</f>
        <v>7354438</v>
      </c>
      <c r="G246" s="13">
        <f>FII!I15</f>
        <v>7312071</v>
      </c>
      <c r="H246" s="14">
        <f>(F246-G246)/F246</f>
        <v>5.7607392978226207E-3</v>
      </c>
    </row>
    <row r="247" spans="1:8" x14ac:dyDescent="0.25">
      <c r="A247" s="239" t="s">
        <v>396</v>
      </c>
      <c r="B247" s="240"/>
      <c r="C247" s="13">
        <f>FII!N16</f>
        <v>45882</v>
      </c>
      <c r="D247" s="13">
        <f>FII!J16</f>
        <v>40661</v>
      </c>
      <c r="E247" s="14">
        <f>(C247-D247)/C247</f>
        <v>0.11379190096334074</v>
      </c>
      <c r="F247" s="13">
        <f>FII!M16</f>
        <v>703463</v>
      </c>
      <c r="G247" s="13">
        <f>FII!I16</f>
        <v>620407</v>
      </c>
      <c r="H247" s="14">
        <f>(F247-G247)/F247</f>
        <v>0.11806733261024389</v>
      </c>
    </row>
    <row r="248" spans="1:8" x14ac:dyDescent="0.25">
      <c r="A248" s="239" t="s">
        <v>391</v>
      </c>
      <c r="B248" s="240"/>
      <c r="C248" s="155">
        <f>SUM(C244:C247)</f>
        <v>585182</v>
      </c>
      <c r="D248" s="155">
        <f>SUM(D244:D247)</f>
        <v>579632</v>
      </c>
      <c r="E248" s="156">
        <f>(C248-D248)/C248</f>
        <v>9.4842288382075996E-3</v>
      </c>
      <c r="F248" s="157">
        <f>SUM(F244:F247)</f>
        <v>8544075</v>
      </c>
      <c r="G248" s="158">
        <f>SUM(G244:G247)</f>
        <v>8414897</v>
      </c>
      <c r="H248" s="156">
        <f>(F248-G248)/F248</f>
        <v>1.5119015224000257E-2</v>
      </c>
    </row>
  </sheetData>
  <mergeCells count="24">
    <mergeCell ref="A6:S6"/>
    <mergeCell ref="A7:S7"/>
    <mergeCell ref="A8:A9"/>
    <mergeCell ref="H8:K8"/>
    <mergeCell ref="L8:O8"/>
    <mergeCell ref="P8:S8"/>
    <mergeCell ref="D9:G9"/>
    <mergeCell ref="H9:K9"/>
    <mergeCell ref="C8:G8"/>
    <mergeCell ref="L9:O9"/>
    <mergeCell ref="P9:Q9"/>
    <mergeCell ref="R9:S9"/>
    <mergeCell ref="A247:B247"/>
    <mergeCell ref="A248:B248"/>
    <mergeCell ref="A232:C232"/>
    <mergeCell ref="C242:E242"/>
    <mergeCell ref="F242:H242"/>
    <mergeCell ref="A245:B245"/>
    <mergeCell ref="A246:B246"/>
    <mergeCell ref="P228:S228"/>
    <mergeCell ref="A228:F228"/>
    <mergeCell ref="Q227:S227"/>
    <mergeCell ref="I227:M227"/>
    <mergeCell ref="A227:F227"/>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workbookViewId="0">
      <pane ySplit="5" topLeftCell="A201" activePane="bottomLeft" state="frozen"/>
      <selection pane="bottomLeft" activeCell="A217" sqref="A217:G21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1" t="s">
        <v>456</v>
      </c>
      <c r="B3" s="312"/>
      <c r="C3" s="312"/>
      <c r="D3" s="312"/>
      <c r="E3" s="312"/>
      <c r="F3" s="312"/>
      <c r="G3" s="313"/>
      <c r="H3" s="46"/>
    </row>
    <row r="4" spans="1:8" x14ac:dyDescent="0.25">
      <c r="A4" s="287" t="s">
        <v>366</v>
      </c>
      <c r="B4" s="106" t="s">
        <v>312</v>
      </c>
      <c r="C4" s="106" t="s">
        <v>313</v>
      </c>
      <c r="D4" s="287" t="s">
        <v>367</v>
      </c>
      <c r="E4" s="287"/>
      <c r="F4" s="287"/>
      <c r="G4" s="287"/>
      <c r="H4" s="47"/>
    </row>
    <row r="5" spans="1:8" x14ac:dyDescent="0.25">
      <c r="A5" s="306"/>
      <c r="B5" s="3">
        <f>PCR!B6</f>
        <v>46121</v>
      </c>
      <c r="C5" s="3">
        <f>B5</f>
        <v>46121</v>
      </c>
      <c r="D5" s="76" t="s">
        <v>367</v>
      </c>
      <c r="E5" s="76" t="s">
        <v>321</v>
      </c>
      <c r="F5" s="76" t="s">
        <v>368</v>
      </c>
      <c r="G5" s="76" t="s">
        <v>369</v>
      </c>
      <c r="H5" s="48"/>
    </row>
    <row r="6" spans="1:8" x14ac:dyDescent="0.25">
      <c r="A6" s="101" t="str">
        <f>'Data Vlaue (Cr)'!C2</f>
        <v>360ONE</v>
      </c>
      <c r="B6" s="144">
        <f>VLOOKUP($A6,'Data shares'!$C:$FA,7)</f>
        <v>998.1</v>
      </c>
      <c r="C6" s="144">
        <f>VLOOKUP($A6,'Data shares'!$C:$FA,3)</f>
        <v>1001.3</v>
      </c>
      <c r="D6" s="144">
        <f>VLOOKUP($A6,'Data shares'!$C:$FA,23)</f>
        <v>3.2</v>
      </c>
      <c r="E6" s="145">
        <f>VLOOKUP($A6,'Data shares'!$C:$FA,26)*100</f>
        <v>0.32</v>
      </c>
      <c r="F6" s="144">
        <f>VLOOKUP($A6,'Data shares'!$C:$FA,24)</f>
        <v>2.15</v>
      </c>
      <c r="G6" s="144">
        <f>VLOOKUP($A6,'Data shares'!$C:$FA,25)</f>
        <v>1.05</v>
      </c>
    </row>
    <row r="7" spans="1:8" x14ac:dyDescent="0.25">
      <c r="A7" s="101" t="str">
        <f>'Data Vlaue (Cr)'!C3</f>
        <v>ABB</v>
      </c>
      <c r="B7" s="144">
        <f>VLOOKUP($A7,'Data shares'!$C:$FA,7)</f>
        <v>6614</v>
      </c>
      <c r="C7" s="144">
        <f>VLOOKUP($A7,'Data shares'!$C:$FA,3)</f>
        <v>6646.5</v>
      </c>
      <c r="D7" s="144">
        <f>VLOOKUP($A7,'Data shares'!$C:$FA,23)</f>
        <v>32.5</v>
      </c>
      <c r="E7" s="145">
        <f>VLOOKUP($A7,'Data shares'!$C:$FA,26)*100</f>
        <v>0.49</v>
      </c>
      <c r="F7" s="144">
        <f>VLOOKUP($A7,'Data shares'!$C:$FA,24)</f>
        <v>-8</v>
      </c>
      <c r="G7" s="144">
        <f>VLOOKUP($A7,'Data shares'!$C:$FA,25)</f>
        <v>40.5</v>
      </c>
    </row>
    <row r="8" spans="1:8" x14ac:dyDescent="0.25">
      <c r="A8" s="101" t="str">
        <f>'Data Vlaue (Cr)'!C4</f>
        <v>ABCAPITAL</v>
      </c>
      <c r="B8" s="144">
        <f>VLOOKUP($A8,'Data shares'!$C:$FA,7)</f>
        <v>334.55</v>
      </c>
      <c r="C8" s="144">
        <f>VLOOKUP($A8,'Data shares'!$C:$FA,3)</f>
        <v>335.75</v>
      </c>
      <c r="D8" s="144">
        <f>VLOOKUP($A8,'Data shares'!$C:$FA,23)</f>
        <v>1.2</v>
      </c>
      <c r="E8" s="145">
        <f>VLOOKUP($A8,'Data shares'!$C:$FA,26)*100</f>
        <v>0.36</v>
      </c>
      <c r="F8" s="144">
        <f>VLOOKUP($A8,'Data shares'!$C:$FA,24)</f>
        <v>1.75</v>
      </c>
      <c r="G8" s="144">
        <f>VLOOKUP($A8,'Data shares'!$C:$FA,25)</f>
        <v>-0.55000000000000004</v>
      </c>
    </row>
    <row r="9" spans="1:8" x14ac:dyDescent="0.25">
      <c r="A9" s="101" t="str">
        <f>'Data Vlaue (Cr)'!C5</f>
        <v>ADANIENSOL</v>
      </c>
      <c r="B9" s="144">
        <f>VLOOKUP($A9,'Data shares'!$C:$FA,7)</f>
        <v>1078.75</v>
      </c>
      <c r="C9" s="144">
        <f>VLOOKUP($A9,'Data shares'!$C:$FA,3)</f>
        <v>1080.05</v>
      </c>
      <c r="D9" s="144">
        <f>VLOOKUP($A9,'Data shares'!$C:$FA,23)</f>
        <v>1.3</v>
      </c>
      <c r="E9" s="145">
        <f>VLOOKUP($A9,'Data shares'!$C:$FA,26)*100</f>
        <v>0.12</v>
      </c>
      <c r="F9" s="144">
        <f>VLOOKUP($A9,'Data shares'!$C:$FA,24)</f>
        <v>6.7</v>
      </c>
      <c r="G9" s="144">
        <f>VLOOKUP($A9,'Data shares'!$C:$FA,25)</f>
        <v>-5.4</v>
      </c>
    </row>
    <row r="10" spans="1:8" x14ac:dyDescent="0.25">
      <c r="A10" s="101" t="str">
        <f>'Data Vlaue (Cr)'!C6</f>
        <v>ADANIENT</v>
      </c>
      <c r="B10" s="144">
        <f>VLOOKUP($A10,'Data shares'!$C:$FA,7)</f>
        <v>2040.5</v>
      </c>
      <c r="C10" s="144">
        <f>VLOOKUP($A10,'Data shares'!$C:$FA,3)</f>
        <v>2050.8000000000002</v>
      </c>
      <c r="D10" s="144">
        <f>VLOOKUP($A10,'Data shares'!$C:$FA,23)</f>
        <v>10.3</v>
      </c>
      <c r="E10" s="145">
        <f>VLOOKUP($A10,'Data shares'!$C:$FA,26)*100</f>
        <v>0.5</v>
      </c>
      <c r="F10" s="144">
        <f>VLOOKUP($A10,'Data shares'!$C:$FA,24)</f>
        <v>9.9</v>
      </c>
      <c r="G10" s="144">
        <f>VLOOKUP($A10,'Data shares'!$C:$FA,25)</f>
        <v>0.4</v>
      </c>
    </row>
    <row r="11" spans="1:8" x14ac:dyDescent="0.25">
      <c r="A11" s="101" t="str">
        <f>'Data Vlaue (Cr)'!C7</f>
        <v>ADANIGREEN</v>
      </c>
      <c r="B11" s="144">
        <f>VLOOKUP($A11,'Data shares'!$C:$FA,7)</f>
        <v>1044.55</v>
      </c>
      <c r="C11" s="144">
        <f>VLOOKUP($A11,'Data shares'!$C:$FA,3)</f>
        <v>1049.6500000000001</v>
      </c>
      <c r="D11" s="144">
        <f>VLOOKUP($A11,'Data shares'!$C:$FA,23)</f>
        <v>5.0999999999999996</v>
      </c>
      <c r="E11" s="145">
        <f>VLOOKUP($A11,'Data shares'!$C:$FA,26)*100</f>
        <v>0.49</v>
      </c>
      <c r="F11" s="144">
        <f>VLOOKUP($A11,'Data shares'!$C:$FA,24)</f>
        <v>2</v>
      </c>
      <c r="G11" s="144">
        <f>VLOOKUP($A11,'Data shares'!$C:$FA,25)</f>
        <v>3.1</v>
      </c>
    </row>
    <row r="12" spans="1:8" x14ac:dyDescent="0.25">
      <c r="A12" s="101" t="str">
        <f>'Data Vlaue (Cr)'!C8</f>
        <v>ADANIPORTS</v>
      </c>
      <c r="B12" s="144">
        <f>VLOOKUP($A12,'Data shares'!$C:$FA,7)</f>
        <v>1447.4</v>
      </c>
      <c r="C12" s="144">
        <f>VLOOKUP($A12,'Data shares'!$C:$FA,3)</f>
        <v>1452</v>
      </c>
      <c r="D12" s="144">
        <f>VLOOKUP($A12,'Data shares'!$C:$FA,23)</f>
        <v>4.5999999999999996</v>
      </c>
      <c r="E12" s="145">
        <f>VLOOKUP($A12,'Data shares'!$C:$FA,26)*100</f>
        <v>0.32</v>
      </c>
      <c r="F12" s="144">
        <f>VLOOKUP($A12,'Data shares'!$C:$FA,24)</f>
        <v>7.2</v>
      </c>
      <c r="G12" s="144">
        <f>VLOOKUP($A12,'Data shares'!$C:$FA,25)</f>
        <v>-2.6</v>
      </c>
    </row>
    <row r="13" spans="1:8" x14ac:dyDescent="0.25">
      <c r="A13" s="101" t="str">
        <f>'Data Vlaue (Cr)'!C9</f>
        <v>ADANIPOWER</v>
      </c>
      <c r="B13" s="144">
        <f>VLOOKUP($A13,'Data shares'!$C:$FA,7)</f>
        <v>172.33</v>
      </c>
      <c r="C13" s="144">
        <f>VLOOKUP($A13,'Data shares'!$C:$FA,3)</f>
        <v>173.5</v>
      </c>
      <c r="D13" s="144">
        <f>VLOOKUP($A13,'Data shares'!$C:$FA,23)</f>
        <v>1.17</v>
      </c>
      <c r="E13" s="145">
        <f>VLOOKUP($A13,'Data shares'!$C:$FA,26)*100</f>
        <v>0.67999999999999994</v>
      </c>
      <c r="F13" s="144">
        <f>VLOOKUP($A13,'Data shares'!$C:$FA,24)</f>
        <v>0.44</v>
      </c>
      <c r="G13" s="144">
        <f>VLOOKUP($A13,'Data shares'!$C:$FA,25)</f>
        <v>0.73</v>
      </c>
    </row>
    <row r="14" spans="1:8" x14ac:dyDescent="0.25">
      <c r="A14" s="101" t="str">
        <f>'Data Vlaue (Cr)'!C10</f>
        <v>ALKEM</v>
      </c>
      <c r="B14" s="144">
        <f>VLOOKUP($A14,'Data shares'!$C:$FA,7)</f>
        <v>5370.5</v>
      </c>
      <c r="C14" s="144">
        <f>VLOOKUP($A14,'Data shares'!$C:$FA,3)</f>
        <v>5399.5</v>
      </c>
      <c r="D14" s="144">
        <f>VLOOKUP($A14,'Data shares'!$C:$FA,23)</f>
        <v>29</v>
      </c>
      <c r="E14" s="145">
        <f>VLOOKUP($A14,'Data shares'!$C:$FA,26)*100</f>
        <v>0.54</v>
      </c>
      <c r="F14" s="144">
        <f>VLOOKUP($A14,'Data shares'!$C:$FA,24)</f>
        <v>22.5</v>
      </c>
      <c r="G14" s="144">
        <f>VLOOKUP($A14,'Data shares'!$C:$FA,25)</f>
        <v>6.5</v>
      </c>
    </row>
    <row r="15" spans="1:8" x14ac:dyDescent="0.25">
      <c r="A15" s="101" t="str">
        <f>'Data Vlaue (Cr)'!C11</f>
        <v>AMBER</v>
      </c>
      <c r="B15" s="144">
        <f>VLOOKUP($A15,'Data shares'!$C:$FA,7)</f>
        <v>6888.5</v>
      </c>
      <c r="C15" s="144">
        <f>VLOOKUP($A15,'Data shares'!$C:$FA,3)</f>
        <v>6899.5</v>
      </c>
      <c r="D15" s="144">
        <f>VLOOKUP($A15,'Data shares'!$C:$FA,23)</f>
        <v>11</v>
      </c>
      <c r="E15" s="145">
        <f>VLOOKUP($A15,'Data shares'!$C:$FA,26)*100</f>
        <v>0.16</v>
      </c>
      <c r="F15" s="144">
        <f>VLOOKUP($A15,'Data shares'!$C:$FA,24)</f>
        <v>4</v>
      </c>
      <c r="G15" s="144">
        <f>VLOOKUP($A15,'Data shares'!$C:$FA,25)</f>
        <v>7</v>
      </c>
    </row>
    <row r="16" spans="1:8" x14ac:dyDescent="0.25">
      <c r="A16" s="101" t="str">
        <f>'Data Vlaue (Cr)'!C12</f>
        <v>AMBUJACEM</v>
      </c>
      <c r="B16" s="144">
        <f>VLOOKUP($A16,'Data shares'!$C:$FA,7)</f>
        <v>434.05</v>
      </c>
      <c r="C16" s="144">
        <f>VLOOKUP($A16,'Data shares'!$C:$FA,3)</f>
        <v>434.5</v>
      </c>
      <c r="D16" s="144">
        <f>VLOOKUP($A16,'Data shares'!$C:$FA,23)</f>
        <v>0.45</v>
      </c>
      <c r="E16" s="145">
        <f>VLOOKUP($A16,'Data shares'!$C:$FA,26)*100</f>
        <v>0.1</v>
      </c>
      <c r="F16" s="144">
        <f>VLOOKUP($A16,'Data shares'!$C:$FA,24)</f>
        <v>0.9</v>
      </c>
      <c r="G16" s="144">
        <f>VLOOKUP($A16,'Data shares'!$C:$FA,25)</f>
        <v>-0.45</v>
      </c>
    </row>
    <row r="17" spans="1:7" x14ac:dyDescent="0.25">
      <c r="A17" s="101" t="str">
        <f>'Data Vlaue (Cr)'!C13</f>
        <v>ANGELONE</v>
      </c>
      <c r="B17" s="144">
        <f>VLOOKUP($A17,'Data shares'!$C:$FA,7)</f>
        <v>281.8</v>
      </c>
      <c r="C17" s="144">
        <f>VLOOKUP($A17,'Data shares'!$C:$FA,3)</f>
        <v>276.13</v>
      </c>
      <c r="D17" s="144">
        <f>VLOOKUP($A17,'Data shares'!$C:$FA,23)</f>
        <v>-5.67</v>
      </c>
      <c r="E17" s="145">
        <f>VLOOKUP($A17,'Data shares'!$C:$FA,26)*100</f>
        <v>-2.0099999999999998</v>
      </c>
      <c r="F17" s="144">
        <f>VLOOKUP($A17,'Data shares'!$C:$FA,24)</f>
        <v>-2.19</v>
      </c>
      <c r="G17" s="144">
        <f>VLOOKUP($A17,'Data shares'!$C:$FA,25)</f>
        <v>-3.48</v>
      </c>
    </row>
    <row r="18" spans="1:7" x14ac:dyDescent="0.25">
      <c r="A18" s="101" t="str">
        <f>'Data Vlaue (Cr)'!C14</f>
        <v>APLAPOLLO</v>
      </c>
      <c r="B18" s="144">
        <f>VLOOKUP($A18,'Data shares'!$C:$FA,7)</f>
        <v>2040.3</v>
      </c>
      <c r="C18" s="144">
        <f>VLOOKUP($A18,'Data shares'!$C:$FA,3)</f>
        <v>2048.5</v>
      </c>
      <c r="D18" s="144">
        <f>VLOOKUP($A18,'Data shares'!$C:$FA,23)</f>
        <v>8.1999999999999993</v>
      </c>
      <c r="E18" s="145">
        <f>VLOOKUP($A18,'Data shares'!$C:$FA,26)*100</f>
        <v>0.4</v>
      </c>
      <c r="F18" s="144">
        <f>VLOOKUP($A18,'Data shares'!$C:$FA,24)</f>
        <v>4.5</v>
      </c>
      <c r="G18" s="144">
        <f>VLOOKUP($A18,'Data shares'!$C:$FA,25)</f>
        <v>3.7</v>
      </c>
    </row>
    <row r="19" spans="1:7" x14ac:dyDescent="0.25">
      <c r="A19" s="101" t="str">
        <f>'Data Vlaue (Cr)'!C15</f>
        <v>APOLLOHOSP</v>
      </c>
      <c r="B19" s="144">
        <f>VLOOKUP($A19,'Data shares'!$C:$FA,7)</f>
        <v>7481.5</v>
      </c>
      <c r="C19" s="144">
        <f>VLOOKUP($A19,'Data shares'!$C:$FA,3)</f>
        <v>7495</v>
      </c>
      <c r="D19" s="144">
        <f>VLOOKUP($A19,'Data shares'!$C:$FA,23)</f>
        <v>13.5</v>
      </c>
      <c r="E19" s="145">
        <f>VLOOKUP($A19,'Data shares'!$C:$FA,26)*100</f>
        <v>0.18</v>
      </c>
      <c r="F19" s="144">
        <f>VLOOKUP($A19,'Data shares'!$C:$FA,24)</f>
        <v>15.5</v>
      </c>
      <c r="G19" s="144">
        <f>VLOOKUP($A19,'Data shares'!$C:$FA,25)</f>
        <v>-2</v>
      </c>
    </row>
    <row r="20" spans="1:7" x14ac:dyDescent="0.25">
      <c r="A20" s="101" t="str">
        <f>'Data Vlaue (Cr)'!C16</f>
        <v>ASHOKLEY</v>
      </c>
      <c r="B20" s="144">
        <f>VLOOKUP($A20,'Data shares'!$C:$FA,7)</f>
        <v>170.38</v>
      </c>
      <c r="C20" s="144">
        <f>VLOOKUP($A20,'Data shares'!$C:$FA,3)</f>
        <v>170.54</v>
      </c>
      <c r="D20" s="144">
        <f>VLOOKUP($A20,'Data shares'!$C:$FA,23)</f>
        <v>0.16</v>
      </c>
      <c r="E20" s="145">
        <f>VLOOKUP($A20,'Data shares'!$C:$FA,26)*100</f>
        <v>0.09</v>
      </c>
      <c r="F20" s="144">
        <f>VLOOKUP($A20,'Data shares'!$C:$FA,24)</f>
        <v>0.14000000000000001</v>
      </c>
      <c r="G20" s="144">
        <f>VLOOKUP($A20,'Data shares'!$C:$FA,25)</f>
        <v>0.02</v>
      </c>
    </row>
    <row r="21" spans="1:7" x14ac:dyDescent="0.25">
      <c r="A21" s="101" t="str">
        <f>'Data Vlaue (Cr)'!C17</f>
        <v>ASIANPAINT</v>
      </c>
      <c r="B21" s="144">
        <f>VLOOKUP($A21,'Data shares'!$C:$FA,7)</f>
        <v>2269.6</v>
      </c>
      <c r="C21" s="144">
        <f>VLOOKUP($A21,'Data shares'!$C:$FA,3)</f>
        <v>2274.9</v>
      </c>
      <c r="D21" s="144">
        <f>VLOOKUP($A21,'Data shares'!$C:$FA,23)</f>
        <v>5.3</v>
      </c>
      <c r="E21" s="145">
        <f>VLOOKUP($A21,'Data shares'!$C:$FA,26)*100</f>
        <v>0.22999999999999998</v>
      </c>
      <c r="F21" s="144">
        <f>VLOOKUP($A21,'Data shares'!$C:$FA,24)</f>
        <v>10.7</v>
      </c>
      <c r="G21" s="144">
        <f>VLOOKUP($A21,'Data shares'!$C:$FA,25)</f>
        <v>-5.4</v>
      </c>
    </row>
    <row r="22" spans="1:7" x14ac:dyDescent="0.25">
      <c r="A22" s="101" t="str">
        <f>'Data Vlaue (Cr)'!C18</f>
        <v>ASTRAL</v>
      </c>
      <c r="B22" s="144">
        <f>VLOOKUP($A22,'Data shares'!$C:$FA,7)</f>
        <v>1563.7</v>
      </c>
      <c r="C22" s="144">
        <f>VLOOKUP($A22,'Data shares'!$C:$FA,3)</f>
        <v>1557.8</v>
      </c>
      <c r="D22" s="144">
        <f>VLOOKUP($A22,'Data shares'!$C:$FA,23)</f>
        <v>-5.9</v>
      </c>
      <c r="E22" s="145">
        <f>VLOOKUP($A22,'Data shares'!$C:$FA,26)*100</f>
        <v>-0.38</v>
      </c>
      <c r="F22" s="144">
        <f>VLOOKUP($A22,'Data shares'!$C:$FA,24)</f>
        <v>3.8</v>
      </c>
      <c r="G22" s="144">
        <f>VLOOKUP($A22,'Data shares'!$C:$FA,25)</f>
        <v>-9.6999999999999993</v>
      </c>
    </row>
    <row r="23" spans="1:7" x14ac:dyDescent="0.25">
      <c r="A23" s="101" t="str">
        <f>'Data Vlaue (Cr)'!C19</f>
        <v>AUBANK</v>
      </c>
      <c r="B23" s="144">
        <f>VLOOKUP($A23,'Data shares'!$C:$FA,7)</f>
        <v>963</v>
      </c>
      <c r="C23" s="144">
        <f>VLOOKUP($A23,'Data shares'!$C:$FA,3)</f>
        <v>964.55</v>
      </c>
      <c r="D23" s="144">
        <f>VLOOKUP($A23,'Data shares'!$C:$FA,23)</f>
        <v>1.55</v>
      </c>
      <c r="E23" s="145">
        <f>VLOOKUP($A23,'Data shares'!$C:$FA,26)*100</f>
        <v>0.16</v>
      </c>
      <c r="F23" s="144">
        <f>VLOOKUP($A23,'Data shares'!$C:$FA,24)</f>
        <v>2</v>
      </c>
      <c r="G23" s="144">
        <f>VLOOKUP($A23,'Data shares'!$C:$FA,25)</f>
        <v>-0.45</v>
      </c>
    </row>
    <row r="24" spans="1:7" x14ac:dyDescent="0.25">
      <c r="A24" s="101" t="str">
        <f>'Data Vlaue (Cr)'!C20</f>
        <v>AUROPHARMA</v>
      </c>
      <c r="B24" s="144">
        <f>VLOOKUP($A24,'Data shares'!$C:$FA,7)</f>
        <v>1340.4</v>
      </c>
      <c r="C24" s="144">
        <f>VLOOKUP($A24,'Data shares'!$C:$FA,3)</f>
        <v>1345.8</v>
      </c>
      <c r="D24" s="144">
        <f>VLOOKUP($A24,'Data shares'!$C:$FA,23)</f>
        <v>5.4</v>
      </c>
      <c r="E24" s="145">
        <f>VLOOKUP($A24,'Data shares'!$C:$FA,26)*100</f>
        <v>0.4</v>
      </c>
      <c r="F24" s="144">
        <f>VLOOKUP($A24,'Data shares'!$C:$FA,24)</f>
        <v>6.5</v>
      </c>
      <c r="G24" s="144">
        <f>VLOOKUP($A24,'Data shares'!$C:$FA,25)</f>
        <v>-1.1000000000000001</v>
      </c>
    </row>
    <row r="25" spans="1:7" x14ac:dyDescent="0.25">
      <c r="A25" s="101" t="str">
        <f>'Data Vlaue (Cr)'!C21</f>
        <v>AXISBANK</v>
      </c>
      <c r="B25" s="144">
        <f>VLOOKUP($A25,'Data shares'!$C:$FA,7)</f>
        <v>1318.5</v>
      </c>
      <c r="C25" s="144">
        <f>VLOOKUP($A25,'Data shares'!$C:$FA,3)</f>
        <v>1323.2</v>
      </c>
      <c r="D25" s="144">
        <f>VLOOKUP($A25,'Data shares'!$C:$FA,23)</f>
        <v>4.7</v>
      </c>
      <c r="E25" s="145">
        <f>VLOOKUP($A25,'Data shares'!$C:$FA,26)*100</f>
        <v>0.36</v>
      </c>
      <c r="F25" s="144">
        <f>VLOOKUP($A25,'Data shares'!$C:$FA,24)</f>
        <v>2.6</v>
      </c>
      <c r="G25" s="144">
        <f>VLOOKUP($A25,'Data shares'!$C:$FA,25)</f>
        <v>2.1</v>
      </c>
    </row>
    <row r="26" spans="1:7" x14ac:dyDescent="0.25">
      <c r="A26" s="101" t="str">
        <f>'Data Vlaue (Cr)'!C22</f>
        <v>BAJAJ-AUTO</v>
      </c>
      <c r="B26" s="144">
        <f>VLOOKUP($A26,'Data shares'!$C:$FA,7)</f>
        <v>9517</v>
      </c>
      <c r="C26" s="144">
        <f>VLOOKUP($A26,'Data shares'!$C:$FA,3)</f>
        <v>9516.5</v>
      </c>
      <c r="D26" s="144">
        <f>VLOOKUP($A26,'Data shares'!$C:$FA,23)</f>
        <v>-0.5</v>
      </c>
      <c r="E26" s="145">
        <f>VLOOKUP($A26,'Data shares'!$C:$FA,26)*100</f>
        <v>-0.01</v>
      </c>
      <c r="F26" s="144">
        <f>VLOOKUP($A26,'Data shares'!$C:$FA,24)</f>
        <v>15</v>
      </c>
      <c r="G26" s="144">
        <f>VLOOKUP($A26,'Data shares'!$C:$FA,25)</f>
        <v>-15.5</v>
      </c>
    </row>
    <row r="27" spans="1:7" x14ac:dyDescent="0.25">
      <c r="A27" s="101" t="str">
        <f>'Data Vlaue (Cr)'!C23</f>
        <v>BAJAJFINSV</v>
      </c>
      <c r="B27" s="144">
        <f>VLOOKUP($A27,'Data shares'!$C:$FA,7)</f>
        <v>1767.7</v>
      </c>
      <c r="C27" s="144">
        <f>VLOOKUP($A27,'Data shares'!$C:$FA,3)</f>
        <v>1773.5</v>
      </c>
      <c r="D27" s="144">
        <f>VLOOKUP($A27,'Data shares'!$C:$FA,23)</f>
        <v>5.8</v>
      </c>
      <c r="E27" s="145">
        <f>VLOOKUP($A27,'Data shares'!$C:$FA,26)*100</f>
        <v>0.33</v>
      </c>
      <c r="F27" s="144">
        <f>VLOOKUP($A27,'Data shares'!$C:$FA,24)</f>
        <v>9.1</v>
      </c>
      <c r="G27" s="144">
        <f>VLOOKUP($A27,'Data shares'!$C:$FA,25)</f>
        <v>-3.3</v>
      </c>
    </row>
    <row r="28" spans="1:7" x14ac:dyDescent="0.25">
      <c r="A28" s="101" t="str">
        <f>'Data Vlaue (Cr)'!C24</f>
        <v>BAJAJHLDNG</v>
      </c>
      <c r="B28" s="144">
        <f>VLOOKUP($A28,'Data shares'!$C:$FA,7)</f>
        <v>9912.5</v>
      </c>
      <c r="C28" s="144">
        <f>VLOOKUP($A28,'Data shares'!$C:$FA,3)</f>
        <v>9933</v>
      </c>
      <c r="D28" s="144">
        <f>VLOOKUP($A28,'Data shares'!$C:$FA,23)</f>
        <v>20.5</v>
      </c>
      <c r="E28" s="145">
        <f>VLOOKUP($A28,'Data shares'!$C:$FA,26)*100</f>
        <v>0.21</v>
      </c>
      <c r="F28" s="144">
        <f>VLOOKUP($A28,'Data shares'!$C:$FA,24)</f>
        <v>55</v>
      </c>
      <c r="G28" s="144">
        <f>VLOOKUP($A28,'Data shares'!$C:$FA,25)</f>
        <v>-34.5</v>
      </c>
    </row>
    <row r="29" spans="1:7" x14ac:dyDescent="0.25">
      <c r="A29" s="101" t="str">
        <f>'Data Vlaue (Cr)'!C25</f>
        <v>BAJFINANCE</v>
      </c>
      <c r="B29" s="144">
        <f>VLOOKUP($A29,'Data shares'!$C:$FA,7)</f>
        <v>903.25</v>
      </c>
      <c r="C29" s="144">
        <f>VLOOKUP($A29,'Data shares'!$C:$FA,3)</f>
        <v>904.25</v>
      </c>
      <c r="D29" s="144">
        <f>VLOOKUP($A29,'Data shares'!$C:$FA,23)</f>
        <v>1</v>
      </c>
      <c r="E29" s="145">
        <f>VLOOKUP($A29,'Data shares'!$C:$FA,26)*100</f>
        <v>0.11</v>
      </c>
      <c r="F29" s="144">
        <f>VLOOKUP($A29,'Data shares'!$C:$FA,24)</f>
        <v>1.55</v>
      </c>
      <c r="G29" s="144">
        <f>VLOOKUP($A29,'Data shares'!$C:$FA,25)</f>
        <v>-0.55000000000000004</v>
      </c>
    </row>
    <row r="30" spans="1:7" x14ac:dyDescent="0.25">
      <c r="A30" s="101" t="str">
        <f>'Data Vlaue (Cr)'!C26</f>
        <v>BANDHANBNK</v>
      </c>
      <c r="B30" s="144">
        <f>VLOOKUP($A30,'Data shares'!$C:$FA,7)</f>
        <v>165.94</v>
      </c>
      <c r="C30" s="144">
        <f>VLOOKUP($A30,'Data shares'!$C:$FA,3)</f>
        <v>166.35</v>
      </c>
      <c r="D30" s="144">
        <f>VLOOKUP($A30,'Data shares'!$C:$FA,23)</f>
        <v>0.41</v>
      </c>
      <c r="E30" s="145">
        <f>VLOOKUP($A30,'Data shares'!$C:$FA,26)*100</f>
        <v>0.25</v>
      </c>
      <c r="F30" s="144">
        <f>VLOOKUP($A30,'Data shares'!$C:$FA,24)</f>
        <v>0.72</v>
      </c>
      <c r="G30" s="144">
        <f>VLOOKUP($A30,'Data shares'!$C:$FA,25)</f>
        <v>-0.31</v>
      </c>
    </row>
    <row r="31" spans="1:7" x14ac:dyDescent="0.25">
      <c r="A31" s="101" t="str">
        <f>'Data Vlaue (Cr)'!C27</f>
        <v>BANKBARODA</v>
      </c>
      <c r="B31" s="144">
        <f>VLOOKUP($A31,'Data shares'!$C:$FA,7)</f>
        <v>274.24</v>
      </c>
      <c r="C31" s="144">
        <f>VLOOKUP($A31,'Data shares'!$C:$FA,3)</f>
        <v>274.48</v>
      </c>
      <c r="D31" s="144">
        <f>VLOOKUP($A31,'Data shares'!$C:$FA,23)</f>
        <v>0.24</v>
      </c>
      <c r="E31" s="145">
        <f>VLOOKUP($A31,'Data shares'!$C:$FA,26)*100</f>
        <v>0.09</v>
      </c>
      <c r="F31" s="144">
        <f>VLOOKUP($A31,'Data shares'!$C:$FA,24)</f>
        <v>1.2</v>
      </c>
      <c r="G31" s="144">
        <f>VLOOKUP($A31,'Data shares'!$C:$FA,25)</f>
        <v>-0.96</v>
      </c>
    </row>
    <row r="32" spans="1:7" x14ac:dyDescent="0.25">
      <c r="A32" s="101" t="str">
        <f>'Data Vlaue (Cr)'!C28</f>
        <v>BANKINDIA</v>
      </c>
      <c r="B32" s="144">
        <f>VLOOKUP($A32,'Data shares'!$C:$FA,7)</f>
        <v>144.29</v>
      </c>
      <c r="C32" s="144">
        <f>VLOOKUP($A32,'Data shares'!$C:$FA,3)</f>
        <v>144.79</v>
      </c>
      <c r="D32" s="144">
        <f>VLOOKUP($A32,'Data shares'!$C:$FA,23)</f>
        <v>0.5</v>
      </c>
      <c r="E32" s="145">
        <f>VLOOKUP($A32,'Data shares'!$C:$FA,26)*100</f>
        <v>0.35000000000000003</v>
      </c>
      <c r="F32" s="144">
        <f>VLOOKUP($A32,'Data shares'!$C:$FA,24)</f>
        <v>0.53</v>
      </c>
      <c r="G32" s="144">
        <f>VLOOKUP($A32,'Data shares'!$C:$FA,25)</f>
        <v>-0.03</v>
      </c>
    </row>
    <row r="33" spans="1:7" x14ac:dyDescent="0.25">
      <c r="A33" s="101" t="str">
        <f>'Data Vlaue (Cr)'!C29</f>
        <v>BANKNIFTY</v>
      </c>
      <c r="B33" s="144">
        <f>VLOOKUP($A33,'Data shares'!$C:$FA,7)</f>
        <v>54821.7</v>
      </c>
      <c r="C33" s="144">
        <f>VLOOKUP($A33,'Data shares'!$C:$FA,3)</f>
        <v>55080</v>
      </c>
      <c r="D33" s="144">
        <f>VLOOKUP($A33,'Data shares'!$C:$FA,23)</f>
        <v>258.3</v>
      </c>
      <c r="E33" s="145">
        <f>VLOOKUP($A33,'Data shares'!$C:$FA,26)*100</f>
        <v>0.47000000000000003</v>
      </c>
      <c r="F33" s="144">
        <f>VLOOKUP($A33,'Data shares'!$C:$FA,24)</f>
        <v>224.1</v>
      </c>
      <c r="G33" s="144">
        <f>VLOOKUP($A33,'Data shares'!$C:$FA,25)</f>
        <v>34.200000000000003</v>
      </c>
    </row>
    <row r="34" spans="1:7" x14ac:dyDescent="0.25">
      <c r="A34" s="101" t="str">
        <f>'Data Vlaue (Cr)'!C30</f>
        <v>BDL</v>
      </c>
      <c r="B34" s="144">
        <f>VLOOKUP($A34,'Data shares'!$C:$FA,7)</f>
        <v>1325.5</v>
      </c>
      <c r="C34" s="144">
        <f>VLOOKUP($A34,'Data shares'!$C:$FA,3)</f>
        <v>1326.5</v>
      </c>
      <c r="D34" s="144">
        <f>VLOOKUP($A34,'Data shares'!$C:$FA,23)</f>
        <v>1</v>
      </c>
      <c r="E34" s="145">
        <f>VLOOKUP($A34,'Data shares'!$C:$FA,26)*100</f>
        <v>0.08</v>
      </c>
      <c r="F34" s="144">
        <f>VLOOKUP($A34,'Data shares'!$C:$FA,24)</f>
        <v>-1.7</v>
      </c>
      <c r="G34" s="144">
        <f>VLOOKUP($A34,'Data shares'!$C:$FA,25)</f>
        <v>2.7</v>
      </c>
    </row>
    <row r="35" spans="1:7" x14ac:dyDescent="0.25">
      <c r="A35" s="101" t="str">
        <f>'Data Vlaue (Cr)'!C31</f>
        <v>BEL</v>
      </c>
      <c r="B35" s="144">
        <f>VLOOKUP($A35,'Data shares'!$C:$FA,7)</f>
        <v>439.75</v>
      </c>
      <c r="C35" s="144">
        <f>VLOOKUP($A35,'Data shares'!$C:$FA,3)</f>
        <v>441.85</v>
      </c>
      <c r="D35" s="144">
        <f>VLOOKUP($A35,'Data shares'!$C:$FA,23)</f>
        <v>2.1</v>
      </c>
      <c r="E35" s="145">
        <f>VLOOKUP($A35,'Data shares'!$C:$FA,26)*100</f>
        <v>0.48</v>
      </c>
      <c r="F35" s="144">
        <f>VLOOKUP($A35,'Data shares'!$C:$FA,24)</f>
        <v>2</v>
      </c>
      <c r="G35" s="144">
        <f>VLOOKUP($A35,'Data shares'!$C:$FA,25)</f>
        <v>0.1</v>
      </c>
    </row>
    <row r="36" spans="1:7" x14ac:dyDescent="0.25">
      <c r="A36" s="101" t="str">
        <f>'Data Vlaue (Cr)'!C32</f>
        <v>BHARATFORG</v>
      </c>
      <c r="B36" s="144">
        <f>VLOOKUP($A36,'Data shares'!$C:$FA,7)</f>
        <v>1739.4</v>
      </c>
      <c r="C36" s="144">
        <f>VLOOKUP($A36,'Data shares'!$C:$FA,3)</f>
        <v>1748.2</v>
      </c>
      <c r="D36" s="144">
        <f>VLOOKUP($A36,'Data shares'!$C:$FA,23)</f>
        <v>8.8000000000000007</v>
      </c>
      <c r="E36" s="145">
        <f>VLOOKUP($A36,'Data shares'!$C:$FA,26)*100</f>
        <v>0.51</v>
      </c>
      <c r="F36" s="144">
        <f>VLOOKUP($A36,'Data shares'!$C:$FA,24)</f>
        <v>9</v>
      </c>
      <c r="G36" s="144">
        <f>VLOOKUP($A36,'Data shares'!$C:$FA,25)</f>
        <v>-0.2</v>
      </c>
    </row>
    <row r="37" spans="1:7" x14ac:dyDescent="0.25">
      <c r="A37" s="101" t="str">
        <f>'Data Vlaue (Cr)'!C33</f>
        <v>BHARTIARTL</v>
      </c>
      <c r="B37" s="144">
        <f>VLOOKUP($A37,'Data shares'!$C:$FA,7)</f>
        <v>1859.4</v>
      </c>
      <c r="C37" s="144">
        <f>VLOOKUP($A37,'Data shares'!$C:$FA,3)</f>
        <v>1866.1</v>
      </c>
      <c r="D37" s="144">
        <f>VLOOKUP($A37,'Data shares'!$C:$FA,23)</f>
        <v>6.7</v>
      </c>
      <c r="E37" s="145">
        <f>VLOOKUP($A37,'Data shares'!$C:$FA,26)*100</f>
        <v>0.36</v>
      </c>
      <c r="F37" s="144">
        <f>VLOOKUP($A37,'Data shares'!$C:$FA,24)</f>
        <v>3.9</v>
      </c>
      <c r="G37" s="144">
        <f>VLOOKUP($A37,'Data shares'!$C:$FA,25)</f>
        <v>2.8</v>
      </c>
    </row>
    <row r="38" spans="1:7" x14ac:dyDescent="0.25">
      <c r="A38" s="101" t="str">
        <f>'Data Vlaue (Cr)'!C34</f>
        <v>BHEL</v>
      </c>
      <c r="B38" s="144">
        <f>VLOOKUP($A38,'Data shares'!$C:$FA,7)</f>
        <v>277.2</v>
      </c>
      <c r="C38" s="144">
        <f>VLOOKUP($A38,'Data shares'!$C:$FA,3)</f>
        <v>277.77</v>
      </c>
      <c r="D38" s="144">
        <f>VLOOKUP($A38,'Data shares'!$C:$FA,23)</f>
        <v>0.56999999999999995</v>
      </c>
      <c r="E38" s="145">
        <f>VLOOKUP($A38,'Data shares'!$C:$FA,26)*100</f>
        <v>0.21</v>
      </c>
      <c r="F38" s="144">
        <f>VLOOKUP($A38,'Data shares'!$C:$FA,24)</f>
        <v>1.54</v>
      </c>
      <c r="G38" s="144">
        <f>VLOOKUP($A38,'Data shares'!$C:$FA,25)</f>
        <v>-0.97</v>
      </c>
    </row>
    <row r="39" spans="1:7" x14ac:dyDescent="0.25">
      <c r="A39" s="101" t="str">
        <f>'Data Vlaue (Cr)'!C35</f>
        <v>BIOCON</v>
      </c>
      <c r="B39" s="144">
        <f>VLOOKUP($A39,'Data shares'!$C:$FA,7)</f>
        <v>345.7</v>
      </c>
      <c r="C39" s="144">
        <f>VLOOKUP($A39,'Data shares'!$C:$FA,3)</f>
        <v>346.8</v>
      </c>
      <c r="D39" s="144">
        <f>VLOOKUP($A39,'Data shares'!$C:$FA,23)</f>
        <v>1.1000000000000001</v>
      </c>
      <c r="E39" s="145">
        <f>VLOOKUP($A39,'Data shares'!$C:$FA,26)*100</f>
        <v>0.32</v>
      </c>
      <c r="F39" s="144">
        <f>VLOOKUP($A39,'Data shares'!$C:$FA,24)</f>
        <v>1.6</v>
      </c>
      <c r="G39" s="144">
        <f>VLOOKUP($A39,'Data shares'!$C:$FA,25)</f>
        <v>-0.5</v>
      </c>
    </row>
    <row r="40" spans="1:7" x14ac:dyDescent="0.25">
      <c r="A40" s="101" t="str">
        <f>'Data Vlaue (Cr)'!C36</f>
        <v>BLUESTARCO</v>
      </c>
      <c r="B40" s="144">
        <f>VLOOKUP($A40,'Data shares'!$C:$FA,7)</f>
        <v>1655.6</v>
      </c>
      <c r="C40" s="144">
        <f>VLOOKUP($A40,'Data shares'!$C:$FA,3)</f>
        <v>1648.9</v>
      </c>
      <c r="D40" s="144">
        <f>VLOOKUP($A40,'Data shares'!$C:$FA,23)</f>
        <v>-6.7</v>
      </c>
      <c r="E40" s="145">
        <f>VLOOKUP($A40,'Data shares'!$C:$FA,26)*100</f>
        <v>-0.4</v>
      </c>
      <c r="F40" s="144">
        <f>VLOOKUP($A40,'Data shares'!$C:$FA,24)</f>
        <v>2.6</v>
      </c>
      <c r="G40" s="144">
        <f>VLOOKUP($A40,'Data shares'!$C:$FA,25)</f>
        <v>-9.3000000000000007</v>
      </c>
    </row>
    <row r="41" spans="1:7" x14ac:dyDescent="0.25">
      <c r="A41" s="101" t="str">
        <f>'Data Vlaue (Cr)'!C37</f>
        <v>BOSCHLTD</v>
      </c>
      <c r="B41" s="144">
        <f>VLOOKUP($A41,'Data shares'!$C:$FA,7)</f>
        <v>36770</v>
      </c>
      <c r="C41" s="144">
        <f>VLOOKUP($A41,'Data shares'!$C:$FA,3)</f>
        <v>36840</v>
      </c>
      <c r="D41" s="144">
        <f>VLOOKUP($A41,'Data shares'!$C:$FA,23)</f>
        <v>70</v>
      </c>
      <c r="E41" s="145">
        <f>VLOOKUP($A41,'Data shares'!$C:$FA,26)*100</f>
        <v>0.19</v>
      </c>
      <c r="F41" s="144">
        <f>VLOOKUP($A41,'Data shares'!$C:$FA,24)</f>
        <v>190</v>
      </c>
      <c r="G41" s="144">
        <f>VLOOKUP($A41,'Data shares'!$C:$FA,25)</f>
        <v>-120</v>
      </c>
    </row>
    <row r="42" spans="1:7" x14ac:dyDescent="0.25">
      <c r="A42" s="101" t="str">
        <f>'Data Vlaue (Cr)'!C38</f>
        <v>BPCL</v>
      </c>
      <c r="B42" s="144">
        <f>VLOOKUP($A42,'Data shares'!$C:$FA,7)</f>
        <v>297.35000000000002</v>
      </c>
      <c r="C42" s="144">
        <f>VLOOKUP($A42,'Data shares'!$C:$FA,3)</f>
        <v>297.95</v>
      </c>
      <c r="D42" s="144">
        <f>VLOOKUP($A42,'Data shares'!$C:$FA,23)</f>
        <v>0.6</v>
      </c>
      <c r="E42" s="145">
        <f>VLOOKUP($A42,'Data shares'!$C:$FA,26)*100</f>
        <v>0.2</v>
      </c>
      <c r="F42" s="144">
        <f>VLOOKUP($A42,'Data shares'!$C:$FA,24)</f>
        <v>0.55000000000000004</v>
      </c>
      <c r="G42" s="144">
        <f>VLOOKUP($A42,'Data shares'!$C:$FA,25)</f>
        <v>0.05</v>
      </c>
    </row>
    <row r="43" spans="1:7" x14ac:dyDescent="0.25">
      <c r="A43" s="101" t="str">
        <f>'Data Vlaue (Cr)'!C39</f>
        <v>BRITANNIA</v>
      </c>
      <c r="B43" s="144">
        <f>VLOOKUP($A43,'Data shares'!$C:$FA,7)</f>
        <v>5475</v>
      </c>
      <c r="C43" s="144">
        <f>VLOOKUP($A43,'Data shares'!$C:$FA,3)</f>
        <v>5485</v>
      </c>
      <c r="D43" s="144">
        <f>VLOOKUP($A43,'Data shares'!$C:$FA,23)</f>
        <v>10</v>
      </c>
      <c r="E43" s="145">
        <f>VLOOKUP($A43,'Data shares'!$C:$FA,26)*100</f>
        <v>0.18</v>
      </c>
      <c r="F43" s="144">
        <f>VLOOKUP($A43,'Data shares'!$C:$FA,24)</f>
        <v>22.5</v>
      </c>
      <c r="G43" s="144">
        <f>VLOOKUP($A43,'Data shares'!$C:$FA,25)</f>
        <v>-12.5</v>
      </c>
    </row>
    <row r="44" spans="1:7" x14ac:dyDescent="0.25">
      <c r="A44" s="101" t="str">
        <f>'Data Vlaue (Cr)'!C40</f>
        <v>BSE</v>
      </c>
      <c r="B44" s="144">
        <f>VLOOKUP($A44,'Data shares'!$C:$FA,7)</f>
        <v>3257.4</v>
      </c>
      <c r="C44" s="144">
        <f>VLOOKUP($A44,'Data shares'!$C:$FA,3)</f>
        <v>3274.4</v>
      </c>
      <c r="D44" s="144">
        <f>VLOOKUP($A44,'Data shares'!$C:$FA,23)</f>
        <v>17</v>
      </c>
      <c r="E44" s="145">
        <f>VLOOKUP($A44,'Data shares'!$C:$FA,26)*100</f>
        <v>0.52</v>
      </c>
      <c r="F44" s="144">
        <f>VLOOKUP($A44,'Data shares'!$C:$FA,24)</f>
        <v>12.6</v>
      </c>
      <c r="G44" s="144">
        <f>VLOOKUP($A44,'Data shares'!$C:$FA,25)</f>
        <v>4.4000000000000004</v>
      </c>
    </row>
    <row r="45" spans="1:7" x14ac:dyDescent="0.25">
      <c r="A45" s="101" t="str">
        <f>'Data Vlaue (Cr)'!C41</f>
        <v>CAMS</v>
      </c>
      <c r="B45" s="144">
        <f>VLOOKUP($A45,'Data shares'!$C:$FA,7)</f>
        <v>699.05</v>
      </c>
      <c r="C45" s="144">
        <f>VLOOKUP($A45,'Data shares'!$C:$FA,3)</f>
        <v>698.1</v>
      </c>
      <c r="D45" s="144">
        <f>VLOOKUP($A45,'Data shares'!$C:$FA,23)</f>
        <v>-0.95</v>
      </c>
      <c r="E45" s="145">
        <f>VLOOKUP($A45,'Data shares'!$C:$FA,26)*100</f>
        <v>-0.13999999999999999</v>
      </c>
      <c r="F45" s="144">
        <f>VLOOKUP($A45,'Data shares'!$C:$FA,24)</f>
        <v>2.4</v>
      </c>
      <c r="G45" s="144">
        <f>VLOOKUP($A45,'Data shares'!$C:$FA,25)</f>
        <v>-3.35</v>
      </c>
    </row>
    <row r="46" spans="1:7" x14ac:dyDescent="0.25">
      <c r="A46" s="101" t="str">
        <f>'Data Vlaue (Cr)'!C42</f>
        <v>CANBK</v>
      </c>
      <c r="B46" s="144">
        <f>VLOOKUP($A46,'Data shares'!$C:$FA,7)</f>
        <v>137.91</v>
      </c>
      <c r="C46" s="144">
        <f>VLOOKUP($A46,'Data shares'!$C:$FA,3)</f>
        <v>138.13999999999999</v>
      </c>
      <c r="D46" s="144">
        <f>VLOOKUP($A46,'Data shares'!$C:$FA,23)</f>
        <v>0.23</v>
      </c>
      <c r="E46" s="145">
        <f>VLOOKUP($A46,'Data shares'!$C:$FA,26)*100</f>
        <v>0.16999999999999998</v>
      </c>
      <c r="F46" s="144">
        <f>VLOOKUP($A46,'Data shares'!$C:$FA,24)</f>
        <v>0.64</v>
      </c>
      <c r="G46" s="144">
        <f>VLOOKUP($A46,'Data shares'!$C:$FA,25)</f>
        <v>-0.41</v>
      </c>
    </row>
    <row r="47" spans="1:7" x14ac:dyDescent="0.25">
      <c r="A47" s="101" t="str">
        <f>'Data Vlaue (Cr)'!C43</f>
        <v>CDSL</v>
      </c>
      <c r="B47" s="144">
        <f>VLOOKUP($A47,'Data shares'!$C:$FA,7)</f>
        <v>1279.3</v>
      </c>
      <c r="C47" s="144">
        <f>VLOOKUP($A47,'Data shares'!$C:$FA,3)</f>
        <v>1277.5999999999999</v>
      </c>
      <c r="D47" s="144">
        <f>VLOOKUP($A47,'Data shares'!$C:$FA,23)</f>
        <v>-1.7</v>
      </c>
      <c r="E47" s="145">
        <f>VLOOKUP($A47,'Data shares'!$C:$FA,26)*100</f>
        <v>-0.13</v>
      </c>
      <c r="F47" s="144">
        <f>VLOOKUP($A47,'Data shares'!$C:$FA,24)</f>
        <v>-8.6</v>
      </c>
      <c r="G47" s="144">
        <f>VLOOKUP($A47,'Data shares'!$C:$FA,25)</f>
        <v>6.9</v>
      </c>
    </row>
    <row r="48" spans="1:7" x14ac:dyDescent="0.25">
      <c r="A48" s="101" t="str">
        <f>'Data Vlaue (Cr)'!C44</f>
        <v>CGPOWER</v>
      </c>
      <c r="B48" s="144">
        <f>VLOOKUP($A48,'Data shares'!$C:$FA,7)</f>
        <v>720.6</v>
      </c>
      <c r="C48" s="144">
        <f>VLOOKUP($A48,'Data shares'!$C:$FA,3)</f>
        <v>723.9</v>
      </c>
      <c r="D48" s="144">
        <f>VLOOKUP($A48,'Data shares'!$C:$FA,23)</f>
        <v>3.3</v>
      </c>
      <c r="E48" s="145">
        <f>VLOOKUP($A48,'Data shares'!$C:$FA,26)*100</f>
        <v>0.45999999999999996</v>
      </c>
      <c r="F48" s="144">
        <f>VLOOKUP($A48,'Data shares'!$C:$FA,24)</f>
        <v>1.65</v>
      </c>
      <c r="G48" s="144">
        <f>VLOOKUP($A48,'Data shares'!$C:$FA,25)</f>
        <v>1.65</v>
      </c>
    </row>
    <row r="49" spans="1:7" x14ac:dyDescent="0.25">
      <c r="A49" s="101" t="str">
        <f>'Data Vlaue (Cr)'!C45</f>
        <v>CHOLAFIN</v>
      </c>
      <c r="B49" s="144">
        <f>VLOOKUP($A49,'Data shares'!$C:$FA,7)</f>
        <v>1533.1</v>
      </c>
      <c r="C49" s="144">
        <f>VLOOKUP($A49,'Data shares'!$C:$FA,3)</f>
        <v>1535.8</v>
      </c>
      <c r="D49" s="144">
        <f>VLOOKUP($A49,'Data shares'!$C:$FA,23)</f>
        <v>2.7</v>
      </c>
      <c r="E49" s="145">
        <f>VLOOKUP($A49,'Data shares'!$C:$FA,26)*100</f>
        <v>0.18</v>
      </c>
      <c r="F49" s="144">
        <f>VLOOKUP($A49,'Data shares'!$C:$FA,24)</f>
        <v>3.8</v>
      </c>
      <c r="G49" s="144">
        <f>VLOOKUP($A49,'Data shares'!$C:$FA,25)</f>
        <v>-1.1000000000000001</v>
      </c>
    </row>
    <row r="50" spans="1:7" x14ac:dyDescent="0.25">
      <c r="A50" s="101" t="str">
        <f>'Data Vlaue (Cr)'!C46</f>
        <v>CIPLA</v>
      </c>
      <c r="B50" s="144">
        <f>VLOOKUP($A50,'Data shares'!$C:$FA,7)</f>
        <v>1224.4000000000001</v>
      </c>
      <c r="C50" s="144">
        <f>VLOOKUP($A50,'Data shares'!$C:$FA,3)</f>
        <v>1227.2</v>
      </c>
      <c r="D50" s="144">
        <f>VLOOKUP($A50,'Data shares'!$C:$FA,23)</f>
        <v>2.8</v>
      </c>
      <c r="E50" s="145">
        <f>VLOOKUP($A50,'Data shares'!$C:$FA,26)*100</f>
        <v>0.22999999999999998</v>
      </c>
      <c r="F50" s="144">
        <f>VLOOKUP($A50,'Data shares'!$C:$FA,24)</f>
        <v>5.9</v>
      </c>
      <c r="G50" s="144">
        <f>VLOOKUP($A50,'Data shares'!$C:$FA,25)</f>
        <v>-3.1</v>
      </c>
    </row>
    <row r="51" spans="1:7" x14ac:dyDescent="0.25">
      <c r="A51" s="101" t="str">
        <f>'Data Vlaue (Cr)'!C47</f>
        <v>COALINDIA</v>
      </c>
      <c r="B51" s="144">
        <f>VLOOKUP($A51,'Data shares'!$C:$FA,7)</f>
        <v>454.1</v>
      </c>
      <c r="C51" s="144">
        <f>VLOOKUP($A51,'Data shares'!$C:$FA,3)</f>
        <v>452.9</v>
      </c>
      <c r="D51" s="144">
        <f>VLOOKUP($A51,'Data shares'!$C:$FA,23)</f>
        <v>-1.2</v>
      </c>
      <c r="E51" s="145">
        <f>VLOOKUP($A51,'Data shares'!$C:$FA,26)*100</f>
        <v>-0.26</v>
      </c>
      <c r="F51" s="144">
        <f>VLOOKUP($A51,'Data shares'!$C:$FA,24)</f>
        <v>-3.6</v>
      </c>
      <c r="G51" s="144">
        <f>VLOOKUP($A51,'Data shares'!$C:$FA,25)</f>
        <v>2.4</v>
      </c>
    </row>
    <row r="52" spans="1:7" x14ac:dyDescent="0.25">
      <c r="A52" s="101" t="str">
        <f>'Data Vlaue (Cr)'!C48</f>
        <v>COCHINSHIP</v>
      </c>
      <c r="B52" s="144">
        <f>VLOOKUP($A52,'Data shares'!$C:$FA,7)</f>
        <v>1423.9</v>
      </c>
      <c r="C52" s="144">
        <f>VLOOKUP($A52,'Data shares'!$C:$FA,3)</f>
        <v>1430.3</v>
      </c>
      <c r="D52" s="144">
        <f>VLOOKUP($A52,'Data shares'!$C:$FA,23)</f>
        <v>6.4</v>
      </c>
      <c r="E52" s="145">
        <f>VLOOKUP($A52,'Data shares'!$C:$FA,26)*100</f>
        <v>0.44999999999999996</v>
      </c>
      <c r="F52" s="144">
        <f>VLOOKUP($A52,'Data shares'!$C:$FA,24)</f>
        <v>-3.2</v>
      </c>
      <c r="G52" s="144">
        <f>VLOOKUP($A52,'Data shares'!$C:$FA,25)</f>
        <v>9.6</v>
      </c>
    </row>
    <row r="53" spans="1:7" x14ac:dyDescent="0.25">
      <c r="A53" s="101" t="str">
        <f>'Data Vlaue (Cr)'!C49</f>
        <v>COFORGE</v>
      </c>
      <c r="B53" s="144">
        <f>VLOOKUP($A53,'Data shares'!$C:$FA,7)</f>
        <v>1264.9000000000001</v>
      </c>
      <c r="C53" s="144">
        <f>VLOOKUP($A53,'Data shares'!$C:$FA,3)</f>
        <v>1270.2</v>
      </c>
      <c r="D53" s="144">
        <f>VLOOKUP($A53,'Data shares'!$C:$FA,23)</f>
        <v>5.3</v>
      </c>
      <c r="E53" s="145">
        <f>VLOOKUP($A53,'Data shares'!$C:$FA,26)*100</f>
        <v>0.42</v>
      </c>
      <c r="F53" s="144">
        <f>VLOOKUP($A53,'Data shares'!$C:$FA,24)</f>
        <v>2.6</v>
      </c>
      <c r="G53" s="144">
        <f>VLOOKUP($A53,'Data shares'!$C:$FA,25)</f>
        <v>2.7</v>
      </c>
    </row>
    <row r="54" spans="1:7" x14ac:dyDescent="0.25">
      <c r="A54" s="101" t="str">
        <f>'Data Vlaue (Cr)'!C50</f>
        <v>COLPAL</v>
      </c>
      <c r="B54" s="144">
        <f>VLOOKUP($A54,'Data shares'!$C:$FA,7)</f>
        <v>1906.7</v>
      </c>
      <c r="C54" s="144">
        <f>VLOOKUP($A54,'Data shares'!$C:$FA,3)</f>
        <v>1916.3</v>
      </c>
      <c r="D54" s="144">
        <f>VLOOKUP($A54,'Data shares'!$C:$FA,23)</f>
        <v>9.6</v>
      </c>
      <c r="E54" s="145">
        <f>VLOOKUP($A54,'Data shares'!$C:$FA,26)*100</f>
        <v>0.5</v>
      </c>
      <c r="F54" s="144">
        <f>VLOOKUP($A54,'Data shares'!$C:$FA,24)</f>
        <v>1.9</v>
      </c>
      <c r="G54" s="144">
        <f>VLOOKUP($A54,'Data shares'!$C:$FA,25)</f>
        <v>7.7</v>
      </c>
    </row>
    <row r="55" spans="1:7" x14ac:dyDescent="0.25">
      <c r="A55" s="101" t="str">
        <f>'Data Vlaue (Cr)'!C51</f>
        <v>CONCOR</v>
      </c>
      <c r="B55" s="144">
        <f>VLOOKUP($A55,'Data shares'!$C:$FA,7)</f>
        <v>482.25</v>
      </c>
      <c r="C55" s="144">
        <f>VLOOKUP($A55,'Data shares'!$C:$FA,3)</f>
        <v>483.15</v>
      </c>
      <c r="D55" s="144">
        <f>VLOOKUP($A55,'Data shares'!$C:$FA,23)</f>
        <v>0.9</v>
      </c>
      <c r="E55" s="145">
        <f>VLOOKUP($A55,'Data shares'!$C:$FA,26)*100</f>
        <v>0.19</v>
      </c>
      <c r="F55" s="144">
        <f>VLOOKUP($A55,'Data shares'!$C:$FA,24)</f>
        <v>1.35</v>
      </c>
      <c r="G55" s="144">
        <f>VLOOKUP($A55,'Data shares'!$C:$FA,25)</f>
        <v>-0.45</v>
      </c>
    </row>
    <row r="56" spans="1:7" x14ac:dyDescent="0.25">
      <c r="A56" s="101" t="str">
        <f>'Data Vlaue (Cr)'!C52</f>
        <v>CROMPTON</v>
      </c>
      <c r="B56" s="144">
        <f>VLOOKUP($A56,'Data shares'!$C:$FA,7)</f>
        <v>237.9</v>
      </c>
      <c r="C56" s="144">
        <f>VLOOKUP($A56,'Data shares'!$C:$FA,3)</f>
        <v>238.37</v>
      </c>
      <c r="D56" s="144">
        <f>VLOOKUP($A56,'Data shares'!$C:$FA,23)</f>
        <v>0.47</v>
      </c>
      <c r="E56" s="145">
        <f>VLOOKUP($A56,'Data shares'!$C:$FA,26)*100</f>
        <v>0.2</v>
      </c>
      <c r="F56" s="144">
        <f>VLOOKUP($A56,'Data shares'!$C:$FA,24)</f>
        <v>1.19</v>
      </c>
      <c r="G56" s="144">
        <f>VLOOKUP($A56,'Data shares'!$C:$FA,25)</f>
        <v>-0.72</v>
      </c>
    </row>
    <row r="57" spans="1:7" x14ac:dyDescent="0.25">
      <c r="A57" s="101" t="str">
        <f>'Data Vlaue (Cr)'!C53</f>
        <v>CUMMINSIND</v>
      </c>
      <c r="B57" s="144">
        <f>VLOOKUP($A57,'Data shares'!$C:$FA,7)</f>
        <v>4907.3999999999996</v>
      </c>
      <c r="C57" s="144">
        <f>VLOOKUP($A57,'Data shares'!$C:$FA,3)</f>
        <v>4914.6000000000004</v>
      </c>
      <c r="D57" s="144">
        <f>VLOOKUP($A57,'Data shares'!$C:$FA,23)</f>
        <v>7.2</v>
      </c>
      <c r="E57" s="145">
        <f>VLOOKUP($A57,'Data shares'!$C:$FA,26)*100</f>
        <v>0.15</v>
      </c>
      <c r="F57" s="144">
        <f>VLOOKUP($A57,'Data shares'!$C:$FA,24)</f>
        <v>25.8</v>
      </c>
      <c r="G57" s="144">
        <f>VLOOKUP($A57,'Data shares'!$C:$FA,25)</f>
        <v>-18.600000000000001</v>
      </c>
    </row>
    <row r="58" spans="1:7" x14ac:dyDescent="0.25">
      <c r="A58" s="101" t="str">
        <f>'Data Vlaue (Cr)'!C54</f>
        <v>DABUR</v>
      </c>
      <c r="B58" s="144">
        <f>VLOOKUP($A58,'Data shares'!$C:$FA,7)</f>
        <v>429.4</v>
      </c>
      <c r="C58" s="144">
        <f>VLOOKUP($A58,'Data shares'!$C:$FA,3)</f>
        <v>430.3</v>
      </c>
      <c r="D58" s="144">
        <f>VLOOKUP($A58,'Data shares'!$C:$FA,23)</f>
        <v>0.9</v>
      </c>
      <c r="E58" s="145">
        <f>VLOOKUP($A58,'Data shares'!$C:$FA,26)*100</f>
        <v>0.21</v>
      </c>
      <c r="F58" s="144">
        <f>VLOOKUP($A58,'Data shares'!$C:$FA,24)</f>
        <v>2.4</v>
      </c>
      <c r="G58" s="144">
        <f>VLOOKUP($A58,'Data shares'!$C:$FA,25)</f>
        <v>-1.5</v>
      </c>
    </row>
    <row r="59" spans="1:7" x14ac:dyDescent="0.25">
      <c r="A59" s="101" t="str">
        <f>'Data Vlaue (Cr)'!C55</f>
        <v>DALBHARAT</v>
      </c>
      <c r="B59" s="144">
        <f>VLOOKUP($A59,'Data shares'!$C:$FA,7)</f>
        <v>1910.6</v>
      </c>
      <c r="C59" s="144">
        <f>VLOOKUP($A59,'Data shares'!$C:$FA,3)</f>
        <v>1913.9</v>
      </c>
      <c r="D59" s="144">
        <f>VLOOKUP($A59,'Data shares'!$C:$FA,23)</f>
        <v>3.3</v>
      </c>
      <c r="E59" s="145">
        <f>VLOOKUP($A59,'Data shares'!$C:$FA,26)*100</f>
        <v>0.16999999999999998</v>
      </c>
      <c r="F59" s="144">
        <f>VLOOKUP($A59,'Data shares'!$C:$FA,24)</f>
        <v>4.2</v>
      </c>
      <c r="G59" s="144">
        <f>VLOOKUP($A59,'Data shares'!$C:$FA,25)</f>
        <v>-0.9</v>
      </c>
    </row>
    <row r="60" spans="1:7" x14ac:dyDescent="0.25">
      <c r="A60" s="101" t="str">
        <f>'Data Vlaue (Cr)'!C56</f>
        <v>DELHIVERY</v>
      </c>
      <c r="B60" s="144">
        <f>VLOOKUP($A60,'Data shares'!$C:$FA,7)</f>
        <v>469.85</v>
      </c>
      <c r="C60" s="144">
        <f>VLOOKUP($A60,'Data shares'!$C:$FA,3)</f>
        <v>471.35</v>
      </c>
      <c r="D60" s="144">
        <f>VLOOKUP($A60,'Data shares'!$C:$FA,23)</f>
        <v>1.5</v>
      </c>
      <c r="E60" s="145">
        <f>VLOOKUP($A60,'Data shares'!$C:$FA,26)*100</f>
        <v>0.32</v>
      </c>
      <c r="F60" s="144">
        <f>VLOOKUP($A60,'Data shares'!$C:$FA,24)</f>
        <v>2.2000000000000002</v>
      </c>
      <c r="G60" s="144">
        <f>VLOOKUP($A60,'Data shares'!$C:$FA,25)</f>
        <v>-0.7</v>
      </c>
    </row>
    <row r="61" spans="1:7" x14ac:dyDescent="0.25">
      <c r="A61" s="101" t="str">
        <f>'Data Vlaue (Cr)'!C57</f>
        <v>DIVISLAB</v>
      </c>
      <c r="B61" s="144">
        <f>VLOOKUP($A61,'Data shares'!$C:$FA,7)</f>
        <v>5952.5</v>
      </c>
      <c r="C61" s="144">
        <f>VLOOKUP($A61,'Data shares'!$C:$FA,3)</f>
        <v>5967</v>
      </c>
      <c r="D61" s="144">
        <f>VLOOKUP($A61,'Data shares'!$C:$FA,23)</f>
        <v>14.5</v>
      </c>
      <c r="E61" s="145">
        <f>VLOOKUP($A61,'Data shares'!$C:$FA,26)*100</f>
        <v>0.24</v>
      </c>
      <c r="F61" s="144">
        <f>VLOOKUP($A61,'Data shares'!$C:$FA,24)</f>
        <v>27.5</v>
      </c>
      <c r="G61" s="144">
        <f>VLOOKUP($A61,'Data shares'!$C:$FA,25)</f>
        <v>-13</v>
      </c>
    </row>
    <row r="62" spans="1:7" x14ac:dyDescent="0.25">
      <c r="A62" s="101" t="str">
        <f>'Data Vlaue (Cr)'!C58</f>
        <v>DIXON</v>
      </c>
      <c r="B62" s="144">
        <f>VLOOKUP($A62,'Data shares'!$C:$FA,7)</f>
        <v>10625.5</v>
      </c>
      <c r="C62" s="144">
        <f>VLOOKUP($A62,'Data shares'!$C:$FA,3)</f>
        <v>10657.5</v>
      </c>
      <c r="D62" s="144">
        <f>VLOOKUP($A62,'Data shares'!$C:$FA,23)</f>
        <v>32</v>
      </c>
      <c r="E62" s="145">
        <f>VLOOKUP($A62,'Data shares'!$C:$FA,26)*100</f>
        <v>0.3</v>
      </c>
      <c r="F62" s="144">
        <f>VLOOKUP($A62,'Data shares'!$C:$FA,24)</f>
        <v>33.5</v>
      </c>
      <c r="G62" s="144">
        <f>VLOOKUP($A62,'Data shares'!$C:$FA,25)</f>
        <v>-1.5</v>
      </c>
    </row>
    <row r="63" spans="1:7" x14ac:dyDescent="0.25">
      <c r="A63" s="101" t="str">
        <f>'Data Vlaue (Cr)'!C59</f>
        <v>DLF</v>
      </c>
      <c r="B63" s="144">
        <f>VLOOKUP($A63,'Data shares'!$C:$FA,7)</f>
        <v>562.95000000000005</v>
      </c>
      <c r="C63" s="144">
        <f>VLOOKUP($A63,'Data shares'!$C:$FA,3)</f>
        <v>564.79999999999995</v>
      </c>
      <c r="D63" s="144">
        <f>VLOOKUP($A63,'Data shares'!$C:$FA,23)</f>
        <v>1.85</v>
      </c>
      <c r="E63" s="145">
        <f>VLOOKUP($A63,'Data shares'!$C:$FA,26)*100</f>
        <v>0.33</v>
      </c>
      <c r="F63" s="144">
        <f>VLOOKUP($A63,'Data shares'!$C:$FA,24)</f>
        <v>2.2000000000000002</v>
      </c>
      <c r="G63" s="144">
        <f>VLOOKUP($A63,'Data shares'!$C:$FA,25)</f>
        <v>-0.35</v>
      </c>
    </row>
    <row r="64" spans="1:7" x14ac:dyDescent="0.25">
      <c r="A64" s="101" t="str">
        <f>'Data Vlaue (Cr)'!C60</f>
        <v>DMART</v>
      </c>
      <c r="B64" s="144">
        <f>VLOOKUP($A64,'Data shares'!$C:$FA,7)</f>
        <v>4415.6000000000004</v>
      </c>
      <c r="C64" s="144">
        <f>VLOOKUP($A64,'Data shares'!$C:$FA,3)</f>
        <v>4431.3</v>
      </c>
      <c r="D64" s="144">
        <f>VLOOKUP($A64,'Data shares'!$C:$FA,23)</f>
        <v>15.7</v>
      </c>
      <c r="E64" s="145">
        <f>VLOOKUP($A64,'Data shares'!$C:$FA,26)*100</f>
        <v>0.36</v>
      </c>
      <c r="F64" s="144">
        <f>VLOOKUP($A64,'Data shares'!$C:$FA,24)</f>
        <v>15</v>
      </c>
      <c r="G64" s="144">
        <f>VLOOKUP($A64,'Data shares'!$C:$FA,25)</f>
        <v>0.7</v>
      </c>
    </row>
    <row r="65" spans="1:7" x14ac:dyDescent="0.25">
      <c r="A65" s="101" t="str">
        <f>'Data Vlaue (Cr)'!C61</f>
        <v>DRREDDY</v>
      </c>
      <c r="B65" s="144">
        <f>VLOOKUP($A65,'Data shares'!$C:$FA,7)</f>
        <v>1211.9000000000001</v>
      </c>
      <c r="C65" s="144">
        <f>VLOOKUP($A65,'Data shares'!$C:$FA,3)</f>
        <v>1216.9000000000001</v>
      </c>
      <c r="D65" s="144">
        <f>VLOOKUP($A65,'Data shares'!$C:$FA,23)</f>
        <v>5</v>
      </c>
      <c r="E65" s="145">
        <f>VLOOKUP($A65,'Data shares'!$C:$FA,26)*100</f>
        <v>0.41000000000000003</v>
      </c>
      <c r="F65" s="144">
        <f>VLOOKUP($A65,'Data shares'!$C:$FA,24)</f>
        <v>1.6</v>
      </c>
      <c r="G65" s="144">
        <f>VLOOKUP($A65,'Data shares'!$C:$FA,25)</f>
        <v>3.4</v>
      </c>
    </row>
    <row r="66" spans="1:7" x14ac:dyDescent="0.25">
      <c r="A66" s="101" t="str">
        <f>'Data Vlaue (Cr)'!C62</f>
        <v>EICHERMOT</v>
      </c>
      <c r="B66" s="144">
        <f>VLOOKUP($A66,'Data shares'!$C:$FA,7)</f>
        <v>7147.5</v>
      </c>
      <c r="C66" s="144">
        <f>VLOOKUP($A66,'Data shares'!$C:$FA,3)</f>
        <v>7161</v>
      </c>
      <c r="D66" s="144">
        <f>VLOOKUP($A66,'Data shares'!$C:$FA,23)</f>
        <v>13.5</v>
      </c>
      <c r="E66" s="145">
        <f>VLOOKUP($A66,'Data shares'!$C:$FA,26)*100</f>
        <v>0.19</v>
      </c>
      <c r="F66" s="144">
        <f>VLOOKUP($A66,'Data shares'!$C:$FA,24)</f>
        <v>32</v>
      </c>
      <c r="G66" s="144">
        <f>VLOOKUP($A66,'Data shares'!$C:$FA,25)</f>
        <v>-18.5</v>
      </c>
    </row>
    <row r="67" spans="1:7" x14ac:dyDescent="0.25">
      <c r="A67" s="101" t="str">
        <f>'Data Vlaue (Cr)'!C63</f>
        <v>ETERNAL</v>
      </c>
      <c r="B67" s="144">
        <f>VLOOKUP($A67,'Data shares'!$C:$FA,7)</f>
        <v>237.89</v>
      </c>
      <c r="C67" s="144">
        <f>VLOOKUP($A67,'Data shares'!$C:$FA,3)</f>
        <v>238.9</v>
      </c>
      <c r="D67" s="144">
        <f>VLOOKUP($A67,'Data shares'!$C:$FA,23)</f>
        <v>1.01</v>
      </c>
      <c r="E67" s="145">
        <f>VLOOKUP($A67,'Data shares'!$C:$FA,26)*100</f>
        <v>0.42</v>
      </c>
      <c r="F67" s="144">
        <f>VLOOKUP($A67,'Data shares'!$C:$FA,24)</f>
        <v>1.3</v>
      </c>
      <c r="G67" s="144">
        <f>VLOOKUP($A67,'Data shares'!$C:$FA,25)</f>
        <v>-0.28999999999999998</v>
      </c>
    </row>
    <row r="68" spans="1:7" x14ac:dyDescent="0.25">
      <c r="A68" s="101" t="str">
        <f>'Data Vlaue (Cr)'!C64</f>
        <v>EXIDEIND</v>
      </c>
      <c r="B68" s="144">
        <f>VLOOKUP($A68,'Data shares'!$C:$FA,7)</f>
        <v>311.25</v>
      </c>
      <c r="C68" s="144">
        <f>VLOOKUP($A68,'Data shares'!$C:$FA,3)</f>
        <v>311.85000000000002</v>
      </c>
      <c r="D68" s="144">
        <f>VLOOKUP($A68,'Data shares'!$C:$FA,23)</f>
        <v>0.6</v>
      </c>
      <c r="E68" s="145">
        <f>VLOOKUP($A68,'Data shares'!$C:$FA,26)*100</f>
        <v>0.19</v>
      </c>
      <c r="F68" s="144">
        <f>VLOOKUP($A68,'Data shares'!$C:$FA,24)</f>
        <v>1.55</v>
      </c>
      <c r="G68" s="144">
        <f>VLOOKUP($A68,'Data shares'!$C:$FA,25)</f>
        <v>-0.95</v>
      </c>
    </row>
    <row r="69" spans="1:7" x14ac:dyDescent="0.25">
      <c r="A69" s="101" t="str">
        <f>'Data Vlaue (Cr)'!C65</f>
        <v>FEDERALBNK</v>
      </c>
      <c r="B69" s="144">
        <f>VLOOKUP($A69,'Data shares'!$C:$FA,7)</f>
        <v>283.3</v>
      </c>
      <c r="C69" s="144">
        <f>VLOOKUP($A69,'Data shares'!$C:$FA,3)</f>
        <v>283.89999999999998</v>
      </c>
      <c r="D69" s="144">
        <f>VLOOKUP($A69,'Data shares'!$C:$FA,23)</f>
        <v>0.6</v>
      </c>
      <c r="E69" s="145">
        <f>VLOOKUP($A69,'Data shares'!$C:$FA,26)*100</f>
        <v>0.21</v>
      </c>
      <c r="F69" s="144">
        <f>VLOOKUP($A69,'Data shares'!$C:$FA,24)</f>
        <v>0.7</v>
      </c>
      <c r="G69" s="144">
        <f>VLOOKUP($A69,'Data shares'!$C:$FA,25)</f>
        <v>-0.1</v>
      </c>
    </row>
    <row r="70" spans="1:7" x14ac:dyDescent="0.25">
      <c r="A70" s="101" t="str">
        <f>'Data Vlaue (Cr)'!C66</f>
        <v>FINNIFTY</v>
      </c>
      <c r="B70" s="144">
        <f>VLOOKUP($A70,'Data shares'!$C:$FA,7)</f>
        <v>25685.85</v>
      </c>
      <c r="C70" s="144">
        <f>VLOOKUP($A70,'Data shares'!$C:$FA,3)</f>
        <v>25808.6</v>
      </c>
      <c r="D70" s="144">
        <f>VLOOKUP($A70,'Data shares'!$C:$FA,23)</f>
        <v>122.75</v>
      </c>
      <c r="E70" s="145">
        <f>VLOOKUP($A70,'Data shares'!$C:$FA,26)*100</f>
        <v>0.48</v>
      </c>
      <c r="F70" s="144">
        <f>VLOOKUP($A70,'Data shares'!$C:$FA,24)</f>
        <v>114.85</v>
      </c>
      <c r="G70" s="144">
        <f>VLOOKUP($A70,'Data shares'!$C:$FA,25)</f>
        <v>7.9</v>
      </c>
    </row>
    <row r="71" spans="1:7" x14ac:dyDescent="0.25">
      <c r="A71" s="101" t="str">
        <f>'Data Vlaue (Cr)'!C67</f>
        <v>FORCEMOT</v>
      </c>
      <c r="B71" s="144">
        <f>VLOOKUP($A71,'Data shares'!$C:$FA,7)</f>
        <v>22168</v>
      </c>
      <c r="C71" s="144">
        <f>VLOOKUP($A71,'Data shares'!$C:$FA,3)</f>
        <v>22208</v>
      </c>
      <c r="D71" s="144">
        <f>VLOOKUP($A71,'Data shares'!$C:$FA,23)</f>
        <v>40</v>
      </c>
      <c r="E71" s="145">
        <f>VLOOKUP($A71,'Data shares'!$C:$FA,26)*100</f>
        <v>0.18</v>
      </c>
      <c r="F71" s="144">
        <f>VLOOKUP($A71,'Data shares'!$C:$FA,24)</f>
        <v>53</v>
      </c>
      <c r="G71" s="144">
        <f>VLOOKUP($A71,'Data shares'!$C:$FA,25)</f>
        <v>-13</v>
      </c>
    </row>
    <row r="72" spans="1:7" x14ac:dyDescent="0.25">
      <c r="A72" s="101" t="str">
        <f>'Data Vlaue (Cr)'!C68</f>
        <v>FORTIS</v>
      </c>
      <c r="B72" s="144">
        <f>VLOOKUP($A72,'Data shares'!$C:$FA,7)</f>
        <v>850.05</v>
      </c>
      <c r="C72" s="144">
        <f>VLOOKUP($A72,'Data shares'!$C:$FA,3)</f>
        <v>853.95</v>
      </c>
      <c r="D72" s="144">
        <f>VLOOKUP($A72,'Data shares'!$C:$FA,23)</f>
        <v>3.9</v>
      </c>
      <c r="E72" s="145">
        <f>VLOOKUP($A72,'Data shares'!$C:$FA,26)*100</f>
        <v>0.45999999999999996</v>
      </c>
      <c r="F72" s="144">
        <f>VLOOKUP($A72,'Data shares'!$C:$FA,24)</f>
        <v>1.65</v>
      </c>
      <c r="G72" s="144">
        <f>VLOOKUP($A72,'Data shares'!$C:$FA,25)</f>
        <v>2.25</v>
      </c>
    </row>
    <row r="73" spans="1:7" x14ac:dyDescent="0.25">
      <c r="A73" s="101" t="str">
        <f>'Data Vlaue (Cr)'!C69</f>
        <v>GAIL</v>
      </c>
      <c r="B73" s="144">
        <f>VLOOKUP($A73,'Data shares'!$C:$FA,7)</f>
        <v>152.22</v>
      </c>
      <c r="C73" s="144">
        <f>VLOOKUP($A73,'Data shares'!$C:$FA,3)</f>
        <v>152.6</v>
      </c>
      <c r="D73" s="144">
        <f>VLOOKUP($A73,'Data shares'!$C:$FA,23)</f>
        <v>0.38</v>
      </c>
      <c r="E73" s="145">
        <f>VLOOKUP($A73,'Data shares'!$C:$FA,26)*100</f>
        <v>0.25</v>
      </c>
      <c r="F73" s="144">
        <f>VLOOKUP($A73,'Data shares'!$C:$FA,24)</f>
        <v>0.28999999999999998</v>
      </c>
      <c r="G73" s="144">
        <f>VLOOKUP($A73,'Data shares'!$C:$FA,25)</f>
        <v>0.09</v>
      </c>
    </row>
    <row r="74" spans="1:7" x14ac:dyDescent="0.25">
      <c r="A74" s="101" t="str">
        <f>'Data Vlaue (Cr)'!C70</f>
        <v>GLENMARK</v>
      </c>
      <c r="B74" s="144">
        <f>VLOOKUP($A74,'Data shares'!$C:$FA,7)</f>
        <v>2169.1</v>
      </c>
      <c r="C74" s="144">
        <f>VLOOKUP($A74,'Data shares'!$C:$FA,3)</f>
        <v>2173.3000000000002</v>
      </c>
      <c r="D74" s="144">
        <f>VLOOKUP($A74,'Data shares'!$C:$FA,23)</f>
        <v>4.2</v>
      </c>
      <c r="E74" s="145">
        <f>VLOOKUP($A74,'Data shares'!$C:$FA,26)*100</f>
        <v>0.19</v>
      </c>
      <c r="F74" s="144">
        <f>VLOOKUP($A74,'Data shares'!$C:$FA,24)</f>
        <v>4.0999999999999996</v>
      </c>
      <c r="G74" s="144">
        <f>VLOOKUP($A74,'Data shares'!$C:$FA,25)</f>
        <v>0.1</v>
      </c>
    </row>
    <row r="75" spans="1:7" x14ac:dyDescent="0.25">
      <c r="A75" s="101" t="str">
        <f>'Data Vlaue (Cr)'!C71</f>
        <v>GMRAIRPORT</v>
      </c>
      <c r="B75" s="144">
        <f>VLOOKUP($A75,'Data shares'!$C:$FA,7)</f>
        <v>94.53</v>
      </c>
      <c r="C75" s="144">
        <f>VLOOKUP($A75,'Data shares'!$C:$FA,3)</f>
        <v>94.97</v>
      </c>
      <c r="D75" s="144">
        <f>VLOOKUP($A75,'Data shares'!$C:$FA,23)</f>
        <v>0.44</v>
      </c>
      <c r="E75" s="145">
        <f>VLOOKUP($A75,'Data shares'!$C:$FA,26)*100</f>
        <v>0.47000000000000003</v>
      </c>
      <c r="F75" s="144">
        <f>VLOOKUP($A75,'Data shares'!$C:$FA,24)</f>
        <v>0.46</v>
      </c>
      <c r="G75" s="144">
        <f>VLOOKUP($A75,'Data shares'!$C:$FA,25)</f>
        <v>-0.02</v>
      </c>
    </row>
    <row r="76" spans="1:7" x14ac:dyDescent="0.25">
      <c r="A76" s="101" t="str">
        <f>'Data Vlaue (Cr)'!C72</f>
        <v>GODFRYPHLP</v>
      </c>
      <c r="B76" s="144">
        <f>VLOOKUP($A76,'Data shares'!$C:$FA,7)</f>
        <v>2034.8</v>
      </c>
      <c r="C76" s="144">
        <f>VLOOKUP($A76,'Data shares'!$C:$FA,3)</f>
        <v>2038.7</v>
      </c>
      <c r="D76" s="144">
        <f>VLOOKUP($A76,'Data shares'!$C:$FA,23)</f>
        <v>3.9</v>
      </c>
      <c r="E76" s="145">
        <f>VLOOKUP($A76,'Data shares'!$C:$FA,26)*100</f>
        <v>0.19</v>
      </c>
      <c r="F76" s="144">
        <f>VLOOKUP($A76,'Data shares'!$C:$FA,24)</f>
        <v>8.1999999999999993</v>
      </c>
      <c r="G76" s="144">
        <f>VLOOKUP($A76,'Data shares'!$C:$FA,25)</f>
        <v>-4.3</v>
      </c>
    </row>
    <row r="77" spans="1:7" x14ac:dyDescent="0.25">
      <c r="A77" s="101" t="str">
        <f>'Data Vlaue (Cr)'!C73</f>
        <v>GODREJCP</v>
      </c>
      <c r="B77" s="144">
        <f>VLOOKUP($A77,'Data shares'!$C:$FA,7)</f>
        <v>1063.3499999999999</v>
      </c>
      <c r="C77" s="144">
        <f>VLOOKUP($A77,'Data shares'!$C:$FA,3)</f>
        <v>1066.8</v>
      </c>
      <c r="D77" s="144">
        <f>VLOOKUP($A77,'Data shares'!$C:$FA,23)</f>
        <v>3.45</v>
      </c>
      <c r="E77" s="145">
        <f>VLOOKUP($A77,'Data shares'!$C:$FA,26)*100</f>
        <v>0.32</v>
      </c>
      <c r="F77" s="144">
        <f>VLOOKUP($A77,'Data shares'!$C:$FA,24)</f>
        <v>5.55</v>
      </c>
      <c r="G77" s="144">
        <f>VLOOKUP($A77,'Data shares'!$C:$FA,25)</f>
        <v>-2.1</v>
      </c>
    </row>
    <row r="78" spans="1:7" x14ac:dyDescent="0.25">
      <c r="A78" s="101" t="str">
        <f>'Data Vlaue (Cr)'!C74</f>
        <v>GODREJPROP</v>
      </c>
      <c r="B78" s="144">
        <f>VLOOKUP($A78,'Data shares'!$C:$FA,7)</f>
        <v>1695.5</v>
      </c>
      <c r="C78" s="144">
        <f>VLOOKUP($A78,'Data shares'!$C:$FA,3)</f>
        <v>1700.1</v>
      </c>
      <c r="D78" s="144">
        <f>VLOOKUP($A78,'Data shares'!$C:$FA,23)</f>
        <v>4.5999999999999996</v>
      </c>
      <c r="E78" s="145">
        <f>VLOOKUP($A78,'Data shares'!$C:$FA,26)*100</f>
        <v>0.27</v>
      </c>
      <c r="F78" s="144">
        <f>VLOOKUP($A78,'Data shares'!$C:$FA,24)</f>
        <v>9.1</v>
      </c>
      <c r="G78" s="144">
        <f>VLOOKUP($A78,'Data shares'!$C:$FA,25)</f>
        <v>-4.5</v>
      </c>
    </row>
    <row r="79" spans="1:7" x14ac:dyDescent="0.25">
      <c r="A79" s="101" t="str">
        <f>'Data Vlaue (Cr)'!C75</f>
        <v>GRASIM</v>
      </c>
      <c r="B79" s="144">
        <f>VLOOKUP($A79,'Data shares'!$C:$FA,7)</f>
        <v>2740.5</v>
      </c>
      <c r="C79" s="144">
        <f>VLOOKUP($A79,'Data shares'!$C:$FA,3)</f>
        <v>2746.7</v>
      </c>
      <c r="D79" s="144">
        <f>VLOOKUP($A79,'Data shares'!$C:$FA,23)</f>
        <v>6.2</v>
      </c>
      <c r="E79" s="145">
        <f>VLOOKUP($A79,'Data shares'!$C:$FA,26)*100</f>
        <v>0.22999999999999998</v>
      </c>
      <c r="F79" s="144">
        <f>VLOOKUP($A79,'Data shares'!$C:$FA,24)</f>
        <v>10.199999999999999</v>
      </c>
      <c r="G79" s="144">
        <f>VLOOKUP($A79,'Data shares'!$C:$FA,25)</f>
        <v>-4</v>
      </c>
    </row>
    <row r="80" spans="1:7" x14ac:dyDescent="0.25">
      <c r="A80" s="101" t="str">
        <f>'Data Vlaue (Cr)'!C76</f>
        <v>HAL</v>
      </c>
      <c r="B80" s="144">
        <f>VLOOKUP($A80,'Data shares'!$C:$FA,7)</f>
        <v>4032.9</v>
      </c>
      <c r="C80" s="144">
        <f>VLOOKUP($A80,'Data shares'!$C:$FA,3)</f>
        <v>4052.7</v>
      </c>
      <c r="D80" s="144">
        <f>VLOOKUP($A80,'Data shares'!$C:$FA,23)</f>
        <v>19.8</v>
      </c>
      <c r="E80" s="145">
        <f>VLOOKUP($A80,'Data shares'!$C:$FA,26)*100</f>
        <v>0.49</v>
      </c>
      <c r="F80" s="144">
        <f>VLOOKUP($A80,'Data shares'!$C:$FA,24)</f>
        <v>10</v>
      </c>
      <c r="G80" s="144">
        <f>VLOOKUP($A80,'Data shares'!$C:$FA,25)</f>
        <v>9.8000000000000007</v>
      </c>
    </row>
    <row r="81" spans="1:7" x14ac:dyDescent="0.25">
      <c r="A81" s="101" t="str">
        <f>'Data Vlaue (Cr)'!C77</f>
        <v>HAVELLS</v>
      </c>
      <c r="B81" s="144">
        <f>VLOOKUP($A81,'Data shares'!$C:$FA,7)</f>
        <v>1257</v>
      </c>
      <c r="C81" s="144">
        <f>VLOOKUP($A81,'Data shares'!$C:$FA,3)</f>
        <v>1258.5</v>
      </c>
      <c r="D81" s="144">
        <f>VLOOKUP($A81,'Data shares'!$C:$FA,23)</f>
        <v>1.5</v>
      </c>
      <c r="E81" s="145">
        <f>VLOOKUP($A81,'Data shares'!$C:$FA,26)*100</f>
        <v>0.12</v>
      </c>
      <c r="F81" s="144">
        <f>VLOOKUP($A81,'Data shares'!$C:$FA,24)</f>
        <v>2.6</v>
      </c>
      <c r="G81" s="144">
        <f>VLOOKUP($A81,'Data shares'!$C:$FA,25)</f>
        <v>-1.1000000000000001</v>
      </c>
    </row>
    <row r="82" spans="1:7" x14ac:dyDescent="0.25">
      <c r="A82" s="101" t="str">
        <f>'Data Vlaue (Cr)'!C78</f>
        <v>HCLTECH</v>
      </c>
      <c r="B82" s="144">
        <f>VLOOKUP($A82,'Data shares'!$C:$FA,7)</f>
        <v>1464.9</v>
      </c>
      <c r="C82" s="144">
        <f>VLOOKUP($A82,'Data shares'!$C:$FA,3)</f>
        <v>1444.3</v>
      </c>
      <c r="D82" s="144">
        <f>VLOOKUP($A82,'Data shares'!$C:$FA,23)</f>
        <v>-20.6</v>
      </c>
      <c r="E82" s="145">
        <f>VLOOKUP($A82,'Data shares'!$C:$FA,26)*100</f>
        <v>-1.41</v>
      </c>
      <c r="F82" s="144">
        <f>VLOOKUP($A82,'Data shares'!$C:$FA,24)</f>
        <v>-33.6</v>
      </c>
      <c r="G82" s="144">
        <f>VLOOKUP($A82,'Data shares'!$C:$FA,25)</f>
        <v>13</v>
      </c>
    </row>
    <row r="83" spans="1:7" x14ac:dyDescent="0.25">
      <c r="A83" s="101" t="str">
        <f>'Data Vlaue (Cr)'!C79</f>
        <v>HDFCAMC</v>
      </c>
      <c r="B83" s="144">
        <f>VLOOKUP($A83,'Data shares'!$C:$FA,7)</f>
        <v>2515</v>
      </c>
      <c r="C83" s="144">
        <f>VLOOKUP($A83,'Data shares'!$C:$FA,3)</f>
        <v>2523.6999999999998</v>
      </c>
      <c r="D83" s="144">
        <f>VLOOKUP($A83,'Data shares'!$C:$FA,23)</f>
        <v>8.6999999999999993</v>
      </c>
      <c r="E83" s="145">
        <f>VLOOKUP($A83,'Data shares'!$C:$FA,26)*100</f>
        <v>0.35000000000000003</v>
      </c>
      <c r="F83" s="144">
        <f>VLOOKUP($A83,'Data shares'!$C:$FA,24)</f>
        <v>7.4</v>
      </c>
      <c r="G83" s="144">
        <f>VLOOKUP($A83,'Data shares'!$C:$FA,25)</f>
        <v>1.3</v>
      </c>
    </row>
    <row r="84" spans="1:7" x14ac:dyDescent="0.25">
      <c r="A84" s="101" t="str">
        <f>'Data Vlaue (Cr)'!C80</f>
        <v>HDFCBANK</v>
      </c>
      <c r="B84" s="144">
        <f>VLOOKUP($A84,'Data shares'!$C:$FA,7)</f>
        <v>797.7</v>
      </c>
      <c r="C84" s="144">
        <f>VLOOKUP($A84,'Data shares'!$C:$FA,3)</f>
        <v>801.1</v>
      </c>
      <c r="D84" s="144">
        <f>VLOOKUP($A84,'Data shares'!$C:$FA,23)</f>
        <v>3.4</v>
      </c>
      <c r="E84" s="145">
        <f>VLOOKUP($A84,'Data shares'!$C:$FA,26)*100</f>
        <v>0.43</v>
      </c>
      <c r="F84" s="144">
        <f>VLOOKUP($A84,'Data shares'!$C:$FA,24)</f>
        <v>1.95</v>
      </c>
      <c r="G84" s="144">
        <f>VLOOKUP($A84,'Data shares'!$C:$FA,25)</f>
        <v>1.45</v>
      </c>
    </row>
    <row r="85" spans="1:7" x14ac:dyDescent="0.25">
      <c r="A85" s="101" t="str">
        <f>'Data Vlaue (Cr)'!C81</f>
        <v>HDFCLIFE</v>
      </c>
      <c r="B85" s="144">
        <f>VLOOKUP($A85,'Data shares'!$C:$FA,7)</f>
        <v>591.20000000000005</v>
      </c>
      <c r="C85" s="144">
        <f>VLOOKUP($A85,'Data shares'!$C:$FA,3)</f>
        <v>593.1</v>
      </c>
      <c r="D85" s="144">
        <f>VLOOKUP($A85,'Data shares'!$C:$FA,23)</f>
        <v>1.9</v>
      </c>
      <c r="E85" s="145">
        <f>VLOOKUP($A85,'Data shares'!$C:$FA,26)*100</f>
        <v>0.32</v>
      </c>
      <c r="F85" s="144">
        <f>VLOOKUP($A85,'Data shares'!$C:$FA,24)</f>
        <v>3.2</v>
      </c>
      <c r="G85" s="144">
        <f>VLOOKUP($A85,'Data shares'!$C:$FA,25)</f>
        <v>-1.3</v>
      </c>
    </row>
    <row r="86" spans="1:7" x14ac:dyDescent="0.25">
      <c r="A86" s="101" t="str">
        <f>'Data Vlaue (Cr)'!C82</f>
        <v>HEROMOTOCO</v>
      </c>
      <c r="B86" s="144">
        <f>VLOOKUP($A86,'Data shares'!$C:$FA,7)</f>
        <v>5284</v>
      </c>
      <c r="C86" s="144">
        <f>VLOOKUP($A86,'Data shares'!$C:$FA,3)</f>
        <v>5309.5</v>
      </c>
      <c r="D86" s="144">
        <f>VLOOKUP($A86,'Data shares'!$C:$FA,23)</f>
        <v>25.5</v>
      </c>
      <c r="E86" s="145">
        <f>VLOOKUP($A86,'Data shares'!$C:$FA,26)*100</f>
        <v>0.48</v>
      </c>
      <c r="F86" s="144">
        <f>VLOOKUP($A86,'Data shares'!$C:$FA,24)</f>
        <v>27</v>
      </c>
      <c r="G86" s="144">
        <f>VLOOKUP($A86,'Data shares'!$C:$FA,25)</f>
        <v>-1.5</v>
      </c>
    </row>
    <row r="87" spans="1:7" x14ac:dyDescent="0.25">
      <c r="A87" s="101" t="str">
        <f>'Data Vlaue (Cr)'!C83</f>
        <v>HINDALCO</v>
      </c>
      <c r="B87" s="144">
        <f>VLOOKUP($A87,'Data shares'!$C:$FA,7)</f>
        <v>985.65</v>
      </c>
      <c r="C87" s="144">
        <f>VLOOKUP($A87,'Data shares'!$C:$FA,3)</f>
        <v>988.35</v>
      </c>
      <c r="D87" s="144">
        <f>VLOOKUP($A87,'Data shares'!$C:$FA,23)</f>
        <v>2.7</v>
      </c>
      <c r="E87" s="145">
        <f>VLOOKUP($A87,'Data shares'!$C:$FA,26)*100</f>
        <v>0.27</v>
      </c>
      <c r="F87" s="144">
        <f>VLOOKUP($A87,'Data shares'!$C:$FA,24)</f>
        <v>3.95</v>
      </c>
      <c r="G87" s="144">
        <f>VLOOKUP($A87,'Data shares'!$C:$FA,25)</f>
        <v>-1.25</v>
      </c>
    </row>
    <row r="88" spans="1:7" x14ac:dyDescent="0.25">
      <c r="A88" s="101" t="str">
        <f>'Data Vlaue (Cr)'!C84</f>
        <v>HINDPETRO</v>
      </c>
      <c r="B88" s="144">
        <f>VLOOKUP($A88,'Data shares'!$C:$FA,7)</f>
        <v>358</v>
      </c>
      <c r="C88" s="144">
        <f>VLOOKUP($A88,'Data shares'!$C:$FA,3)</f>
        <v>358.85</v>
      </c>
      <c r="D88" s="144">
        <f>VLOOKUP($A88,'Data shares'!$C:$FA,23)</f>
        <v>0.85</v>
      </c>
      <c r="E88" s="145">
        <f>VLOOKUP($A88,'Data shares'!$C:$FA,26)*100</f>
        <v>0.24</v>
      </c>
      <c r="F88" s="144">
        <f>VLOOKUP($A88,'Data shares'!$C:$FA,24)</f>
        <v>0.7</v>
      </c>
      <c r="G88" s="144">
        <f>VLOOKUP($A88,'Data shares'!$C:$FA,25)</f>
        <v>0.15</v>
      </c>
    </row>
    <row r="89" spans="1:7" x14ac:dyDescent="0.25">
      <c r="A89" s="101" t="str">
        <f>'Data Vlaue (Cr)'!C85</f>
        <v>HINDUNILVR</v>
      </c>
      <c r="B89" s="144">
        <f>VLOOKUP($A89,'Data shares'!$C:$FA,7)</f>
        <v>2133.1999999999998</v>
      </c>
      <c r="C89" s="144">
        <f>VLOOKUP($A89,'Data shares'!$C:$FA,3)</f>
        <v>2143.3000000000002</v>
      </c>
      <c r="D89" s="144">
        <f>VLOOKUP($A89,'Data shares'!$C:$FA,23)</f>
        <v>10.1</v>
      </c>
      <c r="E89" s="145">
        <f>VLOOKUP($A89,'Data shares'!$C:$FA,26)*100</f>
        <v>0.47000000000000003</v>
      </c>
      <c r="F89" s="144">
        <f>VLOOKUP($A89,'Data shares'!$C:$FA,24)</f>
        <v>11.1</v>
      </c>
      <c r="G89" s="144">
        <f>VLOOKUP($A89,'Data shares'!$C:$FA,25)</f>
        <v>-1</v>
      </c>
    </row>
    <row r="90" spans="1:7" x14ac:dyDescent="0.25">
      <c r="A90" s="101" t="str">
        <f>'Data Vlaue (Cr)'!C86</f>
        <v>HINDZINC</v>
      </c>
      <c r="B90" s="144">
        <f>VLOOKUP($A90,'Data shares'!$C:$FA,7)</f>
        <v>558.5</v>
      </c>
      <c r="C90" s="144">
        <f>VLOOKUP($A90,'Data shares'!$C:$FA,3)</f>
        <v>559.95000000000005</v>
      </c>
      <c r="D90" s="144">
        <f>VLOOKUP($A90,'Data shares'!$C:$FA,23)</f>
        <v>1.45</v>
      </c>
      <c r="E90" s="145">
        <f>VLOOKUP($A90,'Data shares'!$C:$FA,26)*100</f>
        <v>0.26</v>
      </c>
      <c r="F90" s="144">
        <f>VLOOKUP($A90,'Data shares'!$C:$FA,24)</f>
        <v>1.05</v>
      </c>
      <c r="G90" s="144">
        <f>VLOOKUP($A90,'Data shares'!$C:$FA,25)</f>
        <v>0.4</v>
      </c>
    </row>
    <row r="91" spans="1:7" x14ac:dyDescent="0.25">
      <c r="A91" s="101" t="str">
        <f>'Data Vlaue (Cr)'!C87</f>
        <v>HUDCO</v>
      </c>
      <c r="B91" s="144">
        <f>VLOOKUP($A91,'Data shares'!$C:$FA,7)</f>
        <v>181.93</v>
      </c>
      <c r="C91" s="144">
        <f>VLOOKUP($A91,'Data shares'!$C:$FA,3)</f>
        <v>182.64</v>
      </c>
      <c r="D91" s="144">
        <f>VLOOKUP($A91,'Data shares'!$C:$FA,23)</f>
        <v>0.71</v>
      </c>
      <c r="E91" s="145">
        <f>VLOOKUP($A91,'Data shares'!$C:$FA,26)*100</f>
        <v>0.38999999999999996</v>
      </c>
      <c r="F91" s="144">
        <f>VLOOKUP($A91,'Data shares'!$C:$FA,24)</f>
        <v>1.04</v>
      </c>
      <c r="G91" s="144">
        <f>VLOOKUP($A91,'Data shares'!$C:$FA,25)</f>
        <v>-0.33</v>
      </c>
    </row>
    <row r="92" spans="1:7" x14ac:dyDescent="0.25">
      <c r="A92" s="101" t="str">
        <f>'Data Vlaue (Cr)'!C88</f>
        <v>HYUNDAI</v>
      </c>
      <c r="B92" s="144">
        <f>VLOOKUP($A92,'Data shares'!$C:$FA,7)</f>
        <v>1768.3</v>
      </c>
      <c r="C92" s="144">
        <f>VLOOKUP($A92,'Data shares'!$C:$FA,3)</f>
        <v>1750.2</v>
      </c>
      <c r="D92" s="144">
        <f>VLOOKUP($A92,'Data shares'!$C:$FA,23)</f>
        <v>-18.100000000000001</v>
      </c>
      <c r="E92" s="145">
        <f>VLOOKUP($A92,'Data shares'!$C:$FA,26)*100</f>
        <v>-1.02</v>
      </c>
      <c r="F92" s="144">
        <f>VLOOKUP($A92,'Data shares'!$C:$FA,24)</f>
        <v>-11.7</v>
      </c>
      <c r="G92" s="144">
        <f>VLOOKUP($A92,'Data shares'!$C:$FA,25)</f>
        <v>-6.4</v>
      </c>
    </row>
    <row r="93" spans="1:7" x14ac:dyDescent="0.25">
      <c r="A93" s="101" t="str">
        <f>'Data Vlaue (Cr)'!C89</f>
        <v>ICICIBANK</v>
      </c>
      <c r="B93" s="144">
        <f>VLOOKUP($A93,'Data shares'!$C:$FA,7)</f>
        <v>1281.3</v>
      </c>
      <c r="C93" s="144">
        <f>VLOOKUP($A93,'Data shares'!$C:$FA,3)</f>
        <v>1286.9000000000001</v>
      </c>
      <c r="D93" s="144">
        <f>VLOOKUP($A93,'Data shares'!$C:$FA,23)</f>
        <v>5.6</v>
      </c>
      <c r="E93" s="145">
        <f>VLOOKUP($A93,'Data shares'!$C:$FA,26)*100</f>
        <v>0.44</v>
      </c>
      <c r="F93" s="144">
        <f>VLOOKUP($A93,'Data shares'!$C:$FA,24)</f>
        <v>5.3</v>
      </c>
      <c r="G93" s="144">
        <f>VLOOKUP($A93,'Data shares'!$C:$FA,25)</f>
        <v>0.3</v>
      </c>
    </row>
    <row r="94" spans="1:7" x14ac:dyDescent="0.25">
      <c r="A94" s="101" t="str">
        <f>'Data Vlaue (Cr)'!C90</f>
        <v>ICICIGI</v>
      </c>
      <c r="B94" s="144">
        <f>VLOOKUP($A94,'Data shares'!$C:$FA,7)</f>
        <v>1768.6</v>
      </c>
      <c r="C94" s="144">
        <f>VLOOKUP($A94,'Data shares'!$C:$FA,3)</f>
        <v>1777.5</v>
      </c>
      <c r="D94" s="144">
        <f>VLOOKUP($A94,'Data shares'!$C:$FA,23)</f>
        <v>8.9</v>
      </c>
      <c r="E94" s="145">
        <f>VLOOKUP($A94,'Data shares'!$C:$FA,26)*100</f>
        <v>0.5</v>
      </c>
      <c r="F94" s="144">
        <f>VLOOKUP($A94,'Data shares'!$C:$FA,24)</f>
        <v>5.0999999999999996</v>
      </c>
      <c r="G94" s="144">
        <f>VLOOKUP($A94,'Data shares'!$C:$FA,25)</f>
        <v>3.8</v>
      </c>
    </row>
    <row r="95" spans="1:7" x14ac:dyDescent="0.25">
      <c r="A95" s="101" t="str">
        <f>'Data Vlaue (Cr)'!C91</f>
        <v>ICICIPRULI</v>
      </c>
      <c r="B95" s="144">
        <f>VLOOKUP($A95,'Data shares'!$C:$FA,7)</f>
        <v>541.95000000000005</v>
      </c>
      <c r="C95" s="144">
        <f>VLOOKUP($A95,'Data shares'!$C:$FA,3)</f>
        <v>544.65</v>
      </c>
      <c r="D95" s="144">
        <f>VLOOKUP($A95,'Data shares'!$C:$FA,23)</f>
        <v>2.7</v>
      </c>
      <c r="E95" s="145">
        <f>VLOOKUP($A95,'Data shares'!$C:$FA,26)*100</f>
        <v>0.5</v>
      </c>
      <c r="F95" s="144">
        <f>VLOOKUP($A95,'Data shares'!$C:$FA,24)</f>
        <v>1.6</v>
      </c>
      <c r="G95" s="144">
        <f>VLOOKUP($A95,'Data shares'!$C:$FA,25)</f>
        <v>1.1000000000000001</v>
      </c>
    </row>
    <row r="96" spans="1:7" x14ac:dyDescent="0.25">
      <c r="A96" s="101" t="str">
        <f>'Data Vlaue (Cr)'!C92</f>
        <v>IDEA</v>
      </c>
      <c r="B96" s="144">
        <f>VLOOKUP($A96,'Data shares'!$C:$FA,7)</f>
        <v>9.1199999999999992</v>
      </c>
      <c r="C96" s="144">
        <f>VLOOKUP($A96,'Data shares'!$C:$FA,3)</f>
        <v>9.18</v>
      </c>
      <c r="D96" s="144">
        <f>VLOOKUP($A96,'Data shares'!$C:$FA,23)</f>
        <v>0.06</v>
      </c>
      <c r="E96" s="145">
        <f>VLOOKUP($A96,'Data shares'!$C:$FA,26)*100</f>
        <v>0.66</v>
      </c>
      <c r="F96" s="144">
        <f>VLOOKUP($A96,'Data shares'!$C:$FA,24)</f>
        <v>0.06</v>
      </c>
      <c r="G96" s="144">
        <f>VLOOKUP($A96,'Data shares'!$C:$FA,25)</f>
        <v>0</v>
      </c>
    </row>
    <row r="97" spans="1:7" x14ac:dyDescent="0.25">
      <c r="A97" s="101" t="str">
        <f>'Data Vlaue (Cr)'!C93</f>
        <v>IDFCFIRSTB</v>
      </c>
      <c r="B97" s="144">
        <f>VLOOKUP($A97,'Data shares'!$C:$FA,7)</f>
        <v>65.28</v>
      </c>
      <c r="C97" s="144">
        <f>VLOOKUP($A97,'Data shares'!$C:$FA,3)</f>
        <v>65.459999999999994</v>
      </c>
      <c r="D97" s="144">
        <f>VLOOKUP($A97,'Data shares'!$C:$FA,23)</f>
        <v>0.18</v>
      </c>
      <c r="E97" s="145">
        <f>VLOOKUP($A97,'Data shares'!$C:$FA,26)*100</f>
        <v>0.27999999999999997</v>
      </c>
      <c r="F97" s="144">
        <f>VLOOKUP($A97,'Data shares'!$C:$FA,24)</f>
        <v>0.35</v>
      </c>
      <c r="G97" s="144">
        <f>VLOOKUP($A97,'Data shares'!$C:$FA,25)</f>
        <v>-0.17</v>
      </c>
    </row>
    <row r="98" spans="1:7" x14ac:dyDescent="0.25">
      <c r="A98" s="101" t="str">
        <f>'Data Vlaue (Cr)'!C94</f>
        <v>IEX</v>
      </c>
      <c r="B98" s="144">
        <f>VLOOKUP($A98,'Data shares'!$C:$FA,7)</f>
        <v>129.69</v>
      </c>
      <c r="C98" s="144">
        <f>VLOOKUP($A98,'Data shares'!$C:$FA,3)</f>
        <v>130.15</v>
      </c>
      <c r="D98" s="144">
        <f>VLOOKUP($A98,'Data shares'!$C:$FA,23)</f>
        <v>0.46</v>
      </c>
      <c r="E98" s="145">
        <f>VLOOKUP($A98,'Data shares'!$C:$FA,26)*100</f>
        <v>0.35000000000000003</v>
      </c>
      <c r="F98" s="144">
        <f>VLOOKUP($A98,'Data shares'!$C:$FA,24)</f>
        <v>0.55000000000000004</v>
      </c>
      <c r="G98" s="144">
        <f>VLOOKUP($A98,'Data shares'!$C:$FA,25)</f>
        <v>-0.09</v>
      </c>
    </row>
    <row r="99" spans="1:7" x14ac:dyDescent="0.25">
      <c r="A99" s="101" t="str">
        <f>'Data Vlaue (Cr)'!C95</f>
        <v>INDHOTEL</v>
      </c>
      <c r="B99" s="144">
        <f>VLOOKUP($A99,'Data shares'!$C:$FA,7)</f>
        <v>629.1</v>
      </c>
      <c r="C99" s="144">
        <f>VLOOKUP($A99,'Data shares'!$C:$FA,3)</f>
        <v>630.79999999999995</v>
      </c>
      <c r="D99" s="144">
        <f>VLOOKUP($A99,'Data shares'!$C:$FA,23)</f>
        <v>1.7</v>
      </c>
      <c r="E99" s="145">
        <f>VLOOKUP($A99,'Data shares'!$C:$FA,26)*100</f>
        <v>0.27</v>
      </c>
      <c r="F99" s="144">
        <f>VLOOKUP($A99,'Data shares'!$C:$FA,24)</f>
        <v>3.05</v>
      </c>
      <c r="G99" s="144">
        <f>VLOOKUP($A99,'Data shares'!$C:$FA,25)</f>
        <v>-1.35</v>
      </c>
    </row>
    <row r="100" spans="1:7" x14ac:dyDescent="0.25">
      <c r="A100" s="101" t="str">
        <f>'Data Vlaue (Cr)'!C96</f>
        <v>INDIANB</v>
      </c>
      <c r="B100" s="144">
        <f>VLOOKUP($A100,'Data shares'!$C:$FA,7)</f>
        <v>941.85</v>
      </c>
      <c r="C100" s="144">
        <f>VLOOKUP($A100,'Data shares'!$C:$FA,3)</f>
        <v>946.05</v>
      </c>
      <c r="D100" s="144">
        <f>VLOOKUP($A100,'Data shares'!$C:$FA,23)</f>
        <v>4.2</v>
      </c>
      <c r="E100" s="145">
        <f>VLOOKUP($A100,'Data shares'!$C:$FA,26)*100</f>
        <v>0.44999999999999996</v>
      </c>
      <c r="F100" s="144">
        <f>VLOOKUP($A100,'Data shares'!$C:$FA,24)</f>
        <v>4.3</v>
      </c>
      <c r="G100" s="144">
        <f>VLOOKUP($A100,'Data shares'!$C:$FA,25)</f>
        <v>-0.1</v>
      </c>
    </row>
    <row r="101" spans="1:7" x14ac:dyDescent="0.25">
      <c r="A101" s="101" t="str">
        <f>'Data Vlaue (Cr)'!C97</f>
        <v>INDIAVIX</v>
      </c>
      <c r="B101" s="144">
        <f>VLOOKUP($A101,'Data shares'!$C:$FA,7)</f>
        <v>20.43</v>
      </c>
      <c r="C101" s="144">
        <f>VLOOKUP($A101,'Data shares'!$C:$FA,3)</f>
        <v>20.43</v>
      </c>
      <c r="D101" s="144">
        <f>VLOOKUP($A101,'Data shares'!$C:$FA,23)</f>
        <v>0</v>
      </c>
      <c r="E101" s="145">
        <f>VLOOKUP($A101,'Data shares'!$C:$FA,26)*100</f>
        <v>0</v>
      </c>
      <c r="F101" s="144">
        <f>VLOOKUP($A101,'Data shares'!$C:$FA,24)</f>
        <v>0</v>
      </c>
      <c r="G101" s="144">
        <f>VLOOKUP($A101,'Data shares'!$C:$FA,25)</f>
        <v>0</v>
      </c>
    </row>
    <row r="102" spans="1:7" x14ac:dyDescent="0.25">
      <c r="A102" s="101" t="str">
        <f>'Data Vlaue (Cr)'!C98</f>
        <v>INDIGO</v>
      </c>
      <c r="B102" s="144">
        <f>VLOOKUP($A102,'Data shares'!$C:$FA,7)</f>
        <v>4449.1000000000004</v>
      </c>
      <c r="C102" s="144">
        <f>VLOOKUP($A102,'Data shares'!$C:$FA,3)</f>
        <v>4470.6000000000004</v>
      </c>
      <c r="D102" s="144">
        <f>VLOOKUP($A102,'Data shares'!$C:$FA,23)</f>
        <v>21.5</v>
      </c>
      <c r="E102" s="145">
        <f>VLOOKUP($A102,'Data shares'!$C:$FA,26)*100</f>
        <v>0.48</v>
      </c>
      <c r="F102" s="144">
        <f>VLOOKUP($A102,'Data shares'!$C:$FA,24)</f>
        <v>9.3000000000000007</v>
      </c>
      <c r="G102" s="144">
        <f>VLOOKUP($A102,'Data shares'!$C:$FA,25)</f>
        <v>12.2</v>
      </c>
    </row>
    <row r="103" spans="1:7" x14ac:dyDescent="0.25">
      <c r="A103" s="101" t="str">
        <f>'Data Vlaue (Cr)'!C99</f>
        <v>INDUSINDBK</v>
      </c>
      <c r="B103" s="144">
        <f>VLOOKUP($A103,'Data shares'!$C:$FA,7)</f>
        <v>814.55</v>
      </c>
      <c r="C103" s="144">
        <f>VLOOKUP($A103,'Data shares'!$C:$FA,3)</f>
        <v>817.25</v>
      </c>
      <c r="D103" s="144">
        <f>VLOOKUP($A103,'Data shares'!$C:$FA,23)</f>
        <v>2.7</v>
      </c>
      <c r="E103" s="145">
        <f>VLOOKUP($A103,'Data shares'!$C:$FA,26)*100</f>
        <v>0.33</v>
      </c>
      <c r="F103" s="144">
        <f>VLOOKUP($A103,'Data shares'!$C:$FA,24)</f>
        <v>1.2</v>
      </c>
      <c r="G103" s="144">
        <f>VLOOKUP($A103,'Data shares'!$C:$FA,25)</f>
        <v>1.5</v>
      </c>
    </row>
    <row r="104" spans="1:7" x14ac:dyDescent="0.25">
      <c r="A104" s="101" t="str">
        <f>'Data Vlaue (Cr)'!C100</f>
        <v>INDUSTOWER</v>
      </c>
      <c r="B104" s="144">
        <f>VLOOKUP($A104,'Data shares'!$C:$FA,7)</f>
        <v>438.45</v>
      </c>
      <c r="C104" s="144">
        <f>VLOOKUP($A104,'Data shares'!$C:$FA,3)</f>
        <v>439.7</v>
      </c>
      <c r="D104" s="144">
        <f>VLOOKUP($A104,'Data shares'!$C:$FA,23)</f>
        <v>1.25</v>
      </c>
      <c r="E104" s="145">
        <f>VLOOKUP($A104,'Data shares'!$C:$FA,26)*100</f>
        <v>0.28999999999999998</v>
      </c>
      <c r="F104" s="144">
        <f>VLOOKUP($A104,'Data shares'!$C:$FA,24)</f>
        <v>1.7</v>
      </c>
      <c r="G104" s="144">
        <f>VLOOKUP($A104,'Data shares'!$C:$FA,25)</f>
        <v>-0.45</v>
      </c>
    </row>
    <row r="105" spans="1:7" x14ac:dyDescent="0.25">
      <c r="A105" s="101" t="str">
        <f>'Data Vlaue (Cr)'!C101</f>
        <v>INFY</v>
      </c>
      <c r="B105" s="144">
        <f>VLOOKUP($A105,'Data shares'!$C:$FA,7)</f>
        <v>1331.6</v>
      </c>
      <c r="C105" s="144">
        <f>VLOOKUP($A105,'Data shares'!$C:$FA,3)</f>
        <v>1332.5</v>
      </c>
      <c r="D105" s="144">
        <f>VLOOKUP($A105,'Data shares'!$C:$FA,23)</f>
        <v>0.9</v>
      </c>
      <c r="E105" s="145">
        <f>VLOOKUP($A105,'Data shares'!$C:$FA,26)*100</f>
        <v>6.9999999999999993E-2</v>
      </c>
      <c r="F105" s="144">
        <f>VLOOKUP($A105,'Data shares'!$C:$FA,24)</f>
        <v>-2.2000000000000002</v>
      </c>
      <c r="G105" s="144">
        <f>VLOOKUP($A105,'Data shares'!$C:$FA,25)</f>
        <v>3.1</v>
      </c>
    </row>
    <row r="106" spans="1:7" x14ac:dyDescent="0.25">
      <c r="A106" s="101" t="str">
        <f>'Data Vlaue (Cr)'!C102</f>
        <v>INOXWIND</v>
      </c>
      <c r="B106" s="144">
        <f>VLOOKUP($A106,'Data shares'!$C:$FA,7)</f>
        <v>85.39</v>
      </c>
      <c r="C106" s="144">
        <f>VLOOKUP($A106,'Data shares'!$C:$FA,3)</f>
        <v>85.73</v>
      </c>
      <c r="D106" s="144">
        <f>VLOOKUP($A106,'Data shares'!$C:$FA,23)</f>
        <v>0.34</v>
      </c>
      <c r="E106" s="145">
        <f>VLOOKUP($A106,'Data shares'!$C:$FA,26)*100</f>
        <v>0.4</v>
      </c>
      <c r="F106" s="144">
        <f>VLOOKUP($A106,'Data shares'!$C:$FA,24)</f>
        <v>0.45</v>
      </c>
      <c r="G106" s="144">
        <f>VLOOKUP($A106,'Data shares'!$C:$FA,25)</f>
        <v>-0.11</v>
      </c>
    </row>
    <row r="107" spans="1:7" x14ac:dyDescent="0.25">
      <c r="A107" s="101" t="str">
        <f>'Data Vlaue (Cr)'!C103</f>
        <v>IOC</v>
      </c>
      <c r="B107" s="144">
        <f>VLOOKUP($A107,'Data shares'!$C:$FA,7)</f>
        <v>141.66999999999999</v>
      </c>
      <c r="C107" s="144">
        <f>VLOOKUP($A107,'Data shares'!$C:$FA,3)</f>
        <v>141.91999999999999</v>
      </c>
      <c r="D107" s="144">
        <f>VLOOKUP($A107,'Data shares'!$C:$FA,23)</f>
        <v>0.25</v>
      </c>
      <c r="E107" s="145">
        <f>VLOOKUP($A107,'Data shares'!$C:$FA,26)*100</f>
        <v>0.18</v>
      </c>
      <c r="F107" s="144">
        <f>VLOOKUP($A107,'Data shares'!$C:$FA,24)</f>
        <v>0.28000000000000003</v>
      </c>
      <c r="G107" s="144">
        <f>VLOOKUP($A107,'Data shares'!$C:$FA,25)</f>
        <v>-0.03</v>
      </c>
    </row>
    <row r="108" spans="1:7" x14ac:dyDescent="0.25">
      <c r="A108" s="101" t="str">
        <f>'Data Vlaue (Cr)'!C104</f>
        <v>IREDA</v>
      </c>
      <c r="B108" s="144">
        <f>VLOOKUP($A108,'Data shares'!$C:$FA,7)</f>
        <v>123.13</v>
      </c>
      <c r="C108" s="144">
        <f>VLOOKUP($A108,'Data shares'!$C:$FA,3)</f>
        <v>122.71</v>
      </c>
      <c r="D108" s="144">
        <f>VLOOKUP($A108,'Data shares'!$C:$FA,23)</f>
        <v>-0.42</v>
      </c>
      <c r="E108" s="145">
        <f>VLOOKUP($A108,'Data shares'!$C:$FA,26)*100</f>
        <v>-0.33999999999999997</v>
      </c>
      <c r="F108" s="144">
        <f>VLOOKUP($A108,'Data shares'!$C:$FA,24)</f>
        <v>0.22</v>
      </c>
      <c r="G108" s="144">
        <f>VLOOKUP($A108,'Data shares'!$C:$FA,25)</f>
        <v>-0.64</v>
      </c>
    </row>
    <row r="109" spans="1:7" x14ac:dyDescent="0.25">
      <c r="A109" s="101" t="str">
        <f>'Data Vlaue (Cr)'!C105</f>
        <v>IRFC</v>
      </c>
      <c r="B109" s="144">
        <f>VLOOKUP($A109,'Data shares'!$C:$FA,7)</f>
        <v>98.49</v>
      </c>
      <c r="C109" s="144">
        <f>VLOOKUP($A109,'Data shares'!$C:$FA,3)</f>
        <v>98.53</v>
      </c>
      <c r="D109" s="144">
        <f>VLOOKUP($A109,'Data shares'!$C:$FA,23)</f>
        <v>0.04</v>
      </c>
      <c r="E109" s="145">
        <f>VLOOKUP($A109,'Data shares'!$C:$FA,26)*100</f>
        <v>0.04</v>
      </c>
      <c r="F109" s="144">
        <f>VLOOKUP($A109,'Data shares'!$C:$FA,24)</f>
        <v>0.22</v>
      </c>
      <c r="G109" s="144">
        <f>VLOOKUP($A109,'Data shares'!$C:$FA,25)</f>
        <v>-0.18</v>
      </c>
    </row>
    <row r="110" spans="1:7" x14ac:dyDescent="0.25">
      <c r="A110" s="101" t="str">
        <f>'Data Vlaue (Cr)'!C106</f>
        <v>ITC</v>
      </c>
      <c r="B110" s="144">
        <f>VLOOKUP($A110,'Data shares'!$C:$FA,7)</f>
        <v>303</v>
      </c>
      <c r="C110" s="144">
        <f>VLOOKUP($A110,'Data shares'!$C:$FA,3)</f>
        <v>303.75</v>
      </c>
      <c r="D110" s="144">
        <f>VLOOKUP($A110,'Data shares'!$C:$FA,23)</f>
        <v>0.75</v>
      </c>
      <c r="E110" s="145">
        <f>VLOOKUP($A110,'Data shares'!$C:$FA,26)*100</f>
        <v>0.25</v>
      </c>
      <c r="F110" s="144">
        <f>VLOOKUP($A110,'Data shares'!$C:$FA,24)</f>
        <v>1.2</v>
      </c>
      <c r="G110" s="144">
        <f>VLOOKUP($A110,'Data shares'!$C:$FA,25)</f>
        <v>-0.45</v>
      </c>
    </row>
    <row r="111" spans="1:7" x14ac:dyDescent="0.25">
      <c r="A111" s="101" t="str">
        <f>'Data Vlaue (Cr)'!C107</f>
        <v>JINDALSTEL</v>
      </c>
      <c r="B111" s="144">
        <f>VLOOKUP($A111,'Data shares'!$C:$FA,7)</f>
        <v>1199.5999999999999</v>
      </c>
      <c r="C111" s="144">
        <f>VLOOKUP($A111,'Data shares'!$C:$FA,3)</f>
        <v>1205.5</v>
      </c>
      <c r="D111" s="144">
        <f>VLOOKUP($A111,'Data shares'!$C:$FA,23)</f>
        <v>5.9</v>
      </c>
      <c r="E111" s="145">
        <f>VLOOKUP($A111,'Data shares'!$C:$FA,26)*100</f>
        <v>0.49</v>
      </c>
      <c r="F111" s="144">
        <f>VLOOKUP($A111,'Data shares'!$C:$FA,24)</f>
        <v>-4.7</v>
      </c>
      <c r="G111" s="144">
        <f>VLOOKUP($A111,'Data shares'!$C:$FA,25)</f>
        <v>10.6</v>
      </c>
    </row>
    <row r="112" spans="1:7" x14ac:dyDescent="0.25">
      <c r="A112" s="101" t="str">
        <f>'Data Vlaue (Cr)'!C108</f>
        <v>JIOFIN</v>
      </c>
      <c r="B112" s="144">
        <f>VLOOKUP($A112,'Data shares'!$C:$FA,7)</f>
        <v>238.84</v>
      </c>
      <c r="C112" s="144">
        <f>VLOOKUP($A112,'Data shares'!$C:$FA,3)</f>
        <v>239.74</v>
      </c>
      <c r="D112" s="144">
        <f>VLOOKUP($A112,'Data shares'!$C:$FA,23)</f>
        <v>0.9</v>
      </c>
      <c r="E112" s="145">
        <f>VLOOKUP($A112,'Data shares'!$C:$FA,26)*100</f>
        <v>0.38</v>
      </c>
      <c r="F112" s="144">
        <f>VLOOKUP($A112,'Data shares'!$C:$FA,24)</f>
        <v>1.05</v>
      </c>
      <c r="G112" s="144">
        <f>VLOOKUP($A112,'Data shares'!$C:$FA,25)</f>
        <v>-0.15</v>
      </c>
    </row>
    <row r="113" spans="1:7" x14ac:dyDescent="0.25">
      <c r="A113" s="101" t="str">
        <f>'Data Vlaue (Cr)'!C109</f>
        <v>JSWENERGY</v>
      </c>
      <c r="B113" s="144">
        <f>VLOOKUP($A113,'Data shares'!$C:$FA,7)</f>
        <v>489.15</v>
      </c>
      <c r="C113" s="144">
        <f>VLOOKUP($A113,'Data shares'!$C:$FA,3)</f>
        <v>491.65</v>
      </c>
      <c r="D113" s="144">
        <f>VLOOKUP($A113,'Data shares'!$C:$FA,23)</f>
        <v>2.5</v>
      </c>
      <c r="E113" s="145">
        <f>VLOOKUP($A113,'Data shares'!$C:$FA,26)*100</f>
        <v>0.51</v>
      </c>
      <c r="F113" s="144">
        <f>VLOOKUP($A113,'Data shares'!$C:$FA,24)</f>
        <v>2.65</v>
      </c>
      <c r="G113" s="144">
        <f>VLOOKUP($A113,'Data shares'!$C:$FA,25)</f>
        <v>-0.15</v>
      </c>
    </row>
    <row r="114" spans="1:7" x14ac:dyDescent="0.25">
      <c r="A114" s="101" t="str">
        <f>'Data Vlaue (Cr)'!C110</f>
        <v>JSWSTEEL</v>
      </c>
      <c r="B114" s="144">
        <f>VLOOKUP($A114,'Data shares'!$C:$FA,7)</f>
        <v>1209.7</v>
      </c>
      <c r="C114" s="144">
        <f>VLOOKUP($A114,'Data shares'!$C:$FA,3)</f>
        <v>1213.9000000000001</v>
      </c>
      <c r="D114" s="144">
        <f>VLOOKUP($A114,'Data shares'!$C:$FA,23)</f>
        <v>4.2</v>
      </c>
      <c r="E114" s="145">
        <f>VLOOKUP($A114,'Data shares'!$C:$FA,26)*100</f>
        <v>0.35000000000000003</v>
      </c>
      <c r="F114" s="144">
        <f>VLOOKUP($A114,'Data shares'!$C:$FA,24)</f>
        <v>2.6</v>
      </c>
      <c r="G114" s="144">
        <f>VLOOKUP($A114,'Data shares'!$C:$FA,25)</f>
        <v>1.6</v>
      </c>
    </row>
    <row r="115" spans="1:7" x14ac:dyDescent="0.25">
      <c r="A115" s="101" t="str">
        <f>'Data Vlaue (Cr)'!C111</f>
        <v>JUBLFOOD</v>
      </c>
      <c r="B115" s="144">
        <f>VLOOKUP($A115,'Data shares'!$C:$FA,7)</f>
        <v>427.85</v>
      </c>
      <c r="C115" s="144">
        <f>VLOOKUP($A115,'Data shares'!$C:$FA,3)</f>
        <v>426.35</v>
      </c>
      <c r="D115" s="144">
        <f>VLOOKUP($A115,'Data shares'!$C:$FA,23)</f>
        <v>-1.5</v>
      </c>
      <c r="E115" s="145">
        <f>VLOOKUP($A115,'Data shares'!$C:$FA,26)*100</f>
        <v>-0.35000000000000003</v>
      </c>
      <c r="F115" s="144">
        <f>VLOOKUP($A115,'Data shares'!$C:$FA,24)</f>
        <v>-7</v>
      </c>
      <c r="G115" s="144">
        <f>VLOOKUP($A115,'Data shares'!$C:$FA,25)</f>
        <v>5.5</v>
      </c>
    </row>
    <row r="116" spans="1:7" x14ac:dyDescent="0.25">
      <c r="A116" s="101" t="str">
        <f>'Data Vlaue (Cr)'!C112</f>
        <v>KALYANKJIL</v>
      </c>
      <c r="B116" s="144">
        <f>VLOOKUP($A116,'Data shares'!$C:$FA,7)</f>
        <v>446.1</v>
      </c>
      <c r="C116" s="144">
        <f>VLOOKUP($A116,'Data shares'!$C:$FA,3)</f>
        <v>447.85</v>
      </c>
      <c r="D116" s="144">
        <f>VLOOKUP($A116,'Data shares'!$C:$FA,23)</f>
        <v>1.75</v>
      </c>
      <c r="E116" s="145">
        <f>VLOOKUP($A116,'Data shares'!$C:$FA,26)*100</f>
        <v>0.38999999999999996</v>
      </c>
      <c r="F116" s="144">
        <f>VLOOKUP($A116,'Data shares'!$C:$FA,24)</f>
        <v>2.25</v>
      </c>
      <c r="G116" s="144">
        <f>VLOOKUP($A116,'Data shares'!$C:$FA,25)</f>
        <v>-0.5</v>
      </c>
    </row>
    <row r="117" spans="1:7" x14ac:dyDescent="0.25">
      <c r="A117" s="101" t="str">
        <f>'Data Vlaue (Cr)'!C113</f>
        <v>KAYNES</v>
      </c>
      <c r="B117" s="144">
        <f>VLOOKUP($A117,'Data shares'!$C:$FA,7)</f>
        <v>3851.5</v>
      </c>
      <c r="C117" s="144">
        <f>VLOOKUP($A117,'Data shares'!$C:$FA,3)</f>
        <v>3802.8</v>
      </c>
      <c r="D117" s="144">
        <f>VLOOKUP($A117,'Data shares'!$C:$FA,23)</f>
        <v>-48.7</v>
      </c>
      <c r="E117" s="145">
        <f>VLOOKUP($A117,'Data shares'!$C:$FA,26)*100</f>
        <v>-1.26</v>
      </c>
      <c r="F117" s="144">
        <f>VLOOKUP($A117,'Data shares'!$C:$FA,24)</f>
        <v>-1.9</v>
      </c>
      <c r="G117" s="144">
        <f>VLOOKUP($A117,'Data shares'!$C:$FA,25)</f>
        <v>-46.8</v>
      </c>
    </row>
    <row r="118" spans="1:7" x14ac:dyDescent="0.25">
      <c r="A118" s="101" t="str">
        <f>'Data Vlaue (Cr)'!C114</f>
        <v>KEI</v>
      </c>
      <c r="B118" s="144">
        <f>VLOOKUP($A118,'Data shares'!$C:$FA,7)</f>
        <v>4416.8999999999996</v>
      </c>
      <c r="C118" s="144">
        <f>VLOOKUP($A118,'Data shares'!$C:$FA,3)</f>
        <v>4418.8</v>
      </c>
      <c r="D118" s="144">
        <f>VLOOKUP($A118,'Data shares'!$C:$FA,23)</f>
        <v>1.9</v>
      </c>
      <c r="E118" s="145">
        <f>VLOOKUP($A118,'Data shares'!$C:$FA,26)*100</f>
        <v>0.04</v>
      </c>
      <c r="F118" s="144">
        <f>VLOOKUP($A118,'Data shares'!$C:$FA,24)</f>
        <v>-60</v>
      </c>
      <c r="G118" s="144">
        <f>VLOOKUP($A118,'Data shares'!$C:$FA,25)</f>
        <v>61.9</v>
      </c>
    </row>
    <row r="119" spans="1:7" x14ac:dyDescent="0.25">
      <c r="A119" s="101" t="str">
        <f>'Data Vlaue (Cr)'!C115</f>
        <v>KFINTECH</v>
      </c>
      <c r="B119" s="144">
        <f>VLOOKUP($A119,'Data shares'!$C:$FA,7)</f>
        <v>892.25</v>
      </c>
      <c r="C119" s="144">
        <f>VLOOKUP($A119,'Data shares'!$C:$FA,3)</f>
        <v>893.85</v>
      </c>
      <c r="D119" s="144">
        <f>VLOOKUP($A119,'Data shares'!$C:$FA,23)</f>
        <v>1.6</v>
      </c>
      <c r="E119" s="145">
        <f>VLOOKUP($A119,'Data shares'!$C:$FA,26)*100</f>
        <v>0.18</v>
      </c>
      <c r="F119" s="144">
        <f>VLOOKUP($A119,'Data shares'!$C:$FA,24)</f>
        <v>-8</v>
      </c>
      <c r="G119" s="144">
        <f>VLOOKUP($A119,'Data shares'!$C:$FA,25)</f>
        <v>9.6</v>
      </c>
    </row>
    <row r="120" spans="1:7" x14ac:dyDescent="0.25">
      <c r="A120" s="101" t="str">
        <f>'Data Vlaue (Cr)'!C116</f>
        <v>KOTAKBANK</v>
      </c>
      <c r="B120" s="144">
        <f>VLOOKUP($A120,'Data shares'!$C:$FA,7)</f>
        <v>371.9</v>
      </c>
      <c r="C120" s="144">
        <f>VLOOKUP($A120,'Data shares'!$C:$FA,3)</f>
        <v>373.05</v>
      </c>
      <c r="D120" s="144">
        <f>VLOOKUP($A120,'Data shares'!$C:$FA,23)</f>
        <v>1.1499999999999999</v>
      </c>
      <c r="E120" s="145">
        <f>VLOOKUP($A120,'Data shares'!$C:$FA,26)*100</f>
        <v>0.31</v>
      </c>
      <c r="F120" s="144">
        <f>VLOOKUP($A120,'Data shares'!$C:$FA,24)</f>
        <v>0.8</v>
      </c>
      <c r="G120" s="144">
        <f>VLOOKUP($A120,'Data shares'!$C:$FA,25)</f>
        <v>0.35</v>
      </c>
    </row>
    <row r="121" spans="1:7" x14ac:dyDescent="0.25">
      <c r="A121" s="101" t="str">
        <f>'Data Vlaue (Cr)'!C117</f>
        <v>KPITTECH</v>
      </c>
      <c r="B121" s="144">
        <f>VLOOKUP($A121,'Data shares'!$C:$FA,7)</f>
        <v>716.05</v>
      </c>
      <c r="C121" s="144">
        <f>VLOOKUP($A121,'Data shares'!$C:$FA,3)</f>
        <v>718.9</v>
      </c>
      <c r="D121" s="144">
        <f>VLOOKUP($A121,'Data shares'!$C:$FA,23)</f>
        <v>2.85</v>
      </c>
      <c r="E121" s="145">
        <f>VLOOKUP($A121,'Data shares'!$C:$FA,26)*100</f>
        <v>0.4</v>
      </c>
      <c r="F121" s="144">
        <f>VLOOKUP($A121,'Data shares'!$C:$FA,24)</f>
        <v>3.9</v>
      </c>
      <c r="G121" s="144">
        <f>VLOOKUP($A121,'Data shares'!$C:$FA,25)</f>
        <v>-1.05</v>
      </c>
    </row>
    <row r="122" spans="1:7" x14ac:dyDescent="0.25">
      <c r="A122" s="101" t="str">
        <f>'Data Vlaue (Cr)'!C118</f>
        <v>LAURUSLABS</v>
      </c>
      <c r="B122" s="144">
        <f>VLOOKUP($A122,'Data shares'!$C:$FA,7)</f>
        <v>1083.7</v>
      </c>
      <c r="C122" s="144">
        <f>VLOOKUP($A122,'Data shares'!$C:$FA,3)</f>
        <v>1087.4000000000001</v>
      </c>
      <c r="D122" s="144">
        <f>VLOOKUP($A122,'Data shares'!$C:$FA,23)</f>
        <v>3.7</v>
      </c>
      <c r="E122" s="145">
        <f>VLOOKUP($A122,'Data shares'!$C:$FA,26)*100</f>
        <v>0.33999999999999997</v>
      </c>
      <c r="F122" s="144">
        <f>VLOOKUP($A122,'Data shares'!$C:$FA,24)</f>
        <v>2.95</v>
      </c>
      <c r="G122" s="144">
        <f>VLOOKUP($A122,'Data shares'!$C:$FA,25)</f>
        <v>0.75</v>
      </c>
    </row>
    <row r="123" spans="1:7" x14ac:dyDescent="0.25">
      <c r="A123" s="101" t="str">
        <f>'Data Vlaue (Cr)'!C119</f>
        <v>LICHSGFIN</v>
      </c>
      <c r="B123" s="144">
        <f>VLOOKUP($A123,'Data shares'!$C:$FA,7)</f>
        <v>532.29999999999995</v>
      </c>
      <c r="C123" s="144">
        <f>VLOOKUP($A123,'Data shares'!$C:$FA,3)</f>
        <v>533.5</v>
      </c>
      <c r="D123" s="144">
        <f>VLOOKUP($A123,'Data shares'!$C:$FA,23)</f>
        <v>1.2</v>
      </c>
      <c r="E123" s="145">
        <f>VLOOKUP($A123,'Data shares'!$C:$FA,26)*100</f>
        <v>0.22999999999999998</v>
      </c>
      <c r="F123" s="144">
        <f>VLOOKUP($A123,'Data shares'!$C:$FA,24)</f>
        <v>2.95</v>
      </c>
      <c r="G123" s="144">
        <f>VLOOKUP($A123,'Data shares'!$C:$FA,25)</f>
        <v>-1.75</v>
      </c>
    </row>
    <row r="124" spans="1:7" x14ac:dyDescent="0.25">
      <c r="A124" s="101" t="str">
        <f>'Data Vlaue (Cr)'!C120</f>
        <v>LICI</v>
      </c>
      <c r="B124" s="144">
        <f>VLOOKUP($A124,'Data shares'!$C:$FA,7)</f>
        <v>793.4</v>
      </c>
      <c r="C124" s="144">
        <f>VLOOKUP($A124,'Data shares'!$C:$FA,3)</f>
        <v>793.7</v>
      </c>
      <c r="D124" s="144">
        <f>VLOOKUP($A124,'Data shares'!$C:$FA,23)</f>
        <v>0.3</v>
      </c>
      <c r="E124" s="145">
        <f>VLOOKUP($A124,'Data shares'!$C:$FA,26)*100</f>
        <v>0.04</v>
      </c>
      <c r="F124" s="144">
        <f>VLOOKUP($A124,'Data shares'!$C:$FA,24)</f>
        <v>2</v>
      </c>
      <c r="G124" s="144">
        <f>VLOOKUP($A124,'Data shares'!$C:$FA,25)</f>
        <v>-1.7</v>
      </c>
    </row>
    <row r="125" spans="1:7" x14ac:dyDescent="0.25">
      <c r="A125" s="101" t="str">
        <f>'Data Vlaue (Cr)'!C121</f>
        <v>LODHA</v>
      </c>
      <c r="B125" s="144">
        <f>VLOOKUP($A125,'Data shares'!$C:$FA,7)</f>
        <v>789.55</v>
      </c>
      <c r="C125" s="144">
        <f>VLOOKUP($A125,'Data shares'!$C:$FA,3)</f>
        <v>791.75</v>
      </c>
      <c r="D125" s="144">
        <f>VLOOKUP($A125,'Data shares'!$C:$FA,23)</f>
        <v>2.2000000000000002</v>
      </c>
      <c r="E125" s="145">
        <f>VLOOKUP($A125,'Data shares'!$C:$FA,26)*100</f>
        <v>0.27999999999999997</v>
      </c>
      <c r="F125" s="144">
        <f>VLOOKUP($A125,'Data shares'!$C:$FA,24)</f>
        <v>1.65</v>
      </c>
      <c r="G125" s="144">
        <f>VLOOKUP($A125,'Data shares'!$C:$FA,25)</f>
        <v>0.55000000000000004</v>
      </c>
    </row>
    <row r="126" spans="1:7" x14ac:dyDescent="0.25">
      <c r="A126" s="101" t="str">
        <f>'Data Vlaue (Cr)'!C122</f>
        <v>LT</v>
      </c>
      <c r="B126" s="144">
        <f>VLOOKUP($A126,'Data shares'!$C:$FA,7)</f>
        <v>3896.2</v>
      </c>
      <c r="C126" s="144">
        <f>VLOOKUP($A126,'Data shares'!$C:$FA,3)</f>
        <v>3907.2</v>
      </c>
      <c r="D126" s="144">
        <f>VLOOKUP($A126,'Data shares'!$C:$FA,23)</f>
        <v>11</v>
      </c>
      <c r="E126" s="145">
        <f>VLOOKUP($A126,'Data shares'!$C:$FA,26)*100</f>
        <v>0.27999999999999997</v>
      </c>
      <c r="F126" s="144">
        <f>VLOOKUP($A126,'Data shares'!$C:$FA,24)</f>
        <v>7.3</v>
      </c>
      <c r="G126" s="144">
        <f>VLOOKUP($A126,'Data shares'!$C:$FA,25)</f>
        <v>3.7</v>
      </c>
    </row>
    <row r="127" spans="1:7" x14ac:dyDescent="0.25">
      <c r="A127" s="101" t="str">
        <f>'Data Vlaue (Cr)'!C123</f>
        <v>LTF</v>
      </c>
      <c r="B127" s="144">
        <f>VLOOKUP($A127,'Data shares'!$C:$FA,7)</f>
        <v>272.18</v>
      </c>
      <c r="C127" s="144">
        <f>VLOOKUP($A127,'Data shares'!$C:$FA,3)</f>
        <v>273.14</v>
      </c>
      <c r="D127" s="144">
        <f>VLOOKUP($A127,'Data shares'!$C:$FA,23)</f>
        <v>0.96</v>
      </c>
      <c r="E127" s="145">
        <f>VLOOKUP($A127,'Data shares'!$C:$FA,26)*100</f>
        <v>0.35000000000000003</v>
      </c>
      <c r="F127" s="144">
        <f>VLOOKUP($A127,'Data shares'!$C:$FA,24)</f>
        <v>0.69</v>
      </c>
      <c r="G127" s="144">
        <f>VLOOKUP($A127,'Data shares'!$C:$FA,25)</f>
        <v>0.27</v>
      </c>
    </row>
    <row r="128" spans="1:7" x14ac:dyDescent="0.25">
      <c r="A128" s="101" t="str">
        <f>'Data Vlaue (Cr)'!C124</f>
        <v>LTM</v>
      </c>
      <c r="B128" s="144">
        <f>VLOOKUP($A128,'Data shares'!$C:$FA,7)</f>
        <v>4572</v>
      </c>
      <c r="C128" s="144">
        <f>VLOOKUP($A128,'Data shares'!$C:$FA,3)</f>
        <v>4556.3</v>
      </c>
      <c r="D128" s="144">
        <f>VLOOKUP($A128,'Data shares'!$C:$FA,23)</f>
        <v>-15.7</v>
      </c>
      <c r="E128" s="145">
        <f>VLOOKUP($A128,'Data shares'!$C:$FA,26)*100</f>
        <v>-0.33999999999999997</v>
      </c>
      <c r="F128" s="144">
        <f>VLOOKUP($A128,'Data shares'!$C:$FA,24)</f>
        <v>-6</v>
      </c>
      <c r="G128" s="144">
        <f>VLOOKUP($A128,'Data shares'!$C:$FA,25)</f>
        <v>-9.6999999999999993</v>
      </c>
    </row>
    <row r="129" spans="1:7" x14ac:dyDescent="0.25">
      <c r="A129" s="101" t="str">
        <f>'Data Vlaue (Cr)'!C125</f>
        <v>LUPIN</v>
      </c>
      <c r="B129" s="144">
        <f>VLOOKUP($A129,'Data shares'!$C:$FA,7)</f>
        <v>2295.1</v>
      </c>
      <c r="C129" s="144">
        <f>VLOOKUP($A129,'Data shares'!$C:$FA,3)</f>
        <v>2306.9</v>
      </c>
      <c r="D129" s="144">
        <f>VLOOKUP($A129,'Data shares'!$C:$FA,23)</f>
        <v>11.8</v>
      </c>
      <c r="E129" s="145">
        <f>VLOOKUP($A129,'Data shares'!$C:$FA,26)*100</f>
        <v>0.51</v>
      </c>
      <c r="F129" s="144">
        <f>VLOOKUP($A129,'Data shares'!$C:$FA,24)</f>
        <v>11.1</v>
      </c>
      <c r="G129" s="144">
        <f>VLOOKUP($A129,'Data shares'!$C:$FA,25)</f>
        <v>0.7</v>
      </c>
    </row>
    <row r="130" spans="1:7" x14ac:dyDescent="0.25">
      <c r="A130" s="101" t="str">
        <f>'Data Vlaue (Cr)'!C126</f>
        <v>M&amp;M</v>
      </c>
      <c r="B130" s="144">
        <f>VLOOKUP($A130,'Data shares'!$C:$FA,7)</f>
        <v>3166.8</v>
      </c>
      <c r="C130" s="144">
        <f>VLOOKUP($A130,'Data shares'!$C:$FA,3)</f>
        <v>3174.7</v>
      </c>
      <c r="D130" s="144">
        <f>VLOOKUP($A130,'Data shares'!$C:$FA,23)</f>
        <v>7.9</v>
      </c>
      <c r="E130" s="145">
        <f>VLOOKUP($A130,'Data shares'!$C:$FA,26)*100</f>
        <v>0.25</v>
      </c>
      <c r="F130" s="144">
        <f>VLOOKUP($A130,'Data shares'!$C:$FA,24)</f>
        <v>15.9</v>
      </c>
      <c r="G130" s="144">
        <f>VLOOKUP($A130,'Data shares'!$C:$FA,25)</f>
        <v>-8</v>
      </c>
    </row>
    <row r="131" spans="1:7" x14ac:dyDescent="0.25">
      <c r="A131" s="101" t="str">
        <f>'Data Vlaue (Cr)'!C127</f>
        <v>MANAPPURAM</v>
      </c>
      <c r="B131" s="144">
        <f>VLOOKUP($A131,'Data shares'!$C:$FA,7)</f>
        <v>262.95</v>
      </c>
      <c r="C131" s="144">
        <f>VLOOKUP($A131,'Data shares'!$C:$FA,3)</f>
        <v>264.45</v>
      </c>
      <c r="D131" s="144">
        <f>VLOOKUP($A131,'Data shares'!$C:$FA,23)</f>
        <v>1.5</v>
      </c>
      <c r="E131" s="145">
        <f>VLOOKUP($A131,'Data shares'!$C:$FA,26)*100</f>
        <v>0.57000000000000006</v>
      </c>
      <c r="F131" s="144">
        <f>VLOOKUP($A131,'Data shares'!$C:$FA,24)</f>
        <v>1.45</v>
      </c>
      <c r="G131" s="144">
        <f>VLOOKUP($A131,'Data shares'!$C:$FA,25)</f>
        <v>0.05</v>
      </c>
    </row>
    <row r="132" spans="1:7" x14ac:dyDescent="0.25">
      <c r="A132" s="101" t="str">
        <f>'Data Vlaue (Cr)'!C128</f>
        <v>MANKIND</v>
      </c>
      <c r="B132" s="144">
        <f>VLOOKUP($A132,'Data shares'!$C:$FA,7)</f>
        <v>2054.1999999999998</v>
      </c>
      <c r="C132" s="144">
        <f>VLOOKUP($A132,'Data shares'!$C:$FA,3)</f>
        <v>2062.6999999999998</v>
      </c>
      <c r="D132" s="144">
        <f>VLOOKUP($A132,'Data shares'!$C:$FA,23)</f>
        <v>8.5</v>
      </c>
      <c r="E132" s="145">
        <f>VLOOKUP($A132,'Data shares'!$C:$FA,26)*100</f>
        <v>0.41000000000000003</v>
      </c>
      <c r="F132" s="144">
        <f>VLOOKUP($A132,'Data shares'!$C:$FA,24)</f>
        <v>5.8</v>
      </c>
      <c r="G132" s="144">
        <f>VLOOKUP($A132,'Data shares'!$C:$FA,25)</f>
        <v>2.7</v>
      </c>
    </row>
    <row r="133" spans="1:7" x14ac:dyDescent="0.25">
      <c r="A133" s="101" t="str">
        <f>'Data Vlaue (Cr)'!C129</f>
        <v>MARICO</v>
      </c>
      <c r="B133" s="144">
        <f>VLOOKUP($A133,'Data shares'!$C:$FA,7)</f>
        <v>747.35</v>
      </c>
      <c r="C133" s="144">
        <f>VLOOKUP($A133,'Data shares'!$C:$FA,3)</f>
        <v>751.15</v>
      </c>
      <c r="D133" s="144">
        <f>VLOOKUP($A133,'Data shares'!$C:$FA,23)</f>
        <v>3.8</v>
      </c>
      <c r="E133" s="145">
        <f>VLOOKUP($A133,'Data shares'!$C:$FA,26)*100</f>
        <v>0.51</v>
      </c>
      <c r="F133" s="144">
        <f>VLOOKUP($A133,'Data shares'!$C:$FA,24)</f>
        <v>3.7</v>
      </c>
      <c r="G133" s="144">
        <f>VLOOKUP($A133,'Data shares'!$C:$FA,25)</f>
        <v>0.1</v>
      </c>
    </row>
    <row r="134" spans="1:7" x14ac:dyDescent="0.25">
      <c r="A134" s="101" t="str">
        <f>'Data Vlaue (Cr)'!C130</f>
        <v>MARUTI</v>
      </c>
      <c r="B134" s="144">
        <f>VLOOKUP($A134,'Data shares'!$C:$FA,7)</f>
        <v>13589</v>
      </c>
      <c r="C134" s="144">
        <f>VLOOKUP($A134,'Data shares'!$C:$FA,3)</f>
        <v>13609</v>
      </c>
      <c r="D134" s="144">
        <f>VLOOKUP($A134,'Data shares'!$C:$FA,23)</f>
        <v>20</v>
      </c>
      <c r="E134" s="145">
        <f>VLOOKUP($A134,'Data shares'!$C:$FA,26)*100</f>
        <v>0.15</v>
      </c>
      <c r="F134" s="144">
        <f>VLOOKUP($A134,'Data shares'!$C:$FA,24)</f>
        <v>30</v>
      </c>
      <c r="G134" s="144">
        <f>VLOOKUP($A134,'Data shares'!$C:$FA,25)</f>
        <v>-10</v>
      </c>
    </row>
    <row r="135" spans="1:7" x14ac:dyDescent="0.25">
      <c r="A135" s="101" t="str">
        <f>'Data Vlaue (Cr)'!C131</f>
        <v>MAXHEALTH</v>
      </c>
      <c r="B135" s="144">
        <f>VLOOKUP($A135,'Data shares'!$C:$FA,7)</f>
        <v>954.95</v>
      </c>
      <c r="C135" s="144">
        <f>VLOOKUP($A135,'Data shares'!$C:$FA,3)</f>
        <v>957.05</v>
      </c>
      <c r="D135" s="144">
        <f>VLOOKUP($A135,'Data shares'!$C:$FA,23)</f>
        <v>2.1</v>
      </c>
      <c r="E135" s="145">
        <f>VLOOKUP($A135,'Data shares'!$C:$FA,26)*100</f>
        <v>0.22</v>
      </c>
      <c r="F135" s="144">
        <f>VLOOKUP($A135,'Data shares'!$C:$FA,24)</f>
        <v>4.95</v>
      </c>
      <c r="G135" s="144">
        <f>VLOOKUP($A135,'Data shares'!$C:$FA,25)</f>
        <v>-2.85</v>
      </c>
    </row>
    <row r="136" spans="1:7" x14ac:dyDescent="0.25">
      <c r="A136" s="101" t="str">
        <f>'Data Vlaue (Cr)'!C132</f>
        <v>MAZDOCK</v>
      </c>
      <c r="B136" s="144">
        <f>VLOOKUP($A136,'Data shares'!$C:$FA,7)</f>
        <v>2435.5</v>
      </c>
      <c r="C136" s="144">
        <f>VLOOKUP($A136,'Data shares'!$C:$FA,3)</f>
        <v>2448.4</v>
      </c>
      <c r="D136" s="144">
        <f>VLOOKUP($A136,'Data shares'!$C:$FA,23)</f>
        <v>12.9</v>
      </c>
      <c r="E136" s="145">
        <f>VLOOKUP($A136,'Data shares'!$C:$FA,26)*100</f>
        <v>0.53</v>
      </c>
      <c r="F136" s="144">
        <f>VLOOKUP($A136,'Data shares'!$C:$FA,24)</f>
        <v>8.9</v>
      </c>
      <c r="G136" s="144">
        <f>VLOOKUP($A136,'Data shares'!$C:$FA,25)</f>
        <v>4</v>
      </c>
    </row>
    <row r="137" spans="1:7" x14ac:dyDescent="0.25">
      <c r="A137" s="101" t="str">
        <f>'Data Vlaue (Cr)'!C133</f>
        <v>MCX</v>
      </c>
      <c r="B137" s="144">
        <f>VLOOKUP($A137,'Data shares'!$C:$FA,7)</f>
        <v>2657.5</v>
      </c>
      <c r="C137" s="144">
        <f>VLOOKUP($A137,'Data shares'!$C:$FA,3)</f>
        <v>2666.9</v>
      </c>
      <c r="D137" s="144">
        <f>VLOOKUP($A137,'Data shares'!$C:$FA,23)</f>
        <v>9.4</v>
      </c>
      <c r="E137" s="145">
        <f>VLOOKUP($A137,'Data shares'!$C:$FA,26)*100</f>
        <v>0.35000000000000003</v>
      </c>
      <c r="F137" s="144">
        <f>VLOOKUP($A137,'Data shares'!$C:$FA,24)</f>
        <v>13.5</v>
      </c>
      <c r="G137" s="144">
        <f>VLOOKUP($A137,'Data shares'!$C:$FA,25)</f>
        <v>-4.0999999999999996</v>
      </c>
    </row>
    <row r="138" spans="1:7" x14ac:dyDescent="0.25">
      <c r="A138" s="101" t="str">
        <f>'Data Vlaue (Cr)'!C134</f>
        <v>MFSL</v>
      </c>
      <c r="B138" s="144">
        <f>VLOOKUP($A138,'Data shares'!$C:$FA,7)</f>
        <v>1607.4</v>
      </c>
      <c r="C138" s="144">
        <f>VLOOKUP($A138,'Data shares'!$C:$FA,3)</f>
        <v>1610.9</v>
      </c>
      <c r="D138" s="144">
        <f>VLOOKUP($A138,'Data shares'!$C:$FA,23)</f>
        <v>3.5</v>
      </c>
      <c r="E138" s="145">
        <f>VLOOKUP($A138,'Data shares'!$C:$FA,26)*100</f>
        <v>0.22</v>
      </c>
      <c r="F138" s="144">
        <f>VLOOKUP($A138,'Data shares'!$C:$FA,24)</f>
        <v>5.9</v>
      </c>
      <c r="G138" s="144">
        <f>VLOOKUP($A138,'Data shares'!$C:$FA,25)</f>
        <v>-2.4</v>
      </c>
    </row>
    <row r="139" spans="1:7" x14ac:dyDescent="0.25">
      <c r="A139" s="101" t="str">
        <f>'Data Vlaue (Cr)'!C135</f>
        <v>MIDCPNIFTY</v>
      </c>
      <c r="B139" s="144">
        <f>VLOOKUP($A139,'Data shares'!$C:$FA,7)</f>
        <v>13207.3</v>
      </c>
      <c r="C139" s="144">
        <f>VLOOKUP($A139,'Data shares'!$C:$FA,3)</f>
        <v>13233.3</v>
      </c>
      <c r="D139" s="144">
        <f>VLOOKUP($A139,'Data shares'!$C:$FA,23)</f>
        <v>26</v>
      </c>
      <c r="E139" s="145">
        <f>VLOOKUP($A139,'Data shares'!$C:$FA,26)*100</f>
        <v>0.2</v>
      </c>
      <c r="F139" s="144">
        <f>VLOOKUP($A139,'Data shares'!$C:$FA,24)</f>
        <v>44.95</v>
      </c>
      <c r="G139" s="144">
        <f>VLOOKUP($A139,'Data shares'!$C:$FA,25)</f>
        <v>-18.95</v>
      </c>
    </row>
    <row r="140" spans="1:7" x14ac:dyDescent="0.25">
      <c r="A140" s="101" t="str">
        <f>'Data Vlaue (Cr)'!C136</f>
        <v>MOTHERSON</v>
      </c>
      <c r="B140" s="144">
        <f>VLOOKUP($A140,'Data shares'!$C:$FA,7)</f>
        <v>116.9</v>
      </c>
      <c r="C140" s="144">
        <f>VLOOKUP($A140,'Data shares'!$C:$FA,3)</f>
        <v>117.36</v>
      </c>
      <c r="D140" s="144">
        <f>VLOOKUP($A140,'Data shares'!$C:$FA,23)</f>
        <v>0.46</v>
      </c>
      <c r="E140" s="145">
        <f>VLOOKUP($A140,'Data shares'!$C:$FA,26)*100</f>
        <v>0.38999999999999996</v>
      </c>
      <c r="F140" s="144">
        <f>VLOOKUP($A140,'Data shares'!$C:$FA,24)</f>
        <v>0.62</v>
      </c>
      <c r="G140" s="144">
        <f>VLOOKUP($A140,'Data shares'!$C:$FA,25)</f>
        <v>-0.16</v>
      </c>
    </row>
    <row r="141" spans="1:7" x14ac:dyDescent="0.25">
      <c r="A141" s="101" t="str">
        <f>'Data Vlaue (Cr)'!C137</f>
        <v>MOTILALOFS</v>
      </c>
      <c r="B141" s="144">
        <f>VLOOKUP($A141,'Data shares'!$C:$FA,7)</f>
        <v>761.15</v>
      </c>
      <c r="C141" s="144">
        <f>VLOOKUP($A141,'Data shares'!$C:$FA,3)</f>
        <v>764.85</v>
      </c>
      <c r="D141" s="144">
        <f>VLOOKUP($A141,'Data shares'!$C:$FA,23)</f>
        <v>3.7</v>
      </c>
      <c r="E141" s="145">
        <f>VLOOKUP($A141,'Data shares'!$C:$FA,26)*100</f>
        <v>0.49</v>
      </c>
      <c r="F141" s="144">
        <f>VLOOKUP($A141,'Data shares'!$C:$FA,24)</f>
        <v>3.7</v>
      </c>
      <c r="G141" s="144">
        <f>VLOOKUP($A141,'Data shares'!$C:$FA,25)</f>
        <v>0</v>
      </c>
    </row>
    <row r="142" spans="1:7" x14ac:dyDescent="0.25">
      <c r="A142" s="101" t="str">
        <f>'Data Vlaue (Cr)'!C138</f>
        <v>MPHASIS</v>
      </c>
      <c r="B142" s="144">
        <f>VLOOKUP($A142,'Data shares'!$C:$FA,7)</f>
        <v>2385.3000000000002</v>
      </c>
      <c r="C142" s="144">
        <f>VLOOKUP($A142,'Data shares'!$C:$FA,3)</f>
        <v>2395.6</v>
      </c>
      <c r="D142" s="144">
        <f>VLOOKUP($A142,'Data shares'!$C:$FA,23)</f>
        <v>10.3</v>
      </c>
      <c r="E142" s="145">
        <f>VLOOKUP($A142,'Data shares'!$C:$FA,26)*100</f>
        <v>0.43</v>
      </c>
      <c r="F142" s="144">
        <f>VLOOKUP($A142,'Data shares'!$C:$FA,24)</f>
        <v>9.8000000000000007</v>
      </c>
      <c r="G142" s="144">
        <f>VLOOKUP($A142,'Data shares'!$C:$FA,25)</f>
        <v>0.5</v>
      </c>
    </row>
    <row r="143" spans="1:7" x14ac:dyDescent="0.25">
      <c r="A143" s="101" t="str">
        <f>'Data Vlaue (Cr)'!C139</f>
        <v>MUTHOOTFIN</v>
      </c>
      <c r="B143" s="144">
        <f>VLOOKUP($A143,'Data shares'!$C:$FA,7)</f>
        <v>3475.2</v>
      </c>
      <c r="C143" s="144">
        <f>VLOOKUP($A143,'Data shares'!$C:$FA,3)</f>
        <v>3458.3</v>
      </c>
      <c r="D143" s="144">
        <f>VLOOKUP($A143,'Data shares'!$C:$FA,23)</f>
        <v>-16.899999999999999</v>
      </c>
      <c r="E143" s="145">
        <f>VLOOKUP($A143,'Data shares'!$C:$FA,26)*100</f>
        <v>-0.49</v>
      </c>
      <c r="F143" s="144">
        <f>VLOOKUP($A143,'Data shares'!$C:$FA,24)</f>
        <v>-18.8</v>
      </c>
      <c r="G143" s="144">
        <f>VLOOKUP($A143,'Data shares'!$C:$FA,25)</f>
        <v>1.9</v>
      </c>
    </row>
    <row r="144" spans="1:7" x14ac:dyDescent="0.25">
      <c r="A144" s="101" t="str">
        <f>'Data Vlaue (Cr)'!C140</f>
        <v>NAM-INDIA</v>
      </c>
      <c r="B144" s="144">
        <f>VLOOKUP($A144,'Data shares'!$C:$FA,7)</f>
        <v>908.65</v>
      </c>
      <c r="C144" s="144">
        <f>VLOOKUP($A144,'Data shares'!$C:$FA,3)</f>
        <v>906.95</v>
      </c>
      <c r="D144" s="144">
        <f>VLOOKUP($A144,'Data shares'!$C:$FA,23)</f>
        <v>-1.7</v>
      </c>
      <c r="E144" s="145">
        <f>VLOOKUP($A144,'Data shares'!$C:$FA,26)*100</f>
        <v>-0.19</v>
      </c>
      <c r="F144" s="144">
        <f>VLOOKUP($A144,'Data shares'!$C:$FA,24)</f>
        <v>-1.8</v>
      </c>
      <c r="G144" s="144">
        <f>VLOOKUP($A144,'Data shares'!$C:$FA,25)</f>
        <v>0.1</v>
      </c>
    </row>
    <row r="145" spans="1:7" x14ac:dyDescent="0.25">
      <c r="A145" s="101" t="str">
        <f>'Data Vlaue (Cr)'!C141</f>
        <v>NATIONALUM</v>
      </c>
      <c r="B145" s="144">
        <f>VLOOKUP($A145,'Data shares'!$C:$FA,7)</f>
        <v>412.35</v>
      </c>
      <c r="C145" s="144">
        <f>VLOOKUP($A145,'Data shares'!$C:$FA,3)</f>
        <v>414.55</v>
      </c>
      <c r="D145" s="144">
        <f>VLOOKUP($A145,'Data shares'!$C:$FA,23)</f>
        <v>2.2000000000000002</v>
      </c>
      <c r="E145" s="145">
        <f>VLOOKUP($A145,'Data shares'!$C:$FA,26)*100</f>
        <v>0.53</v>
      </c>
      <c r="F145" s="144">
        <f>VLOOKUP($A145,'Data shares'!$C:$FA,24)</f>
        <v>2.0499999999999998</v>
      </c>
      <c r="G145" s="144">
        <f>VLOOKUP($A145,'Data shares'!$C:$FA,25)</f>
        <v>0.15</v>
      </c>
    </row>
    <row r="146" spans="1:7" x14ac:dyDescent="0.25">
      <c r="A146" s="101" t="str">
        <f>'Data Vlaue (Cr)'!C142</f>
        <v>NAUKRI</v>
      </c>
      <c r="B146" s="144">
        <f>VLOOKUP($A146,'Data shares'!$C:$FA,7)</f>
        <v>1002.4</v>
      </c>
      <c r="C146" s="144">
        <f>VLOOKUP($A146,'Data shares'!$C:$FA,3)</f>
        <v>1003.25</v>
      </c>
      <c r="D146" s="144">
        <f>VLOOKUP($A146,'Data shares'!$C:$FA,23)</f>
        <v>0.85</v>
      </c>
      <c r="E146" s="145">
        <f>VLOOKUP($A146,'Data shares'!$C:$FA,26)*100</f>
        <v>0.08</v>
      </c>
      <c r="F146" s="144">
        <f>VLOOKUP($A146,'Data shares'!$C:$FA,24)</f>
        <v>-0.55000000000000004</v>
      </c>
      <c r="G146" s="144">
        <f>VLOOKUP($A146,'Data shares'!$C:$FA,25)</f>
        <v>1.4</v>
      </c>
    </row>
    <row r="147" spans="1:7" x14ac:dyDescent="0.25">
      <c r="A147" s="101" t="str">
        <f>'Data Vlaue (Cr)'!C143</f>
        <v>NBCC</v>
      </c>
      <c r="B147" s="144">
        <f>VLOOKUP($A147,'Data shares'!$C:$FA,7)</f>
        <v>87.83</v>
      </c>
      <c r="C147" s="144">
        <f>VLOOKUP($A147,'Data shares'!$C:$FA,3)</f>
        <v>88.25</v>
      </c>
      <c r="D147" s="144">
        <f>VLOOKUP($A147,'Data shares'!$C:$FA,23)</f>
        <v>0.42</v>
      </c>
      <c r="E147" s="145">
        <f>VLOOKUP($A147,'Data shares'!$C:$FA,26)*100</f>
        <v>0.48</v>
      </c>
      <c r="F147" s="144">
        <f>VLOOKUP($A147,'Data shares'!$C:$FA,24)</f>
        <v>0.45</v>
      </c>
      <c r="G147" s="144">
        <f>VLOOKUP($A147,'Data shares'!$C:$FA,25)</f>
        <v>-0.03</v>
      </c>
    </row>
    <row r="148" spans="1:7" x14ac:dyDescent="0.25">
      <c r="A148" s="101" t="str">
        <f>'Data Vlaue (Cr)'!C144</f>
        <v>NESTLEIND</v>
      </c>
      <c r="B148" s="144">
        <f>VLOOKUP($A148,'Data shares'!$C:$FA,7)</f>
        <v>1228.7</v>
      </c>
      <c r="C148" s="144">
        <f>VLOOKUP($A148,'Data shares'!$C:$FA,3)</f>
        <v>1231.0999999999999</v>
      </c>
      <c r="D148" s="144">
        <f>VLOOKUP($A148,'Data shares'!$C:$FA,23)</f>
        <v>2.4</v>
      </c>
      <c r="E148" s="145">
        <f>VLOOKUP($A148,'Data shares'!$C:$FA,26)*100</f>
        <v>0.2</v>
      </c>
      <c r="F148" s="144">
        <f>VLOOKUP($A148,'Data shares'!$C:$FA,24)</f>
        <v>3.6</v>
      </c>
      <c r="G148" s="144">
        <f>VLOOKUP($A148,'Data shares'!$C:$FA,25)</f>
        <v>-1.2</v>
      </c>
    </row>
    <row r="149" spans="1:7" x14ac:dyDescent="0.25">
      <c r="A149" s="101" t="str">
        <f>'Data Vlaue (Cr)'!C145</f>
        <v>NHPC</v>
      </c>
      <c r="B149" s="144">
        <f>VLOOKUP($A149,'Data shares'!$C:$FA,7)</f>
        <v>77.11</v>
      </c>
      <c r="C149" s="144">
        <f>VLOOKUP($A149,'Data shares'!$C:$FA,3)</f>
        <v>77.25</v>
      </c>
      <c r="D149" s="144">
        <f>VLOOKUP($A149,'Data shares'!$C:$FA,23)</f>
        <v>0.14000000000000001</v>
      </c>
      <c r="E149" s="145">
        <f>VLOOKUP($A149,'Data shares'!$C:$FA,26)*100</f>
        <v>0.18</v>
      </c>
      <c r="F149" s="144">
        <f>VLOOKUP($A149,'Data shares'!$C:$FA,24)</f>
        <v>0.43</v>
      </c>
      <c r="G149" s="144">
        <f>VLOOKUP($A149,'Data shares'!$C:$FA,25)</f>
        <v>-0.28999999999999998</v>
      </c>
    </row>
    <row r="150" spans="1:7" x14ac:dyDescent="0.25">
      <c r="A150" s="101" t="str">
        <f>'Data Vlaue (Cr)'!C146</f>
        <v>NIFTY</v>
      </c>
      <c r="B150" s="144">
        <f>VLOOKUP($A150,'Data shares'!$C:$FA,7)</f>
        <v>23775.1</v>
      </c>
      <c r="C150" s="144">
        <f>VLOOKUP($A150,'Data shares'!$C:$FA,3)</f>
        <v>23861.3</v>
      </c>
      <c r="D150" s="144">
        <f>VLOOKUP($A150,'Data shares'!$C:$FA,23)</f>
        <v>86.2</v>
      </c>
      <c r="E150" s="145">
        <f>VLOOKUP($A150,'Data shares'!$C:$FA,26)*100</f>
        <v>0.36</v>
      </c>
      <c r="F150" s="144">
        <f>VLOOKUP($A150,'Data shares'!$C:$FA,24)</f>
        <v>60.45</v>
      </c>
      <c r="G150" s="144">
        <f>VLOOKUP($A150,'Data shares'!$C:$FA,25)</f>
        <v>25.75</v>
      </c>
    </row>
    <row r="151" spans="1:7" x14ac:dyDescent="0.25">
      <c r="A151" s="101" t="str">
        <f>'Data Vlaue (Cr)'!C147</f>
        <v>NIFTYNXT50</v>
      </c>
      <c r="B151" s="144">
        <f>VLOOKUP($A151,'Data shares'!$C:$FA,7)</f>
        <v>66268.649999999994</v>
      </c>
      <c r="C151" s="144">
        <f>VLOOKUP($A151,'Data shares'!$C:$FA,3)</f>
        <v>66395.399999999994</v>
      </c>
      <c r="D151" s="144">
        <f>VLOOKUP($A151,'Data shares'!$C:$FA,23)</f>
        <v>126.75</v>
      </c>
      <c r="E151" s="145">
        <f>VLOOKUP($A151,'Data shares'!$C:$FA,26)*100</f>
        <v>0.19</v>
      </c>
      <c r="F151" s="144">
        <f>VLOOKUP($A151,'Data shares'!$C:$FA,24)</f>
        <v>258.5</v>
      </c>
      <c r="G151" s="144">
        <f>VLOOKUP($A151,'Data shares'!$C:$FA,25)</f>
        <v>-131.75</v>
      </c>
    </row>
    <row r="152" spans="1:7" x14ac:dyDescent="0.25">
      <c r="A152" s="101" t="str">
        <f>'Data Vlaue (Cr)'!C148</f>
        <v>NMDC</v>
      </c>
      <c r="B152" s="144">
        <f>VLOOKUP($A152,'Data shares'!$C:$FA,7)</f>
        <v>84.44</v>
      </c>
      <c r="C152" s="144">
        <f>VLOOKUP($A152,'Data shares'!$C:$FA,3)</f>
        <v>84.96</v>
      </c>
      <c r="D152" s="144">
        <f>VLOOKUP($A152,'Data shares'!$C:$FA,23)</f>
        <v>0.52</v>
      </c>
      <c r="E152" s="145">
        <f>VLOOKUP($A152,'Data shares'!$C:$FA,26)*100</f>
        <v>0.62</v>
      </c>
      <c r="F152" s="144">
        <f>VLOOKUP($A152,'Data shares'!$C:$FA,24)</f>
        <v>0.45</v>
      </c>
      <c r="G152" s="144">
        <f>VLOOKUP($A152,'Data shares'!$C:$FA,25)</f>
        <v>7.0000000000000007E-2</v>
      </c>
    </row>
    <row r="153" spans="1:7" x14ac:dyDescent="0.25">
      <c r="A153" s="101" t="str">
        <f>'Data Vlaue (Cr)'!C149</f>
        <v>NTPC</v>
      </c>
      <c r="B153" s="144">
        <f>VLOOKUP($A153,'Data shares'!$C:$FA,7)</f>
        <v>378.65</v>
      </c>
      <c r="C153" s="144">
        <f>VLOOKUP($A153,'Data shares'!$C:$FA,3)</f>
        <v>380.05</v>
      </c>
      <c r="D153" s="144">
        <f>VLOOKUP($A153,'Data shares'!$C:$FA,23)</f>
        <v>1.4</v>
      </c>
      <c r="E153" s="145">
        <f>VLOOKUP($A153,'Data shares'!$C:$FA,26)*100</f>
        <v>0.37</v>
      </c>
      <c r="F153" s="144">
        <f>VLOOKUP($A153,'Data shares'!$C:$FA,24)</f>
        <v>1.75</v>
      </c>
      <c r="G153" s="144">
        <f>VLOOKUP($A153,'Data shares'!$C:$FA,25)</f>
        <v>-0.35</v>
      </c>
    </row>
    <row r="154" spans="1:7" x14ac:dyDescent="0.25">
      <c r="A154" s="101" t="str">
        <f>'Data Vlaue (Cr)'!C150</f>
        <v>NUVAMA</v>
      </c>
      <c r="B154" s="144">
        <f>VLOOKUP($A154,'Data shares'!$C:$FA,7)</f>
        <v>1294.8</v>
      </c>
      <c r="C154" s="144">
        <f>VLOOKUP($A154,'Data shares'!$C:$FA,3)</f>
        <v>1301.0999999999999</v>
      </c>
      <c r="D154" s="144">
        <f>VLOOKUP($A154,'Data shares'!$C:$FA,23)</f>
        <v>6.3</v>
      </c>
      <c r="E154" s="145">
        <f>VLOOKUP($A154,'Data shares'!$C:$FA,26)*100</f>
        <v>0.49</v>
      </c>
      <c r="F154" s="144">
        <f>VLOOKUP($A154,'Data shares'!$C:$FA,24)</f>
        <v>5.3</v>
      </c>
      <c r="G154" s="144">
        <f>VLOOKUP($A154,'Data shares'!$C:$FA,25)</f>
        <v>1</v>
      </c>
    </row>
    <row r="155" spans="1:7" x14ac:dyDescent="0.25">
      <c r="A155" s="101" t="str">
        <f>'Data Vlaue (Cr)'!C151</f>
        <v>NYKAA</v>
      </c>
      <c r="B155" s="144">
        <f>VLOOKUP($A155,'Data shares'!$C:$FA,7)</f>
        <v>254.93</v>
      </c>
      <c r="C155" s="144">
        <f>VLOOKUP($A155,'Data shares'!$C:$FA,3)</f>
        <v>255.82</v>
      </c>
      <c r="D155" s="144">
        <f>VLOOKUP($A155,'Data shares'!$C:$FA,23)</f>
        <v>0.89</v>
      </c>
      <c r="E155" s="145">
        <f>VLOOKUP($A155,'Data shares'!$C:$FA,26)*100</f>
        <v>0.35000000000000003</v>
      </c>
      <c r="F155" s="144">
        <f>VLOOKUP($A155,'Data shares'!$C:$FA,24)</f>
        <v>1.36</v>
      </c>
      <c r="G155" s="144">
        <f>VLOOKUP($A155,'Data shares'!$C:$FA,25)</f>
        <v>-0.47</v>
      </c>
    </row>
    <row r="156" spans="1:7" x14ac:dyDescent="0.25">
      <c r="A156" s="101" t="str">
        <f>'Data Vlaue (Cr)'!C152</f>
        <v>OBEROIRLTY</v>
      </c>
      <c r="B156" s="144">
        <f>VLOOKUP($A156,'Data shares'!$C:$FA,7)</f>
        <v>1653.5</v>
      </c>
      <c r="C156" s="144">
        <f>VLOOKUP($A156,'Data shares'!$C:$FA,3)</f>
        <v>1620.7</v>
      </c>
      <c r="D156" s="144">
        <f>VLOOKUP($A156,'Data shares'!$C:$FA,23)</f>
        <v>-32.799999999999997</v>
      </c>
      <c r="E156" s="145">
        <f>VLOOKUP($A156,'Data shares'!$C:$FA,26)*100</f>
        <v>-1.9800000000000002</v>
      </c>
      <c r="F156" s="144">
        <f>VLOOKUP($A156,'Data shares'!$C:$FA,24)</f>
        <v>-25.2</v>
      </c>
      <c r="G156" s="144">
        <f>VLOOKUP($A156,'Data shares'!$C:$FA,25)</f>
        <v>-7.6</v>
      </c>
    </row>
    <row r="157" spans="1:7" x14ac:dyDescent="0.25">
      <c r="A157" s="101" t="str">
        <f>'Data Vlaue (Cr)'!C153</f>
        <v>OFSS</v>
      </c>
      <c r="B157" s="144">
        <f>VLOOKUP($A157,'Data shares'!$C:$FA,7)</f>
        <v>7217.5</v>
      </c>
      <c r="C157" s="144">
        <f>VLOOKUP($A157,'Data shares'!$C:$FA,3)</f>
        <v>7245</v>
      </c>
      <c r="D157" s="144">
        <f>VLOOKUP($A157,'Data shares'!$C:$FA,23)</f>
        <v>27.5</v>
      </c>
      <c r="E157" s="145">
        <f>VLOOKUP($A157,'Data shares'!$C:$FA,26)*100</f>
        <v>0.38</v>
      </c>
      <c r="F157" s="144">
        <f>VLOOKUP($A157,'Data shares'!$C:$FA,24)</f>
        <v>-16.5</v>
      </c>
      <c r="G157" s="144">
        <f>VLOOKUP($A157,'Data shares'!$C:$FA,25)</f>
        <v>44</v>
      </c>
    </row>
    <row r="158" spans="1:7" x14ac:dyDescent="0.25">
      <c r="A158" s="101" t="str">
        <f>'Data Vlaue (Cr)'!C154</f>
        <v>OIL</v>
      </c>
      <c r="B158" s="144">
        <f>VLOOKUP($A158,'Data shares'!$C:$FA,7)</f>
        <v>470.75</v>
      </c>
      <c r="C158" s="144">
        <f>VLOOKUP($A158,'Data shares'!$C:$FA,3)</f>
        <v>472.8</v>
      </c>
      <c r="D158" s="144">
        <f>VLOOKUP($A158,'Data shares'!$C:$FA,23)</f>
        <v>2.0499999999999998</v>
      </c>
      <c r="E158" s="145">
        <f>VLOOKUP($A158,'Data shares'!$C:$FA,26)*100</f>
        <v>0.44</v>
      </c>
      <c r="F158" s="144">
        <f>VLOOKUP($A158,'Data shares'!$C:$FA,24)</f>
        <v>2.0499999999999998</v>
      </c>
      <c r="G158" s="144">
        <f>VLOOKUP($A158,'Data shares'!$C:$FA,25)</f>
        <v>0</v>
      </c>
    </row>
    <row r="159" spans="1:7" x14ac:dyDescent="0.25">
      <c r="A159" s="101" t="str">
        <f>'Data Vlaue (Cr)'!C155</f>
        <v>ONGC</v>
      </c>
      <c r="B159" s="144">
        <f>VLOOKUP($A159,'Data shares'!$C:$FA,7)</f>
        <v>288.60000000000002</v>
      </c>
      <c r="C159" s="144">
        <f>VLOOKUP($A159,'Data shares'!$C:$FA,3)</f>
        <v>289.89999999999998</v>
      </c>
      <c r="D159" s="144">
        <f>VLOOKUP($A159,'Data shares'!$C:$FA,23)</f>
        <v>1.3</v>
      </c>
      <c r="E159" s="145">
        <f>VLOOKUP($A159,'Data shares'!$C:$FA,26)*100</f>
        <v>0.44999999999999996</v>
      </c>
      <c r="F159" s="144">
        <f>VLOOKUP($A159,'Data shares'!$C:$FA,24)</f>
        <v>1.55</v>
      </c>
      <c r="G159" s="144">
        <f>VLOOKUP($A159,'Data shares'!$C:$FA,25)</f>
        <v>-0.25</v>
      </c>
    </row>
    <row r="160" spans="1:7" x14ac:dyDescent="0.25">
      <c r="A160" s="101" t="str">
        <f>'Data Vlaue (Cr)'!C156</f>
        <v>PAGEIND</v>
      </c>
      <c r="B160" s="144">
        <f>VLOOKUP($A160,'Data shares'!$C:$FA,7)</f>
        <v>35950</v>
      </c>
      <c r="C160" s="144">
        <f>VLOOKUP($A160,'Data shares'!$C:$FA,3)</f>
        <v>35970</v>
      </c>
      <c r="D160" s="144">
        <f>VLOOKUP($A160,'Data shares'!$C:$FA,23)</f>
        <v>20</v>
      </c>
      <c r="E160" s="145">
        <f>VLOOKUP($A160,'Data shares'!$C:$FA,26)*100</f>
        <v>0.06</v>
      </c>
      <c r="F160" s="144">
        <f>VLOOKUP($A160,'Data shares'!$C:$FA,24)</f>
        <v>160</v>
      </c>
      <c r="G160" s="144">
        <f>VLOOKUP($A160,'Data shares'!$C:$FA,25)</f>
        <v>-140</v>
      </c>
    </row>
    <row r="161" spans="1:7" x14ac:dyDescent="0.25">
      <c r="A161" s="101" t="str">
        <f>'Data Vlaue (Cr)'!C157</f>
        <v>PATANJALI</v>
      </c>
      <c r="B161" s="144">
        <f>VLOOKUP($A161,'Data shares'!$C:$FA,7)</f>
        <v>459.7</v>
      </c>
      <c r="C161" s="144">
        <f>VLOOKUP($A161,'Data shares'!$C:$FA,3)</f>
        <v>459.75</v>
      </c>
      <c r="D161" s="144">
        <f>VLOOKUP($A161,'Data shares'!$C:$FA,23)</f>
        <v>0.05</v>
      </c>
      <c r="E161" s="145">
        <f>VLOOKUP($A161,'Data shares'!$C:$FA,26)*100</f>
        <v>0.01</v>
      </c>
      <c r="F161" s="144">
        <f>VLOOKUP($A161,'Data shares'!$C:$FA,24)</f>
        <v>1.9</v>
      </c>
      <c r="G161" s="144">
        <f>VLOOKUP($A161,'Data shares'!$C:$FA,25)</f>
        <v>-1.85</v>
      </c>
    </row>
    <row r="162" spans="1:7" x14ac:dyDescent="0.25">
      <c r="A162" s="101" t="str">
        <f>'Data Vlaue (Cr)'!C158</f>
        <v>PAYTM</v>
      </c>
      <c r="B162" s="144">
        <f>VLOOKUP($A162,'Data shares'!$C:$FA,7)</f>
        <v>1097.95</v>
      </c>
      <c r="C162" s="144">
        <f>VLOOKUP($A162,'Data shares'!$C:$FA,3)</f>
        <v>1102.55</v>
      </c>
      <c r="D162" s="144">
        <f>VLOOKUP($A162,'Data shares'!$C:$FA,23)</f>
        <v>4.5999999999999996</v>
      </c>
      <c r="E162" s="145">
        <f>VLOOKUP($A162,'Data shares'!$C:$FA,26)*100</f>
        <v>0.42</v>
      </c>
      <c r="F162" s="144">
        <f>VLOOKUP($A162,'Data shares'!$C:$FA,24)</f>
        <v>2.4</v>
      </c>
      <c r="G162" s="144">
        <f>VLOOKUP($A162,'Data shares'!$C:$FA,25)</f>
        <v>2.2000000000000002</v>
      </c>
    </row>
    <row r="163" spans="1:7" x14ac:dyDescent="0.25">
      <c r="A163" s="101" t="str">
        <f>'Data Vlaue (Cr)'!C159</f>
        <v>PERSISTENT</v>
      </c>
      <c r="B163" s="144">
        <f>VLOOKUP($A163,'Data shares'!$C:$FA,7)</f>
        <v>5471.1</v>
      </c>
      <c r="C163" s="144">
        <f>VLOOKUP($A163,'Data shares'!$C:$FA,3)</f>
        <v>5468.9</v>
      </c>
      <c r="D163" s="144">
        <f>VLOOKUP($A163,'Data shares'!$C:$FA,23)</f>
        <v>-2.2000000000000002</v>
      </c>
      <c r="E163" s="145">
        <f>VLOOKUP($A163,'Data shares'!$C:$FA,26)*100</f>
        <v>-0.04</v>
      </c>
      <c r="F163" s="144">
        <f>VLOOKUP($A163,'Data shares'!$C:$FA,24)</f>
        <v>-10.7</v>
      </c>
      <c r="G163" s="144">
        <f>VLOOKUP($A163,'Data shares'!$C:$FA,25)</f>
        <v>8.5</v>
      </c>
    </row>
    <row r="164" spans="1:7" x14ac:dyDescent="0.25">
      <c r="A164" s="101" t="str">
        <f>'Data Vlaue (Cr)'!C160</f>
        <v>PETRONET</v>
      </c>
      <c r="B164" s="144">
        <f>VLOOKUP($A164,'Data shares'!$C:$FA,7)</f>
        <v>271.37</v>
      </c>
      <c r="C164" s="144">
        <f>VLOOKUP($A164,'Data shares'!$C:$FA,3)</f>
        <v>272.05</v>
      </c>
      <c r="D164" s="144">
        <f>VLOOKUP($A164,'Data shares'!$C:$FA,23)</f>
        <v>0.68</v>
      </c>
      <c r="E164" s="145">
        <f>VLOOKUP($A164,'Data shares'!$C:$FA,26)*100</f>
        <v>0.25</v>
      </c>
      <c r="F164" s="144">
        <f>VLOOKUP($A164,'Data shares'!$C:$FA,24)</f>
        <v>0.31</v>
      </c>
      <c r="G164" s="144">
        <f>VLOOKUP($A164,'Data shares'!$C:$FA,25)</f>
        <v>0.37</v>
      </c>
    </row>
    <row r="165" spans="1:7" x14ac:dyDescent="0.25">
      <c r="A165" s="101" t="str">
        <f>'Data Vlaue (Cr)'!C161</f>
        <v>PFC</v>
      </c>
      <c r="B165" s="144">
        <f>VLOOKUP($A165,'Data shares'!$C:$FA,7)</f>
        <v>428.05</v>
      </c>
      <c r="C165" s="144">
        <f>VLOOKUP($A165,'Data shares'!$C:$FA,3)</f>
        <v>429.8</v>
      </c>
      <c r="D165" s="144">
        <f>VLOOKUP($A165,'Data shares'!$C:$FA,23)</f>
        <v>1.75</v>
      </c>
      <c r="E165" s="145">
        <f>VLOOKUP($A165,'Data shares'!$C:$FA,26)*100</f>
        <v>0.41000000000000003</v>
      </c>
      <c r="F165" s="144">
        <f>VLOOKUP($A165,'Data shares'!$C:$FA,24)</f>
        <v>2.0499999999999998</v>
      </c>
      <c r="G165" s="144">
        <f>VLOOKUP($A165,'Data shares'!$C:$FA,25)</f>
        <v>-0.3</v>
      </c>
    </row>
    <row r="166" spans="1:7" x14ac:dyDescent="0.25">
      <c r="A166" s="101" t="str">
        <f>'Data Vlaue (Cr)'!C162</f>
        <v>PGEL</v>
      </c>
      <c r="B166" s="144">
        <f>VLOOKUP($A166,'Data shares'!$C:$FA,7)</f>
        <v>479.8</v>
      </c>
      <c r="C166" s="144">
        <f>VLOOKUP($A166,'Data shares'!$C:$FA,3)</f>
        <v>479.85</v>
      </c>
      <c r="D166" s="144">
        <f>VLOOKUP($A166,'Data shares'!$C:$FA,23)</f>
        <v>0.05</v>
      </c>
      <c r="E166" s="145">
        <f>VLOOKUP($A166,'Data shares'!$C:$FA,26)*100</f>
        <v>0.01</v>
      </c>
      <c r="F166" s="144">
        <f>VLOOKUP($A166,'Data shares'!$C:$FA,24)</f>
        <v>-0.05</v>
      </c>
      <c r="G166" s="144">
        <f>VLOOKUP($A166,'Data shares'!$C:$FA,25)</f>
        <v>0.1</v>
      </c>
    </row>
    <row r="167" spans="1:7" x14ac:dyDescent="0.25">
      <c r="A167" s="101" t="str">
        <f>'Data Vlaue (Cr)'!C163</f>
        <v>PHOENIXLTD</v>
      </c>
      <c r="B167" s="144">
        <f>VLOOKUP($A167,'Data shares'!$C:$FA,7)</f>
        <v>1709.9</v>
      </c>
      <c r="C167" s="144">
        <f>VLOOKUP($A167,'Data shares'!$C:$FA,3)</f>
        <v>1710.3</v>
      </c>
      <c r="D167" s="144">
        <f>VLOOKUP($A167,'Data shares'!$C:$FA,23)</f>
        <v>0.4</v>
      </c>
      <c r="E167" s="145">
        <f>VLOOKUP($A167,'Data shares'!$C:$FA,26)*100</f>
        <v>0.02</v>
      </c>
      <c r="F167" s="144">
        <f>VLOOKUP($A167,'Data shares'!$C:$FA,24)</f>
        <v>2.4</v>
      </c>
      <c r="G167" s="144">
        <f>VLOOKUP($A167,'Data shares'!$C:$FA,25)</f>
        <v>-2</v>
      </c>
    </row>
    <row r="168" spans="1:7" s="175" customFormat="1" x14ac:dyDescent="0.25">
      <c r="A168" s="101" t="str">
        <f>'Data Vlaue (Cr)'!C164</f>
        <v>PIDILITIND</v>
      </c>
      <c r="B168" s="144">
        <f>VLOOKUP($A168,'Data shares'!$C:$FA,7)</f>
        <v>1347.4</v>
      </c>
      <c r="C168" s="144">
        <f>VLOOKUP($A168,'Data shares'!$C:$FA,3)</f>
        <v>1350.4</v>
      </c>
      <c r="D168" s="144">
        <f>VLOOKUP($A168,'Data shares'!$C:$FA,23)</f>
        <v>3</v>
      </c>
      <c r="E168" s="145">
        <f>VLOOKUP($A168,'Data shares'!$C:$FA,26)*100</f>
        <v>0.22</v>
      </c>
      <c r="F168" s="144">
        <f>VLOOKUP($A168,'Data shares'!$C:$FA,24)</f>
        <v>2</v>
      </c>
      <c r="G168" s="144">
        <f>VLOOKUP($A168,'Data shares'!$C:$FA,25)</f>
        <v>1</v>
      </c>
    </row>
    <row r="169" spans="1:7" x14ac:dyDescent="0.25">
      <c r="A169" s="101" t="str">
        <f>'Data Vlaue (Cr)'!C165</f>
        <v>PIIND</v>
      </c>
      <c r="B169" s="144">
        <f>VLOOKUP($A169,'Data shares'!$C:$FA,7)</f>
        <v>2880.7</v>
      </c>
      <c r="C169" s="144">
        <f>VLOOKUP($A169,'Data shares'!$C:$FA,3)</f>
        <v>2893.3</v>
      </c>
      <c r="D169" s="144">
        <f>VLOOKUP($A169,'Data shares'!$C:$FA,23)</f>
        <v>12.6</v>
      </c>
      <c r="E169" s="145">
        <f>VLOOKUP($A169,'Data shares'!$C:$FA,26)*100</f>
        <v>0.44</v>
      </c>
      <c r="F169" s="144">
        <f>VLOOKUP($A169,'Data shares'!$C:$FA,24)</f>
        <v>8.3000000000000007</v>
      </c>
      <c r="G169" s="144">
        <f>VLOOKUP($A169,'Data shares'!$C:$FA,25)</f>
        <v>4.3</v>
      </c>
    </row>
    <row r="170" spans="1:7" x14ac:dyDescent="0.25">
      <c r="A170" s="101" t="str">
        <f>'Data Vlaue (Cr)'!C166</f>
        <v>PNB</v>
      </c>
      <c r="B170" s="144">
        <f>VLOOKUP($A170,'Data shares'!$C:$FA,7)</f>
        <v>109.59</v>
      </c>
      <c r="C170" s="144">
        <f>VLOOKUP($A170,'Data shares'!$C:$FA,3)</f>
        <v>109.84</v>
      </c>
      <c r="D170" s="144">
        <f>VLOOKUP($A170,'Data shares'!$C:$FA,23)</f>
        <v>0.25</v>
      </c>
      <c r="E170" s="145">
        <f>VLOOKUP($A170,'Data shares'!$C:$FA,26)*100</f>
        <v>0.22999999999999998</v>
      </c>
      <c r="F170" s="144">
        <f>VLOOKUP($A170,'Data shares'!$C:$FA,24)</f>
        <v>0.59</v>
      </c>
      <c r="G170" s="144">
        <f>VLOOKUP($A170,'Data shares'!$C:$FA,25)</f>
        <v>-0.34</v>
      </c>
    </row>
    <row r="171" spans="1:7" x14ac:dyDescent="0.25">
      <c r="A171" s="101" t="str">
        <f>'Data Vlaue (Cr)'!C167</f>
        <v>PNBHOUSING</v>
      </c>
      <c r="B171" s="144">
        <f>VLOOKUP($A171,'Data shares'!$C:$FA,7)</f>
        <v>862.95</v>
      </c>
      <c r="C171" s="144">
        <f>VLOOKUP($A171,'Data shares'!$C:$FA,3)</f>
        <v>867.55</v>
      </c>
      <c r="D171" s="144">
        <f>VLOOKUP($A171,'Data shares'!$C:$FA,23)</f>
        <v>4.5999999999999996</v>
      </c>
      <c r="E171" s="145">
        <f>VLOOKUP($A171,'Data shares'!$C:$FA,26)*100</f>
        <v>0.53</v>
      </c>
      <c r="F171" s="144">
        <f>VLOOKUP($A171,'Data shares'!$C:$FA,24)</f>
        <v>3.8</v>
      </c>
      <c r="G171" s="144">
        <f>VLOOKUP($A171,'Data shares'!$C:$FA,25)</f>
        <v>0.8</v>
      </c>
    </row>
    <row r="172" spans="1:7" x14ac:dyDescent="0.25">
      <c r="A172" s="101" t="str">
        <f>'Data Vlaue (Cr)'!C168</f>
        <v>POLICYBZR</v>
      </c>
      <c r="B172" s="144">
        <f>VLOOKUP($A172,'Data shares'!$C:$FA,7)</f>
        <v>1493.3</v>
      </c>
      <c r="C172" s="144">
        <f>VLOOKUP($A172,'Data shares'!$C:$FA,3)</f>
        <v>1500</v>
      </c>
      <c r="D172" s="144">
        <f>VLOOKUP($A172,'Data shares'!$C:$FA,23)</f>
        <v>6.7</v>
      </c>
      <c r="E172" s="145">
        <f>VLOOKUP($A172,'Data shares'!$C:$FA,26)*100</f>
        <v>0.44999999999999996</v>
      </c>
      <c r="F172" s="144">
        <f>VLOOKUP($A172,'Data shares'!$C:$FA,24)</f>
        <v>7.1</v>
      </c>
      <c r="G172" s="144">
        <f>VLOOKUP($A172,'Data shares'!$C:$FA,25)</f>
        <v>-0.4</v>
      </c>
    </row>
    <row r="173" spans="1:7" x14ac:dyDescent="0.25">
      <c r="A173" s="101" t="str">
        <f>'Data Vlaue (Cr)'!C169</f>
        <v>POLYCAB</v>
      </c>
      <c r="B173" s="144">
        <f>VLOOKUP($A173,'Data shares'!$C:$FA,7)</f>
        <v>7607</v>
      </c>
      <c r="C173" s="144">
        <f>VLOOKUP($A173,'Data shares'!$C:$FA,3)</f>
        <v>7595</v>
      </c>
      <c r="D173" s="144">
        <f>VLOOKUP($A173,'Data shares'!$C:$FA,23)</f>
        <v>-12</v>
      </c>
      <c r="E173" s="145">
        <f>VLOOKUP($A173,'Data shares'!$C:$FA,26)*100</f>
        <v>-0.16</v>
      </c>
      <c r="F173" s="144">
        <f>VLOOKUP($A173,'Data shares'!$C:$FA,24)</f>
        <v>17</v>
      </c>
      <c r="G173" s="144">
        <f>VLOOKUP($A173,'Data shares'!$C:$FA,25)</f>
        <v>-29</v>
      </c>
    </row>
    <row r="174" spans="1:7" x14ac:dyDescent="0.25">
      <c r="A174" s="101" t="str">
        <f>'Data Vlaue (Cr)'!C170</f>
        <v>POWERGRID</v>
      </c>
      <c r="B174" s="144">
        <f>VLOOKUP($A174,'Data shares'!$C:$FA,7)</f>
        <v>298.10000000000002</v>
      </c>
      <c r="C174" s="144">
        <f>VLOOKUP($A174,'Data shares'!$C:$FA,3)</f>
        <v>299.45</v>
      </c>
      <c r="D174" s="144">
        <f>VLOOKUP($A174,'Data shares'!$C:$FA,23)</f>
        <v>1.35</v>
      </c>
      <c r="E174" s="145">
        <f>VLOOKUP($A174,'Data shares'!$C:$FA,26)*100</f>
        <v>0.44999999999999996</v>
      </c>
      <c r="F174" s="144">
        <f>VLOOKUP($A174,'Data shares'!$C:$FA,24)</f>
        <v>0.95</v>
      </c>
      <c r="G174" s="144">
        <f>VLOOKUP($A174,'Data shares'!$C:$FA,25)</f>
        <v>0.4</v>
      </c>
    </row>
    <row r="175" spans="1:7" x14ac:dyDescent="0.25">
      <c r="A175" s="101" t="str">
        <f>'Data Vlaue (Cr)'!C171</f>
        <v>POWERINDIA</v>
      </c>
      <c r="B175" s="144">
        <f>VLOOKUP($A175,'Data shares'!$C:$FA,7)</f>
        <v>27315</v>
      </c>
      <c r="C175" s="144">
        <f>VLOOKUP($A175,'Data shares'!$C:$FA,3)</f>
        <v>27435</v>
      </c>
      <c r="D175" s="144">
        <f>VLOOKUP($A175,'Data shares'!$C:$FA,23)</f>
        <v>120</v>
      </c>
      <c r="E175" s="145">
        <f>VLOOKUP($A175,'Data shares'!$C:$FA,26)*100</f>
        <v>0.44</v>
      </c>
      <c r="F175" s="144">
        <f>VLOOKUP($A175,'Data shares'!$C:$FA,24)</f>
        <v>125</v>
      </c>
      <c r="G175" s="144">
        <f>VLOOKUP($A175,'Data shares'!$C:$FA,25)</f>
        <v>-5</v>
      </c>
    </row>
    <row r="176" spans="1:7" x14ac:dyDescent="0.25">
      <c r="A176" s="101" t="str">
        <f>'Data Vlaue (Cr)'!C172</f>
        <v>PPLPHARMA</v>
      </c>
      <c r="B176" s="144">
        <f>VLOOKUP($A176,'Data shares'!$C:$FA,7)</f>
        <v>142.94999999999999</v>
      </c>
      <c r="C176" s="144">
        <f>VLOOKUP($A176,'Data shares'!$C:$FA,3)</f>
        <v>142.44999999999999</v>
      </c>
      <c r="D176" s="144">
        <f>VLOOKUP($A176,'Data shares'!$C:$FA,23)</f>
        <v>-0.5</v>
      </c>
      <c r="E176" s="145">
        <f>VLOOKUP($A176,'Data shares'!$C:$FA,26)*100</f>
        <v>-0.35000000000000003</v>
      </c>
      <c r="F176" s="144">
        <f>VLOOKUP($A176,'Data shares'!$C:$FA,24)</f>
        <v>0.18</v>
      </c>
      <c r="G176" s="144">
        <f>VLOOKUP($A176,'Data shares'!$C:$FA,25)</f>
        <v>-0.68</v>
      </c>
    </row>
    <row r="177" spans="1:7" x14ac:dyDescent="0.25">
      <c r="A177" s="101" t="str">
        <f>'Data Vlaue (Cr)'!C173</f>
        <v>PREMIERENE</v>
      </c>
      <c r="B177" s="144">
        <f>VLOOKUP($A177,'Data shares'!$C:$FA,7)</f>
        <v>956.45</v>
      </c>
      <c r="C177" s="144">
        <f>VLOOKUP($A177,'Data shares'!$C:$FA,3)</f>
        <v>960.5</v>
      </c>
      <c r="D177" s="144">
        <f>VLOOKUP($A177,'Data shares'!$C:$FA,23)</f>
        <v>4.05</v>
      </c>
      <c r="E177" s="145">
        <f>VLOOKUP($A177,'Data shares'!$C:$FA,26)*100</f>
        <v>0.42</v>
      </c>
      <c r="F177" s="144">
        <f>VLOOKUP($A177,'Data shares'!$C:$FA,24)</f>
        <v>4.2</v>
      </c>
      <c r="G177" s="144">
        <f>VLOOKUP($A177,'Data shares'!$C:$FA,25)</f>
        <v>-0.15</v>
      </c>
    </row>
    <row r="178" spans="1:7" x14ac:dyDescent="0.25">
      <c r="A178" s="101" t="str">
        <f>'Data Vlaue (Cr)'!C174</f>
        <v>PRESTIGE</v>
      </c>
      <c r="B178" s="144">
        <f>VLOOKUP($A178,'Data shares'!$C:$FA,7)</f>
        <v>1319.4</v>
      </c>
      <c r="C178" s="144">
        <f>VLOOKUP($A178,'Data shares'!$C:$FA,3)</f>
        <v>1326.5</v>
      </c>
      <c r="D178" s="144">
        <f>VLOOKUP($A178,'Data shares'!$C:$FA,23)</f>
        <v>7.1</v>
      </c>
      <c r="E178" s="145">
        <f>VLOOKUP($A178,'Data shares'!$C:$FA,26)*100</f>
        <v>0.54</v>
      </c>
      <c r="F178" s="144">
        <f>VLOOKUP($A178,'Data shares'!$C:$FA,24)</f>
        <v>3</v>
      </c>
      <c r="G178" s="144">
        <f>VLOOKUP($A178,'Data shares'!$C:$FA,25)</f>
        <v>4.0999999999999996</v>
      </c>
    </row>
    <row r="179" spans="1:7" x14ac:dyDescent="0.25">
      <c r="A179" s="101" t="str">
        <f>'Data Vlaue (Cr)'!C175</f>
        <v>RBLBANK</v>
      </c>
      <c r="B179" s="144">
        <f>VLOOKUP($A179,'Data shares'!$C:$FA,7)</f>
        <v>317.7</v>
      </c>
      <c r="C179" s="144">
        <f>VLOOKUP($A179,'Data shares'!$C:$FA,3)</f>
        <v>318.45</v>
      </c>
      <c r="D179" s="144">
        <f>VLOOKUP($A179,'Data shares'!$C:$FA,23)</f>
        <v>0.75</v>
      </c>
      <c r="E179" s="145">
        <f>VLOOKUP($A179,'Data shares'!$C:$FA,26)*100</f>
        <v>0.24</v>
      </c>
      <c r="F179" s="144">
        <f>VLOOKUP($A179,'Data shares'!$C:$FA,24)</f>
        <v>1.3</v>
      </c>
      <c r="G179" s="144">
        <f>VLOOKUP($A179,'Data shares'!$C:$FA,25)</f>
        <v>-0.55000000000000004</v>
      </c>
    </row>
    <row r="180" spans="1:7" x14ac:dyDescent="0.25">
      <c r="A180" s="101" t="str">
        <f>'Data Vlaue (Cr)'!C176</f>
        <v>RECLTD</v>
      </c>
      <c r="B180" s="144">
        <f>VLOOKUP($A180,'Data shares'!$C:$FA,7)</f>
        <v>346.8</v>
      </c>
      <c r="C180" s="144">
        <f>VLOOKUP($A180,'Data shares'!$C:$FA,3)</f>
        <v>348.15</v>
      </c>
      <c r="D180" s="144">
        <f>VLOOKUP($A180,'Data shares'!$C:$FA,23)</f>
        <v>1.35</v>
      </c>
      <c r="E180" s="145">
        <f>VLOOKUP($A180,'Data shares'!$C:$FA,26)*100</f>
        <v>0.38999999999999996</v>
      </c>
      <c r="F180" s="144">
        <f>VLOOKUP($A180,'Data shares'!$C:$FA,24)</f>
        <v>0.9</v>
      </c>
      <c r="G180" s="144">
        <f>VLOOKUP($A180,'Data shares'!$C:$FA,25)</f>
        <v>0.45</v>
      </c>
    </row>
    <row r="181" spans="1:7" x14ac:dyDescent="0.25">
      <c r="A181" s="101" t="str">
        <f>'Data Vlaue (Cr)'!C177</f>
        <v>RELIANCE</v>
      </c>
      <c r="B181" s="144">
        <f>VLOOKUP($A181,'Data shares'!$C:$FA,7)</f>
        <v>1330</v>
      </c>
      <c r="C181" s="144">
        <f>VLOOKUP($A181,'Data shares'!$C:$FA,3)</f>
        <v>1335.7</v>
      </c>
      <c r="D181" s="144">
        <f>VLOOKUP($A181,'Data shares'!$C:$FA,23)</f>
        <v>5.7</v>
      </c>
      <c r="E181" s="145">
        <f>VLOOKUP($A181,'Data shares'!$C:$FA,26)*100</f>
        <v>0.43</v>
      </c>
      <c r="F181" s="144">
        <f>VLOOKUP($A181,'Data shares'!$C:$FA,24)</f>
        <v>3.2</v>
      </c>
      <c r="G181" s="144">
        <f>VLOOKUP($A181,'Data shares'!$C:$FA,25)</f>
        <v>2.5</v>
      </c>
    </row>
    <row r="182" spans="1:7" x14ac:dyDescent="0.25">
      <c r="A182" s="101" t="str">
        <f>'Data Vlaue (Cr)'!C178</f>
        <v>RVNL</v>
      </c>
      <c r="B182" s="144">
        <f>VLOOKUP($A182,'Data shares'!$C:$FA,7)</f>
        <v>272.83</v>
      </c>
      <c r="C182" s="144">
        <f>VLOOKUP($A182,'Data shares'!$C:$FA,3)</f>
        <v>271.77999999999997</v>
      </c>
      <c r="D182" s="144">
        <f>VLOOKUP($A182,'Data shares'!$C:$FA,23)</f>
        <v>-1.05</v>
      </c>
      <c r="E182" s="145">
        <f>VLOOKUP($A182,'Data shares'!$C:$FA,26)*100</f>
        <v>-0.38</v>
      </c>
      <c r="F182" s="144">
        <f>VLOOKUP($A182,'Data shares'!$C:$FA,24)</f>
        <v>-2.2599999999999998</v>
      </c>
      <c r="G182" s="144">
        <f>VLOOKUP($A182,'Data shares'!$C:$FA,25)</f>
        <v>1.21</v>
      </c>
    </row>
    <row r="183" spans="1:7" x14ac:dyDescent="0.25">
      <c r="A183" s="101" t="str">
        <f>'Data Vlaue (Cr)'!C179</f>
        <v>SAIL</v>
      </c>
      <c r="B183" s="144">
        <f>VLOOKUP($A183,'Data shares'!$C:$FA,7)</f>
        <v>163.35</v>
      </c>
      <c r="C183" s="144">
        <f>VLOOKUP($A183,'Data shares'!$C:$FA,3)</f>
        <v>166.73</v>
      </c>
      <c r="D183" s="144">
        <f>VLOOKUP($A183,'Data shares'!$C:$FA,23)</f>
        <v>3.38</v>
      </c>
      <c r="E183" s="145">
        <f>VLOOKUP($A183,'Data shares'!$C:$FA,26)*100</f>
        <v>2.0699999999999998</v>
      </c>
      <c r="F183" s="144">
        <f>VLOOKUP($A183,'Data shares'!$C:$FA,24)</f>
        <v>1.04</v>
      </c>
      <c r="G183" s="144">
        <f>VLOOKUP($A183,'Data shares'!$C:$FA,25)</f>
        <v>2.34</v>
      </c>
    </row>
    <row r="184" spans="1:7" x14ac:dyDescent="0.25">
      <c r="A184" s="101" t="str">
        <f>'Data Vlaue (Cr)'!C180</f>
        <v>SAMMAANCAP</v>
      </c>
      <c r="B184" s="144">
        <f>VLOOKUP($A184,'Data shares'!$C:$FA,7)</f>
        <v>153.55000000000001</v>
      </c>
      <c r="C184" s="144">
        <f>VLOOKUP($A184,'Data shares'!$C:$FA,3)</f>
        <v>153.91</v>
      </c>
      <c r="D184" s="144">
        <f>VLOOKUP($A184,'Data shares'!$C:$FA,23)</f>
        <v>0.36</v>
      </c>
      <c r="E184" s="145">
        <f>VLOOKUP($A184,'Data shares'!$C:$FA,26)*100</f>
        <v>0.22999999999999998</v>
      </c>
      <c r="F184" s="144">
        <f>VLOOKUP($A184,'Data shares'!$C:$FA,24)</f>
        <v>0.37</v>
      </c>
      <c r="G184" s="144">
        <f>VLOOKUP($A184,'Data shares'!$C:$FA,25)</f>
        <v>-0.01</v>
      </c>
    </row>
    <row r="185" spans="1:7" x14ac:dyDescent="0.25">
      <c r="A185" s="101" t="str">
        <f>'Data Vlaue (Cr)'!C181</f>
        <v>SBICARD</v>
      </c>
      <c r="B185" s="144">
        <f>VLOOKUP($A185,'Data shares'!$C:$FA,7)</f>
        <v>668.9</v>
      </c>
      <c r="C185" s="144">
        <f>VLOOKUP($A185,'Data shares'!$C:$FA,3)</f>
        <v>666.5</v>
      </c>
      <c r="D185" s="144">
        <f>VLOOKUP($A185,'Data shares'!$C:$FA,23)</f>
        <v>-2.4</v>
      </c>
      <c r="E185" s="145">
        <f>VLOOKUP($A185,'Data shares'!$C:$FA,26)*100</f>
        <v>-0.36</v>
      </c>
      <c r="F185" s="144">
        <f>VLOOKUP($A185,'Data shares'!$C:$FA,24)</f>
        <v>-3.35</v>
      </c>
      <c r="G185" s="144">
        <f>VLOOKUP($A185,'Data shares'!$C:$FA,25)</f>
        <v>0.95</v>
      </c>
    </row>
    <row r="186" spans="1:7" x14ac:dyDescent="0.25">
      <c r="A186" s="101" t="str">
        <f>'Data Vlaue (Cr)'!C182</f>
        <v>SBILIFE</v>
      </c>
      <c r="B186" s="144">
        <f>VLOOKUP($A186,'Data shares'!$C:$FA,7)</f>
        <v>1904</v>
      </c>
      <c r="C186" s="144">
        <f>VLOOKUP($A186,'Data shares'!$C:$FA,3)</f>
        <v>1911.9</v>
      </c>
      <c r="D186" s="144">
        <f>VLOOKUP($A186,'Data shares'!$C:$FA,23)</f>
        <v>7.9</v>
      </c>
      <c r="E186" s="145">
        <f>VLOOKUP($A186,'Data shares'!$C:$FA,26)*100</f>
        <v>0.41000000000000003</v>
      </c>
      <c r="F186" s="144">
        <f>VLOOKUP($A186,'Data shares'!$C:$FA,24)</f>
        <v>10</v>
      </c>
      <c r="G186" s="144">
        <f>VLOOKUP($A186,'Data shares'!$C:$FA,25)</f>
        <v>-2.1</v>
      </c>
    </row>
    <row r="187" spans="1:7" x14ac:dyDescent="0.25">
      <c r="A187" s="101" t="str">
        <f>'Data Vlaue (Cr)'!C183</f>
        <v>SBIN</v>
      </c>
      <c r="B187" s="144">
        <f>VLOOKUP($A187,'Data shares'!$C:$FA,7)</f>
        <v>1040.95</v>
      </c>
      <c r="C187" s="144">
        <f>VLOOKUP($A187,'Data shares'!$C:$FA,3)</f>
        <v>1045.7</v>
      </c>
      <c r="D187" s="144">
        <f>VLOOKUP($A187,'Data shares'!$C:$FA,23)</f>
        <v>4.75</v>
      </c>
      <c r="E187" s="145">
        <f>VLOOKUP($A187,'Data shares'!$C:$FA,26)*100</f>
        <v>0.45999999999999996</v>
      </c>
      <c r="F187" s="144">
        <f>VLOOKUP($A187,'Data shares'!$C:$FA,24)</f>
        <v>5.75</v>
      </c>
      <c r="G187" s="144">
        <f>VLOOKUP($A187,'Data shares'!$C:$FA,25)</f>
        <v>-1</v>
      </c>
    </row>
    <row r="188" spans="1:7" x14ac:dyDescent="0.25">
      <c r="A188" s="101" t="str">
        <f>'Data Vlaue (Cr)'!C184</f>
        <v>SHREECEM</v>
      </c>
      <c r="B188" s="144">
        <f>VLOOKUP($A188,'Data shares'!$C:$FA,7)</f>
        <v>23990</v>
      </c>
      <c r="C188" s="144">
        <f>VLOOKUP($A188,'Data shares'!$C:$FA,3)</f>
        <v>23975</v>
      </c>
      <c r="D188" s="144">
        <f>VLOOKUP($A188,'Data shares'!$C:$FA,23)</f>
        <v>-15</v>
      </c>
      <c r="E188" s="145">
        <f>VLOOKUP($A188,'Data shares'!$C:$FA,26)*100</f>
        <v>-0.06</v>
      </c>
      <c r="F188" s="144">
        <f>VLOOKUP($A188,'Data shares'!$C:$FA,24)</f>
        <v>15</v>
      </c>
      <c r="G188" s="144">
        <f>VLOOKUP($A188,'Data shares'!$C:$FA,25)</f>
        <v>-30</v>
      </c>
    </row>
    <row r="189" spans="1:7" x14ac:dyDescent="0.25">
      <c r="A189" s="101" t="str">
        <f>'Data Vlaue (Cr)'!C185</f>
        <v>SHRIRAMFIN</v>
      </c>
      <c r="B189" s="144">
        <f>VLOOKUP($A189,'Data shares'!$C:$FA,7)</f>
        <v>996.3</v>
      </c>
      <c r="C189" s="144">
        <f>VLOOKUP($A189,'Data shares'!$C:$FA,3)</f>
        <v>999.8</v>
      </c>
      <c r="D189" s="144">
        <f>VLOOKUP($A189,'Data shares'!$C:$FA,23)</f>
        <v>3.5</v>
      </c>
      <c r="E189" s="145">
        <f>VLOOKUP($A189,'Data shares'!$C:$FA,26)*100</f>
        <v>0.35000000000000003</v>
      </c>
      <c r="F189" s="144">
        <f>VLOOKUP($A189,'Data shares'!$C:$FA,24)</f>
        <v>2.95</v>
      </c>
      <c r="G189" s="144">
        <f>VLOOKUP($A189,'Data shares'!$C:$FA,25)</f>
        <v>0.55000000000000004</v>
      </c>
    </row>
    <row r="190" spans="1:7" x14ac:dyDescent="0.25">
      <c r="A190" s="101" t="str">
        <f>'Data Vlaue (Cr)'!C186</f>
        <v>SIEMENS</v>
      </c>
      <c r="B190" s="144">
        <f>VLOOKUP($A190,'Data shares'!$C:$FA,7)</f>
        <v>3222.5</v>
      </c>
      <c r="C190" s="144">
        <f>VLOOKUP($A190,'Data shares'!$C:$FA,3)</f>
        <v>3238.6</v>
      </c>
      <c r="D190" s="144">
        <f>VLOOKUP($A190,'Data shares'!$C:$FA,23)</f>
        <v>16.100000000000001</v>
      </c>
      <c r="E190" s="145">
        <f>VLOOKUP($A190,'Data shares'!$C:$FA,26)*100</f>
        <v>0.5</v>
      </c>
      <c r="F190" s="144">
        <f>VLOOKUP($A190,'Data shares'!$C:$FA,24)</f>
        <v>16.8</v>
      </c>
      <c r="G190" s="144">
        <f>VLOOKUP($A190,'Data shares'!$C:$FA,25)</f>
        <v>-0.7</v>
      </c>
    </row>
    <row r="191" spans="1:7" x14ac:dyDescent="0.25">
      <c r="A191" s="101" t="str">
        <f>'Data Vlaue (Cr)'!C187</f>
        <v>SOLARINDS</v>
      </c>
      <c r="B191" s="144">
        <f>VLOOKUP($A191,'Data shares'!$C:$FA,7)</f>
        <v>13928</v>
      </c>
      <c r="C191" s="144">
        <f>VLOOKUP($A191,'Data shares'!$C:$FA,3)</f>
        <v>13996</v>
      </c>
      <c r="D191" s="144">
        <f>VLOOKUP($A191,'Data shares'!$C:$FA,23)</f>
        <v>68</v>
      </c>
      <c r="E191" s="145">
        <f>VLOOKUP($A191,'Data shares'!$C:$FA,26)*100</f>
        <v>0.49</v>
      </c>
      <c r="F191" s="144">
        <f>VLOOKUP($A191,'Data shares'!$C:$FA,24)</f>
        <v>27</v>
      </c>
      <c r="G191" s="144">
        <f>VLOOKUP($A191,'Data shares'!$C:$FA,25)</f>
        <v>41</v>
      </c>
    </row>
    <row r="192" spans="1:7" x14ac:dyDescent="0.25">
      <c r="A192" s="101" t="str">
        <f>'Data Vlaue (Cr)'!C188</f>
        <v>SONACOMS</v>
      </c>
      <c r="B192" s="144">
        <f>VLOOKUP($A192,'Data shares'!$C:$FA,7)</f>
        <v>523.04999999999995</v>
      </c>
      <c r="C192" s="144">
        <f>VLOOKUP($A192,'Data shares'!$C:$FA,3)</f>
        <v>523.4</v>
      </c>
      <c r="D192" s="144">
        <f>VLOOKUP($A192,'Data shares'!$C:$FA,23)</f>
        <v>0.35</v>
      </c>
      <c r="E192" s="145">
        <f>VLOOKUP($A192,'Data shares'!$C:$FA,26)*100</f>
        <v>6.9999999999999993E-2</v>
      </c>
      <c r="F192" s="144">
        <f>VLOOKUP($A192,'Data shares'!$C:$FA,24)</f>
        <v>2.5</v>
      </c>
      <c r="G192" s="144">
        <f>VLOOKUP($A192,'Data shares'!$C:$FA,25)</f>
        <v>-2.15</v>
      </c>
    </row>
    <row r="193" spans="1:7" x14ac:dyDescent="0.25">
      <c r="A193" s="101" t="str">
        <f>'Data Vlaue (Cr)'!C189</f>
        <v>SRF</v>
      </c>
      <c r="B193" s="144">
        <f>VLOOKUP($A193,'Data shares'!$C:$FA,7)</f>
        <v>2399.8000000000002</v>
      </c>
      <c r="C193" s="144">
        <f>VLOOKUP($A193,'Data shares'!$C:$FA,3)</f>
        <v>2411.6999999999998</v>
      </c>
      <c r="D193" s="144">
        <f>VLOOKUP($A193,'Data shares'!$C:$FA,23)</f>
        <v>11.9</v>
      </c>
      <c r="E193" s="145">
        <f>VLOOKUP($A193,'Data shares'!$C:$FA,26)*100</f>
        <v>0.5</v>
      </c>
      <c r="F193" s="144">
        <f>VLOOKUP($A193,'Data shares'!$C:$FA,24)</f>
        <v>13</v>
      </c>
      <c r="G193" s="144">
        <f>VLOOKUP($A193,'Data shares'!$C:$FA,25)</f>
        <v>-1.1000000000000001</v>
      </c>
    </row>
    <row r="194" spans="1:7" x14ac:dyDescent="0.25">
      <c r="A194" s="101" t="str">
        <f>'Data Vlaue (Cr)'!C190</f>
        <v>SUNPHARMA</v>
      </c>
      <c r="B194" s="144">
        <f>VLOOKUP($A194,'Data shares'!$C:$FA,7)</f>
        <v>1717.1</v>
      </c>
      <c r="C194" s="144">
        <f>VLOOKUP($A194,'Data shares'!$C:$FA,3)</f>
        <v>1725</v>
      </c>
      <c r="D194" s="144">
        <f>VLOOKUP($A194,'Data shares'!$C:$FA,23)</f>
        <v>7.9</v>
      </c>
      <c r="E194" s="145">
        <f>VLOOKUP($A194,'Data shares'!$C:$FA,26)*100</f>
        <v>0.45999999999999996</v>
      </c>
      <c r="F194" s="144">
        <f>VLOOKUP($A194,'Data shares'!$C:$FA,24)</f>
        <v>7.9</v>
      </c>
      <c r="G194" s="144">
        <f>VLOOKUP($A194,'Data shares'!$C:$FA,25)</f>
        <v>0</v>
      </c>
    </row>
    <row r="195" spans="1:7" x14ac:dyDescent="0.25">
      <c r="A195" s="101" t="str">
        <f>'Data Vlaue (Cr)'!C191</f>
        <v>SUPREMEIND</v>
      </c>
      <c r="B195" s="144">
        <f>VLOOKUP($A195,'Data shares'!$C:$FA,7)</f>
        <v>3771.9</v>
      </c>
      <c r="C195" s="144">
        <f>VLOOKUP($A195,'Data shares'!$C:$FA,3)</f>
        <v>3790</v>
      </c>
      <c r="D195" s="144">
        <f>VLOOKUP($A195,'Data shares'!$C:$FA,23)</f>
        <v>18.100000000000001</v>
      </c>
      <c r="E195" s="145">
        <f>VLOOKUP($A195,'Data shares'!$C:$FA,26)*100</f>
        <v>0.48</v>
      </c>
      <c r="F195" s="144">
        <f>VLOOKUP($A195,'Data shares'!$C:$FA,24)</f>
        <v>16.5</v>
      </c>
      <c r="G195" s="144">
        <f>VLOOKUP($A195,'Data shares'!$C:$FA,25)</f>
        <v>1.6</v>
      </c>
    </row>
    <row r="196" spans="1:7" x14ac:dyDescent="0.25">
      <c r="A196" s="101" t="str">
        <f>'Data Vlaue (Cr)'!C192</f>
        <v>SUZLON</v>
      </c>
      <c r="B196" s="144">
        <f>VLOOKUP($A196,'Data shares'!$C:$FA,7)</f>
        <v>44.23</v>
      </c>
      <c r="C196" s="144">
        <f>VLOOKUP($A196,'Data shares'!$C:$FA,3)</f>
        <v>44.38</v>
      </c>
      <c r="D196" s="144">
        <f>VLOOKUP($A196,'Data shares'!$C:$FA,23)</f>
        <v>0.15</v>
      </c>
      <c r="E196" s="145">
        <f>VLOOKUP($A196,'Data shares'!$C:$FA,26)*100</f>
        <v>0.33999999999999997</v>
      </c>
      <c r="F196" s="144">
        <f>VLOOKUP($A196,'Data shares'!$C:$FA,24)</f>
        <v>0.22</v>
      </c>
      <c r="G196" s="144">
        <f>VLOOKUP($A196,'Data shares'!$C:$FA,25)</f>
        <v>-7.0000000000000007E-2</v>
      </c>
    </row>
    <row r="197" spans="1:7" x14ac:dyDescent="0.25">
      <c r="A197" s="101" t="str">
        <f>'Data Vlaue (Cr)'!C193</f>
        <v>SWIGGY</v>
      </c>
      <c r="B197" s="144">
        <f>VLOOKUP($A197,'Data shares'!$C:$FA,7)</f>
        <v>271.89999999999998</v>
      </c>
      <c r="C197" s="144">
        <f>VLOOKUP($A197,'Data shares'!$C:$FA,3)</f>
        <v>272.64999999999998</v>
      </c>
      <c r="D197" s="144">
        <f>VLOOKUP($A197,'Data shares'!$C:$FA,23)</f>
        <v>0.75</v>
      </c>
      <c r="E197" s="145">
        <f>VLOOKUP($A197,'Data shares'!$C:$FA,26)*100</f>
        <v>0.27999999999999997</v>
      </c>
      <c r="F197" s="144">
        <f>VLOOKUP($A197,'Data shares'!$C:$FA,24)</f>
        <v>1.45</v>
      </c>
      <c r="G197" s="144">
        <f>VLOOKUP($A197,'Data shares'!$C:$FA,25)</f>
        <v>-0.7</v>
      </c>
    </row>
    <row r="198" spans="1:7" x14ac:dyDescent="0.25">
      <c r="A198" s="101" t="str">
        <f>'Data Vlaue (Cr)'!C194</f>
        <v>TATACONSUM</v>
      </c>
      <c r="B198" s="144">
        <f>VLOOKUP($A198,'Data shares'!$C:$FA,7)</f>
        <v>1078</v>
      </c>
      <c r="C198" s="144">
        <f>VLOOKUP($A198,'Data shares'!$C:$FA,3)</f>
        <v>1082.5</v>
      </c>
      <c r="D198" s="144">
        <f>VLOOKUP($A198,'Data shares'!$C:$FA,23)</f>
        <v>4.5</v>
      </c>
      <c r="E198" s="145">
        <f>VLOOKUP($A198,'Data shares'!$C:$FA,26)*100</f>
        <v>0.42</v>
      </c>
      <c r="F198" s="144">
        <f>VLOOKUP($A198,'Data shares'!$C:$FA,24)</f>
        <v>5.4</v>
      </c>
      <c r="G198" s="144">
        <f>VLOOKUP($A198,'Data shares'!$C:$FA,25)</f>
        <v>-0.9</v>
      </c>
    </row>
    <row r="199" spans="1:7" x14ac:dyDescent="0.25">
      <c r="A199" s="101" t="str">
        <f>'Data Vlaue (Cr)'!C195</f>
        <v>TATAELXSI</v>
      </c>
      <c r="B199" s="144">
        <f>VLOOKUP($A199,'Data shares'!$C:$FA,7)</f>
        <v>4452</v>
      </c>
      <c r="C199" s="144">
        <f>VLOOKUP($A199,'Data shares'!$C:$FA,3)</f>
        <v>4460.2</v>
      </c>
      <c r="D199" s="144">
        <f>VLOOKUP($A199,'Data shares'!$C:$FA,23)</f>
        <v>8.1999999999999993</v>
      </c>
      <c r="E199" s="145">
        <f>VLOOKUP($A199,'Data shares'!$C:$FA,26)*100</f>
        <v>0.18</v>
      </c>
      <c r="F199" s="144">
        <f>VLOOKUP($A199,'Data shares'!$C:$FA,24)</f>
        <v>7.3</v>
      </c>
      <c r="G199" s="144">
        <f>VLOOKUP($A199,'Data shares'!$C:$FA,25)</f>
        <v>0.9</v>
      </c>
    </row>
    <row r="200" spans="1:7" x14ac:dyDescent="0.25">
      <c r="A200" s="101" t="str">
        <f>'Data Vlaue (Cr)'!C196</f>
        <v>TATAPOWER</v>
      </c>
      <c r="B200" s="144">
        <f>VLOOKUP($A200,'Data shares'!$C:$FA,7)</f>
        <v>394.7</v>
      </c>
      <c r="C200" s="144">
        <f>VLOOKUP($A200,'Data shares'!$C:$FA,3)</f>
        <v>396.85</v>
      </c>
      <c r="D200" s="144">
        <f>VLOOKUP($A200,'Data shares'!$C:$FA,23)</f>
        <v>2.15</v>
      </c>
      <c r="E200" s="145">
        <f>VLOOKUP($A200,'Data shares'!$C:$FA,26)*100</f>
        <v>0.54</v>
      </c>
      <c r="F200" s="144">
        <f>VLOOKUP($A200,'Data shares'!$C:$FA,24)</f>
        <v>2.1</v>
      </c>
      <c r="G200" s="144">
        <f>VLOOKUP($A200,'Data shares'!$C:$FA,25)</f>
        <v>0.05</v>
      </c>
    </row>
    <row r="201" spans="1:7" x14ac:dyDescent="0.25">
      <c r="A201" s="101" t="str">
        <f>'Data Vlaue (Cr)'!C197</f>
        <v>TATASTEEL</v>
      </c>
      <c r="B201" s="144">
        <f>VLOOKUP($A201,'Data shares'!$C:$FA,7)</f>
        <v>205.2</v>
      </c>
      <c r="C201" s="144">
        <f>VLOOKUP($A201,'Data shares'!$C:$FA,3)</f>
        <v>206.19</v>
      </c>
      <c r="D201" s="144">
        <f>VLOOKUP($A201,'Data shares'!$C:$FA,23)</f>
        <v>0.99</v>
      </c>
      <c r="E201" s="145">
        <f>VLOOKUP($A201,'Data shares'!$C:$FA,26)*100</f>
        <v>0.48</v>
      </c>
      <c r="F201" s="144">
        <f>VLOOKUP($A201,'Data shares'!$C:$FA,24)</f>
        <v>1.05</v>
      </c>
      <c r="G201" s="144">
        <f>VLOOKUP($A201,'Data shares'!$C:$FA,25)</f>
        <v>-0.06</v>
      </c>
    </row>
    <row r="202" spans="1:7" x14ac:dyDescent="0.25">
      <c r="A202" s="101" t="str">
        <f>'Data Vlaue (Cr)'!C198</f>
        <v>TATATECH</v>
      </c>
      <c r="B202" s="144">
        <f>VLOOKUP($A202,'Data shares'!$C:$FA,7)</f>
        <v>558.9</v>
      </c>
      <c r="C202" s="144">
        <f>VLOOKUP($A202,'Data shares'!$C:$FA,3)</f>
        <v>562.65</v>
      </c>
      <c r="D202" s="144">
        <f>VLOOKUP($A202,'Data shares'!$C:$FA,23)</f>
        <v>3.75</v>
      </c>
      <c r="E202" s="145">
        <f>VLOOKUP($A202,'Data shares'!$C:$FA,26)*100</f>
        <v>0.67</v>
      </c>
      <c r="F202" s="144">
        <f>VLOOKUP($A202,'Data shares'!$C:$FA,24)</f>
        <v>1.65</v>
      </c>
      <c r="G202" s="144">
        <f>VLOOKUP($A202,'Data shares'!$C:$FA,25)</f>
        <v>2.1</v>
      </c>
    </row>
    <row r="203" spans="1:7" x14ac:dyDescent="0.25">
      <c r="A203" s="101" t="str">
        <f>'Data Vlaue (Cr)'!C199</f>
        <v>TCS</v>
      </c>
      <c r="B203" s="144">
        <f>VLOOKUP($A203,'Data shares'!$C:$FA,7)</f>
        <v>2589</v>
      </c>
      <c r="C203" s="144">
        <f>VLOOKUP($A203,'Data shares'!$C:$FA,3)</f>
        <v>2588</v>
      </c>
      <c r="D203" s="144">
        <f>VLOOKUP($A203,'Data shares'!$C:$FA,23)</f>
        <v>-1</v>
      </c>
      <c r="E203" s="145">
        <f>VLOOKUP($A203,'Data shares'!$C:$FA,26)*100</f>
        <v>-0.04</v>
      </c>
      <c r="F203" s="144">
        <f>VLOOKUP($A203,'Data shares'!$C:$FA,24)</f>
        <v>4.2</v>
      </c>
      <c r="G203" s="144">
        <f>VLOOKUP($A203,'Data shares'!$C:$FA,25)</f>
        <v>-5.2</v>
      </c>
    </row>
    <row r="204" spans="1:7" x14ac:dyDescent="0.25">
      <c r="A204" s="101" t="str">
        <f>'Data Vlaue (Cr)'!C200</f>
        <v>TECHM</v>
      </c>
      <c r="B204" s="144">
        <f>VLOOKUP($A204,'Data shares'!$C:$FA,7)</f>
        <v>1461.6</v>
      </c>
      <c r="C204" s="144">
        <f>VLOOKUP($A204,'Data shares'!$C:$FA,3)</f>
        <v>1464.6</v>
      </c>
      <c r="D204" s="144">
        <f>VLOOKUP($A204,'Data shares'!$C:$FA,23)</f>
        <v>3</v>
      </c>
      <c r="E204" s="145">
        <f>VLOOKUP($A204,'Data shares'!$C:$FA,26)*100</f>
        <v>0.21</v>
      </c>
      <c r="F204" s="144">
        <f>VLOOKUP($A204,'Data shares'!$C:$FA,24)</f>
        <v>4.5999999999999996</v>
      </c>
      <c r="G204" s="144">
        <f>VLOOKUP($A204,'Data shares'!$C:$FA,25)</f>
        <v>-1.6</v>
      </c>
    </row>
    <row r="205" spans="1:7" x14ac:dyDescent="0.25">
      <c r="A205" s="101" t="str">
        <f>'Data Vlaue (Cr)'!C201</f>
        <v>TIINDIA</v>
      </c>
      <c r="B205" s="144">
        <f>VLOOKUP($A205,'Data shares'!$C:$FA,7)</f>
        <v>2743.3</v>
      </c>
      <c r="C205" s="144">
        <f>VLOOKUP($A205,'Data shares'!$C:$FA,3)</f>
        <v>2752.1</v>
      </c>
      <c r="D205" s="144">
        <f>VLOOKUP($A205,'Data shares'!$C:$FA,23)</f>
        <v>8.8000000000000007</v>
      </c>
      <c r="E205" s="145">
        <f>VLOOKUP($A205,'Data shares'!$C:$FA,26)*100</f>
        <v>0.32</v>
      </c>
      <c r="F205" s="144">
        <f>VLOOKUP($A205,'Data shares'!$C:$FA,24)</f>
        <v>14.9</v>
      </c>
      <c r="G205" s="144">
        <f>VLOOKUP($A205,'Data shares'!$C:$FA,25)</f>
        <v>-6.1</v>
      </c>
    </row>
    <row r="206" spans="1:7" x14ac:dyDescent="0.25">
      <c r="A206" s="101" t="str">
        <f>'Data Vlaue (Cr)'!C202</f>
        <v>TITAN</v>
      </c>
      <c r="B206" s="144">
        <f>VLOOKUP($A206,'Data shares'!$C:$FA,7)</f>
        <v>4439.8</v>
      </c>
      <c r="C206" s="144">
        <f>VLOOKUP($A206,'Data shares'!$C:$FA,3)</f>
        <v>4449.7</v>
      </c>
      <c r="D206" s="144">
        <f>VLOOKUP($A206,'Data shares'!$C:$FA,23)</f>
        <v>9.9</v>
      </c>
      <c r="E206" s="145">
        <f>VLOOKUP($A206,'Data shares'!$C:$FA,26)*100</f>
        <v>0.22</v>
      </c>
      <c r="F206" s="144">
        <f>VLOOKUP($A206,'Data shares'!$C:$FA,24)</f>
        <v>9.4</v>
      </c>
      <c r="G206" s="144">
        <f>VLOOKUP($A206,'Data shares'!$C:$FA,25)</f>
        <v>0.5</v>
      </c>
    </row>
    <row r="207" spans="1:7" x14ac:dyDescent="0.25">
      <c r="A207" s="101" t="str">
        <f>'Data Vlaue (Cr)'!C203</f>
        <v>TMPV</v>
      </c>
      <c r="B207" s="144">
        <f>VLOOKUP($A207,'Data shares'!$C:$FA,7)</f>
        <v>333.25</v>
      </c>
      <c r="C207" s="144">
        <f>VLOOKUP($A207,'Data shares'!$C:$FA,3)</f>
        <v>333.9</v>
      </c>
      <c r="D207" s="144">
        <f>VLOOKUP($A207,'Data shares'!$C:$FA,23)</f>
        <v>0.65</v>
      </c>
      <c r="E207" s="145">
        <f>VLOOKUP($A207,'Data shares'!$C:$FA,26)*100</f>
        <v>0.2</v>
      </c>
      <c r="F207" s="144">
        <f>VLOOKUP($A207,'Data shares'!$C:$FA,24)</f>
        <v>1.55</v>
      </c>
      <c r="G207" s="144">
        <f>VLOOKUP($A207,'Data shares'!$C:$FA,25)</f>
        <v>-0.9</v>
      </c>
    </row>
    <row r="208" spans="1:7" x14ac:dyDescent="0.25">
      <c r="A208" s="101" t="str">
        <f>'Data Vlaue (Cr)'!C204</f>
        <v>TORNTPHARM</v>
      </c>
      <c r="B208" s="144">
        <f>VLOOKUP($A208,'Data shares'!$C:$FA,7)</f>
        <v>4094.5</v>
      </c>
      <c r="C208" s="144">
        <f>VLOOKUP($A208,'Data shares'!$C:$FA,3)</f>
        <v>4104.7</v>
      </c>
      <c r="D208" s="144">
        <f>VLOOKUP($A208,'Data shares'!$C:$FA,23)</f>
        <v>10.199999999999999</v>
      </c>
      <c r="E208" s="145">
        <f>VLOOKUP($A208,'Data shares'!$C:$FA,26)*100</f>
        <v>0.25</v>
      </c>
      <c r="F208" s="144">
        <f>VLOOKUP($A208,'Data shares'!$C:$FA,24)</f>
        <v>16.899999999999999</v>
      </c>
      <c r="G208" s="144">
        <f>VLOOKUP($A208,'Data shares'!$C:$FA,25)</f>
        <v>-6.7</v>
      </c>
    </row>
    <row r="209" spans="1:7" x14ac:dyDescent="0.25">
      <c r="A209" s="101" t="str">
        <f>'Data Vlaue (Cr)'!C205</f>
        <v>TORNTPOWER</v>
      </c>
      <c r="B209" s="144">
        <f>VLOOKUP($A209,'Data shares'!$C:$FA,7)</f>
        <v>1446</v>
      </c>
      <c r="C209" s="144">
        <f>VLOOKUP($A209,'Data shares'!$C:$FA,3)</f>
        <v>1454.1</v>
      </c>
      <c r="D209" s="144">
        <f>VLOOKUP($A209,'Data shares'!$C:$FA,23)</f>
        <v>8.1</v>
      </c>
      <c r="E209" s="145">
        <f>VLOOKUP($A209,'Data shares'!$C:$FA,26)*100</f>
        <v>0.55999999999999994</v>
      </c>
      <c r="F209" s="144">
        <f>VLOOKUP($A209,'Data shares'!$C:$FA,24)</f>
        <v>5.2</v>
      </c>
      <c r="G209" s="144">
        <f>VLOOKUP($A209,'Data shares'!$C:$FA,25)</f>
        <v>2.9</v>
      </c>
    </row>
    <row r="210" spans="1:7" x14ac:dyDescent="0.25">
      <c r="A210" s="101" t="str">
        <f>'Data Vlaue (Cr)'!C206</f>
        <v>TRENT</v>
      </c>
      <c r="B210" s="144">
        <f>VLOOKUP($A210,'Data shares'!$C:$FA,7)</f>
        <v>3850.7</v>
      </c>
      <c r="C210" s="144">
        <f>VLOOKUP($A210,'Data shares'!$C:$FA,3)</f>
        <v>3853.6</v>
      </c>
      <c r="D210" s="144">
        <f>VLOOKUP($A210,'Data shares'!$C:$FA,23)</f>
        <v>2.9</v>
      </c>
      <c r="E210" s="145">
        <f>VLOOKUP($A210,'Data shares'!$C:$FA,26)*100</f>
        <v>0.08</v>
      </c>
      <c r="F210" s="144">
        <f>VLOOKUP($A210,'Data shares'!$C:$FA,24)</f>
        <v>-10.4</v>
      </c>
      <c r="G210" s="144">
        <f>VLOOKUP($A210,'Data shares'!$C:$FA,25)</f>
        <v>13.3</v>
      </c>
    </row>
    <row r="211" spans="1:7" x14ac:dyDescent="0.25">
      <c r="A211" s="101" t="str">
        <f>'Data Vlaue (Cr)'!C207</f>
        <v>TVSMOTOR</v>
      </c>
      <c r="B211" s="144">
        <f>VLOOKUP($A211,'Data shares'!$C:$FA,7)</f>
        <v>3727.1</v>
      </c>
      <c r="C211" s="144">
        <f>VLOOKUP($A211,'Data shares'!$C:$FA,3)</f>
        <v>3738.4</v>
      </c>
      <c r="D211" s="144">
        <f>VLOOKUP($A211,'Data shares'!$C:$FA,23)</f>
        <v>11.3</v>
      </c>
      <c r="E211" s="145">
        <f>VLOOKUP($A211,'Data shares'!$C:$FA,26)*100</f>
        <v>0.3</v>
      </c>
      <c r="F211" s="144">
        <f>VLOOKUP($A211,'Data shares'!$C:$FA,24)</f>
        <v>13.1</v>
      </c>
      <c r="G211" s="144">
        <f>VLOOKUP($A211,'Data shares'!$C:$FA,25)</f>
        <v>-1.8</v>
      </c>
    </row>
    <row r="212" spans="1:7" x14ac:dyDescent="0.25">
      <c r="A212" s="101" t="str">
        <f>'Data Vlaue (Cr)'!C208</f>
        <v>ULTRACEMCO</v>
      </c>
      <c r="B212" s="144">
        <f>VLOOKUP($A212,'Data shares'!$C:$FA,7)</f>
        <v>11448</v>
      </c>
      <c r="C212" s="144">
        <f>VLOOKUP($A212,'Data shares'!$C:$FA,3)</f>
        <v>11468</v>
      </c>
      <c r="D212" s="144">
        <f>VLOOKUP($A212,'Data shares'!$C:$FA,23)</f>
        <v>20</v>
      </c>
      <c r="E212" s="145">
        <f>VLOOKUP($A212,'Data shares'!$C:$FA,26)*100</f>
        <v>0.16999999999999998</v>
      </c>
      <c r="F212" s="144">
        <f>VLOOKUP($A212,'Data shares'!$C:$FA,24)</f>
        <v>22</v>
      </c>
      <c r="G212" s="144">
        <f>VLOOKUP($A212,'Data shares'!$C:$FA,25)</f>
        <v>-2</v>
      </c>
    </row>
    <row r="213" spans="1:7" x14ac:dyDescent="0.25">
      <c r="A213" s="101" t="str">
        <f>'Data Vlaue (Cr)'!C209</f>
        <v>UNIONBANK</v>
      </c>
      <c r="B213" s="144">
        <f>VLOOKUP($A213,'Data shares'!$C:$FA,7)</f>
        <v>184.69</v>
      </c>
      <c r="C213" s="144">
        <f>VLOOKUP($A213,'Data shares'!$C:$FA,3)</f>
        <v>184.46</v>
      </c>
      <c r="D213" s="144">
        <f>VLOOKUP($A213,'Data shares'!$C:$FA,23)</f>
        <v>-0.23</v>
      </c>
      <c r="E213" s="145">
        <f>VLOOKUP($A213,'Data shares'!$C:$FA,26)*100</f>
        <v>-0.12</v>
      </c>
      <c r="F213" s="144">
        <f>VLOOKUP($A213,'Data shares'!$C:$FA,24)</f>
        <v>0.52</v>
      </c>
      <c r="G213" s="144">
        <f>VLOOKUP($A213,'Data shares'!$C:$FA,25)</f>
        <v>-0.75</v>
      </c>
    </row>
    <row r="214" spans="1:7" x14ac:dyDescent="0.25">
      <c r="A214" s="101" t="str">
        <f>'Data Vlaue (Cr)'!C210</f>
        <v>UNITDSPR</v>
      </c>
      <c r="B214" s="144">
        <f>VLOOKUP($A214,'Data shares'!$C:$FA,7)</f>
        <v>1249.7</v>
      </c>
      <c r="C214" s="144">
        <f>VLOOKUP($A214,'Data shares'!$C:$FA,3)</f>
        <v>1255.9000000000001</v>
      </c>
      <c r="D214" s="144">
        <f>VLOOKUP($A214,'Data shares'!$C:$FA,23)</f>
        <v>6.2</v>
      </c>
      <c r="E214" s="145">
        <f>VLOOKUP($A214,'Data shares'!$C:$FA,26)*100</f>
        <v>0.5</v>
      </c>
      <c r="F214" s="144">
        <f>VLOOKUP($A214,'Data shares'!$C:$FA,24)</f>
        <v>4.0999999999999996</v>
      </c>
      <c r="G214" s="144">
        <f>VLOOKUP($A214,'Data shares'!$C:$FA,25)</f>
        <v>2.1</v>
      </c>
    </row>
    <row r="215" spans="1:7" x14ac:dyDescent="0.25">
      <c r="A215" s="101" t="str">
        <f>'Data Vlaue (Cr)'!C211</f>
        <v>UNOMINDA</v>
      </c>
      <c r="B215" s="144">
        <f>VLOOKUP($A215,'Data shares'!$C:$FA,7)</f>
        <v>1054.5999999999999</v>
      </c>
      <c r="C215" s="144">
        <f>VLOOKUP($A215,'Data shares'!$C:$FA,3)</f>
        <v>1056.4000000000001</v>
      </c>
      <c r="D215" s="144">
        <f>VLOOKUP($A215,'Data shares'!$C:$FA,23)</f>
        <v>1.8</v>
      </c>
      <c r="E215" s="145">
        <f>VLOOKUP($A215,'Data shares'!$C:$FA,26)*100</f>
        <v>0.16999999999999998</v>
      </c>
      <c r="F215" s="144">
        <f>VLOOKUP($A215,'Data shares'!$C:$FA,24)</f>
        <v>6</v>
      </c>
      <c r="G215" s="144">
        <f>VLOOKUP($A215,'Data shares'!$C:$FA,25)</f>
        <v>-4.2</v>
      </c>
    </row>
    <row r="216" spans="1:7" x14ac:dyDescent="0.25">
      <c r="A216" s="101" t="str">
        <f>'Data Vlaue (Cr)'!C220</f>
        <v>ZYDUSLIFE</v>
      </c>
      <c r="B216" s="144">
        <f>VLOOKUP($A216,'Data shares'!$C:$FA,7)</f>
        <v>902.25</v>
      </c>
      <c r="C216" s="144">
        <f>VLOOKUP($A216,'Data shares'!$C:$FA,3)</f>
        <v>905.7</v>
      </c>
      <c r="D216" s="144">
        <f>VLOOKUP($A216,'Data shares'!$C:$FA,23)</f>
        <v>3.45</v>
      </c>
      <c r="E216" s="145">
        <f>VLOOKUP($A216,'Data shares'!$C:$FA,26)*100</f>
        <v>0.38</v>
      </c>
      <c r="F216" s="144">
        <f>VLOOKUP($A216,'Data shares'!$C:$FA,24)</f>
        <v>1.9</v>
      </c>
      <c r="G216" s="144">
        <f>VLOOKUP($A216,'Data shares'!$C:$FA,25)</f>
        <v>1.55</v>
      </c>
    </row>
    <row r="217" spans="1:7" x14ac:dyDescent="0.25">
      <c r="A217" s="101"/>
      <c r="B217" s="144"/>
      <c r="C217" s="144"/>
      <c r="D217" s="144"/>
      <c r="E217" s="145"/>
      <c r="F217" s="144"/>
      <c r="G217" s="144"/>
    </row>
    <row r="218" spans="1:7" x14ac:dyDescent="0.25">
      <c r="A218" s="101"/>
      <c r="B218" s="144"/>
      <c r="C218" s="144"/>
      <c r="D218" s="144"/>
      <c r="E218" s="145"/>
      <c r="F218" s="144"/>
      <c r="G218" s="144"/>
    </row>
    <row r="219" spans="1:7" x14ac:dyDescent="0.25">
      <c r="A219" s="101"/>
      <c r="B219" s="144"/>
      <c r="C219" s="144"/>
      <c r="D219" s="144"/>
      <c r="E219" s="145"/>
      <c r="F219" s="144"/>
      <c r="G219"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0"/>
  <sheetViews>
    <sheetView workbookViewId="0">
      <pane ySplit="6" topLeftCell="A17" activePane="bottomLeft" state="frozen"/>
      <selection pane="bottomLeft" activeCell="A34" sqref="A34"/>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4" t="s">
        <v>370</v>
      </c>
      <c r="B3" s="315"/>
      <c r="C3" s="315"/>
      <c r="D3" s="315"/>
      <c r="E3" s="315"/>
      <c r="F3" s="315"/>
      <c r="G3" s="316"/>
    </row>
    <row r="4" spans="1:7" x14ac:dyDescent="0.25">
      <c r="A4" s="318" t="s">
        <v>318</v>
      </c>
      <c r="B4" s="252" t="s">
        <v>371</v>
      </c>
      <c r="C4" s="252"/>
      <c r="D4" s="252"/>
      <c r="E4" s="252"/>
      <c r="F4" s="252"/>
      <c r="G4" s="252"/>
    </row>
    <row r="5" spans="1:7" x14ac:dyDescent="0.25">
      <c r="A5" s="319"/>
      <c r="B5" s="317" t="s">
        <v>372</v>
      </c>
      <c r="C5" s="317"/>
      <c r="D5" s="317"/>
      <c r="E5" s="317" t="s">
        <v>373</v>
      </c>
      <c r="F5" s="317"/>
      <c r="G5" s="317"/>
    </row>
    <row r="6" spans="1:7" x14ac:dyDescent="0.25">
      <c r="A6" s="252"/>
      <c r="B6" s="2" t="s">
        <v>374</v>
      </c>
      <c r="C6" s="2" t="s">
        <v>375</v>
      </c>
      <c r="D6" s="2" t="s">
        <v>376</v>
      </c>
      <c r="E6" s="2" t="s">
        <v>377</v>
      </c>
      <c r="F6" s="2" t="s">
        <v>378</v>
      </c>
      <c r="G6" s="2" t="s">
        <v>379</v>
      </c>
    </row>
    <row r="7" spans="1:7" x14ac:dyDescent="0.25">
      <c r="A7" s="49" t="str">
        <f>'Data Vlaue (Cr)'!C2</f>
        <v>360ONE</v>
      </c>
      <c r="B7" s="50">
        <f>VLOOKUP($A7,'Data shares'!$C:$FM,102)</f>
        <v>43.44</v>
      </c>
      <c r="C7" s="50">
        <f>VLOOKUP($A7,'Data shares'!$C:$FM,110)</f>
        <v>43.49</v>
      </c>
      <c r="D7" s="50">
        <f>VLOOKUP($A7,'Data shares'!$C:$FM,114)</f>
        <v>43.19</v>
      </c>
      <c r="E7" s="50">
        <f>VLOOKUP($A7,'Data shares'!$C:$FM,106)</f>
        <v>41.95</v>
      </c>
      <c r="F7" s="50">
        <f>VLOOKUP($A7,'Data shares'!$C:$FM,108)</f>
        <v>1.49</v>
      </c>
      <c r="G7" s="50">
        <f t="shared" ref="G7:G38" si="0">B7/E7</f>
        <v>1.0355184743742549</v>
      </c>
    </row>
    <row r="8" spans="1:7" x14ac:dyDescent="0.25">
      <c r="A8" s="49" t="str">
        <f>'Data Vlaue (Cr)'!C3</f>
        <v>ABB</v>
      </c>
      <c r="B8" s="50">
        <f>VLOOKUP($A8,'Data shares'!$C:$FM,102)</f>
        <v>33.79</v>
      </c>
      <c r="C8" s="50">
        <f>VLOOKUP($A8,'Data shares'!$C:$FM,110)</f>
        <v>32.39</v>
      </c>
      <c r="D8" s="50">
        <f>VLOOKUP($A8,'Data shares'!$C:$FM,114)</f>
        <v>36.71</v>
      </c>
      <c r="E8" s="50">
        <f>VLOOKUP($A8,'Data shares'!$C:$FM,106)</f>
        <v>37.119999999999997</v>
      </c>
      <c r="F8" s="50">
        <f>VLOOKUP($A8,'Data shares'!$C:$FM,108)</f>
        <v>-3.33</v>
      </c>
      <c r="G8" s="50">
        <f t="shared" si="0"/>
        <v>0.9102909482758621</v>
      </c>
    </row>
    <row r="9" spans="1:7" x14ac:dyDescent="0.25">
      <c r="A9" s="49" t="str">
        <f>'Data Vlaue (Cr)'!C4</f>
        <v>ABCAPITAL</v>
      </c>
      <c r="B9" s="50">
        <f>VLOOKUP($A9,'Data shares'!$C:$FM,102)</f>
        <v>40.880000000000003</v>
      </c>
      <c r="C9" s="50">
        <f>VLOOKUP($A9,'Data shares'!$C:$FM,110)</f>
        <v>39.770000000000003</v>
      </c>
      <c r="D9" s="50">
        <f>VLOOKUP($A9,'Data shares'!$C:$FM,114)</f>
        <v>42.02</v>
      </c>
      <c r="E9" s="50">
        <f>VLOOKUP($A9,'Data shares'!$C:$FM,106)</f>
        <v>41.67</v>
      </c>
      <c r="F9" s="50">
        <f>VLOOKUP($A9,'Data shares'!$C:$FM,108)</f>
        <v>-0.79</v>
      </c>
      <c r="G9" s="50">
        <f t="shared" si="0"/>
        <v>0.98104151667866568</v>
      </c>
    </row>
    <row r="10" spans="1:7" x14ac:dyDescent="0.25">
      <c r="A10" s="49" t="str">
        <f>'Data Vlaue (Cr)'!C5</f>
        <v>ADANIENSOL</v>
      </c>
      <c r="B10" s="50">
        <f>VLOOKUP($A10,'Data shares'!$C:$FM,102)</f>
        <v>48.13</v>
      </c>
      <c r="C10" s="50">
        <f>VLOOKUP($A10,'Data shares'!$C:$FM,110)</f>
        <v>47.92</v>
      </c>
      <c r="D10" s="50">
        <f>VLOOKUP($A10,'Data shares'!$C:$FM,114)</f>
        <v>48.7</v>
      </c>
      <c r="E10" s="50">
        <f>VLOOKUP($A10,'Data shares'!$C:$FM,106)</f>
        <v>55.2</v>
      </c>
      <c r="F10" s="50">
        <f>VLOOKUP($A10,'Data shares'!$C:$FM,108)</f>
        <v>-7.07</v>
      </c>
      <c r="G10" s="50">
        <f t="shared" si="0"/>
        <v>0.87192028985507242</v>
      </c>
    </row>
    <row r="11" spans="1:7" x14ac:dyDescent="0.25">
      <c r="A11" s="49" t="str">
        <f>'Data Vlaue (Cr)'!C6</f>
        <v>ADANIENT</v>
      </c>
      <c r="B11" s="50">
        <f>VLOOKUP($A11,'Data shares'!$C:$FM,102)</f>
        <v>42.32</v>
      </c>
      <c r="C11" s="50">
        <f>VLOOKUP($A11,'Data shares'!$C:$FM,110)</f>
        <v>41.88</v>
      </c>
      <c r="D11" s="50">
        <f>VLOOKUP($A11,'Data shares'!$C:$FM,114)</f>
        <v>43.35</v>
      </c>
      <c r="E11" s="50">
        <f>VLOOKUP($A11,'Data shares'!$C:$FM,106)</f>
        <v>49.95</v>
      </c>
      <c r="F11" s="50">
        <f>VLOOKUP($A11,'Data shares'!$C:$FM,108)</f>
        <v>-7.63</v>
      </c>
      <c r="G11" s="50">
        <f t="shared" si="0"/>
        <v>0.8472472472472472</v>
      </c>
    </row>
    <row r="12" spans="1:7" x14ac:dyDescent="0.25">
      <c r="A12" s="49" t="str">
        <f>'Data Vlaue (Cr)'!C7</f>
        <v>ADANIGREEN</v>
      </c>
      <c r="B12" s="50">
        <f>VLOOKUP($A12,'Data shares'!$C:$FM,102)</f>
        <v>50.8</v>
      </c>
      <c r="C12" s="50">
        <f>VLOOKUP($A12,'Data shares'!$C:$FM,110)</f>
        <v>49.5</v>
      </c>
      <c r="D12" s="50">
        <f>VLOOKUP($A12,'Data shares'!$C:$FM,114)</f>
        <v>53.04</v>
      </c>
      <c r="E12" s="50">
        <f>VLOOKUP($A12,'Data shares'!$C:$FM,106)</f>
        <v>59.75</v>
      </c>
      <c r="F12" s="50">
        <f>VLOOKUP($A12,'Data shares'!$C:$FM,108)</f>
        <v>-8.9499999999999993</v>
      </c>
      <c r="G12" s="50">
        <f t="shared" si="0"/>
        <v>0.85020920502092046</v>
      </c>
    </row>
    <row r="13" spans="1:7" x14ac:dyDescent="0.25">
      <c r="A13" s="49" t="str">
        <f>'Data Vlaue (Cr)'!C8</f>
        <v>ADANIPORTS</v>
      </c>
      <c r="B13" s="50">
        <f>VLOOKUP($A13,'Data shares'!$C:$FM,102)</f>
        <v>36.700000000000003</v>
      </c>
      <c r="C13" s="50">
        <f>VLOOKUP($A13,'Data shares'!$C:$FM,110)</f>
        <v>35.630000000000003</v>
      </c>
      <c r="D13" s="50">
        <f>VLOOKUP($A13,'Data shares'!$C:$FM,114)</f>
        <v>38.44</v>
      </c>
      <c r="E13" s="50">
        <f>VLOOKUP($A13,'Data shares'!$C:$FM,106)</f>
        <v>40.299999999999997</v>
      </c>
      <c r="F13" s="50">
        <f>VLOOKUP($A13,'Data shares'!$C:$FM,108)</f>
        <v>-3.6</v>
      </c>
      <c r="G13" s="50">
        <f t="shared" si="0"/>
        <v>0.91066997518610437</v>
      </c>
    </row>
    <row r="14" spans="1:7" x14ac:dyDescent="0.25">
      <c r="A14" s="49" t="str">
        <f>'Data Vlaue (Cr)'!C9</f>
        <v>ADANIPOWER</v>
      </c>
      <c r="B14" s="50">
        <f>VLOOKUP($A14,'Data shares'!$C:$FM,102)</f>
        <v>53.97</v>
      </c>
      <c r="C14" s="50">
        <f>VLOOKUP($A14,'Data shares'!$C:$FM,110)</f>
        <v>53.22</v>
      </c>
      <c r="D14" s="50">
        <f>VLOOKUP($A14,'Data shares'!$C:$FM,114)</f>
        <v>57</v>
      </c>
      <c r="E14" s="50">
        <f>VLOOKUP($A14,'Data shares'!$C:$FM,106)</f>
        <v>52.47</v>
      </c>
      <c r="F14" s="50">
        <f>VLOOKUP($A14,'Data shares'!$C:$FM,108)</f>
        <v>1.5</v>
      </c>
      <c r="G14" s="50">
        <f t="shared" si="0"/>
        <v>1.0285877644368211</v>
      </c>
    </row>
    <row r="15" spans="1:7" x14ac:dyDescent="0.25">
      <c r="A15" s="49" t="str">
        <f>'Data Vlaue (Cr)'!C10</f>
        <v>ALKEM</v>
      </c>
      <c r="B15" s="50">
        <f>VLOOKUP($A15,'Data shares'!$C:$FM,102)</f>
        <v>26.91</v>
      </c>
      <c r="C15" s="50">
        <f>VLOOKUP($A15,'Data shares'!$C:$FM,110)</f>
        <v>26.73</v>
      </c>
      <c r="D15" s="50">
        <f>VLOOKUP($A15,'Data shares'!$C:$FM,114)</f>
        <v>27.41</v>
      </c>
      <c r="E15" s="50">
        <f>VLOOKUP($A15,'Data shares'!$C:$FM,106)</f>
        <v>28.4</v>
      </c>
      <c r="F15" s="50">
        <f>VLOOKUP($A15,'Data shares'!$C:$FM,108)</f>
        <v>-1.49</v>
      </c>
      <c r="G15" s="50">
        <f t="shared" si="0"/>
        <v>0.94753521126760565</v>
      </c>
    </row>
    <row r="16" spans="1:7" x14ac:dyDescent="0.25">
      <c r="A16" s="49" t="str">
        <f>'Data Vlaue (Cr)'!C11</f>
        <v>AMBER</v>
      </c>
      <c r="B16" s="50">
        <f>VLOOKUP($A16,'Data shares'!$C:$FM,102)</f>
        <v>49.84</v>
      </c>
      <c r="C16" s="50">
        <f>VLOOKUP($A16,'Data shares'!$C:$FM,110)</f>
        <v>48.55</v>
      </c>
      <c r="D16" s="50">
        <f>VLOOKUP($A16,'Data shares'!$C:$FM,114)</f>
        <v>52.18</v>
      </c>
      <c r="E16" s="50">
        <f>VLOOKUP($A16,'Data shares'!$C:$FM,106)</f>
        <v>54.07</v>
      </c>
      <c r="F16" s="50">
        <f>VLOOKUP($A16,'Data shares'!$C:$FM,108)</f>
        <v>-4.2300000000000004</v>
      </c>
      <c r="G16" s="50">
        <f t="shared" si="0"/>
        <v>0.92176807841686703</v>
      </c>
    </row>
    <row r="17" spans="1:7" x14ac:dyDescent="0.25">
      <c r="A17" s="49" t="str">
        <f>'Data Vlaue (Cr)'!C12</f>
        <v>AMBUJACEM</v>
      </c>
      <c r="B17" s="50">
        <f>VLOOKUP($A17,'Data shares'!$C:$FM,102)</f>
        <v>38.369999999999997</v>
      </c>
      <c r="C17" s="50">
        <f>VLOOKUP($A17,'Data shares'!$C:$FM,110)</f>
        <v>37.93</v>
      </c>
      <c r="D17" s="50">
        <f>VLOOKUP($A17,'Data shares'!$C:$FM,114)</f>
        <v>39.25</v>
      </c>
      <c r="E17" s="50">
        <f>VLOOKUP($A17,'Data shares'!$C:$FM,106)</f>
        <v>36.79</v>
      </c>
      <c r="F17" s="50">
        <f>VLOOKUP($A17,'Data shares'!$C:$FM,108)</f>
        <v>1.58</v>
      </c>
      <c r="G17" s="50">
        <f t="shared" si="0"/>
        <v>1.0429464528404457</v>
      </c>
    </row>
    <row r="18" spans="1:7" x14ac:dyDescent="0.25">
      <c r="A18" s="49" t="str">
        <f>'Data Vlaue (Cr)'!C13</f>
        <v>ANGELONE</v>
      </c>
      <c r="B18" s="50">
        <f>VLOOKUP($A18,'Data shares'!$C:$FM,102)</f>
        <v>51.8</v>
      </c>
      <c r="C18" s="50">
        <f>VLOOKUP($A18,'Data shares'!$C:$FM,110)</f>
        <v>51.25</v>
      </c>
      <c r="D18" s="50">
        <f>VLOOKUP($A18,'Data shares'!$C:$FM,114)</f>
        <v>52.99</v>
      </c>
      <c r="E18" s="50">
        <f>VLOOKUP($A18,'Data shares'!$C:$FM,106)</f>
        <v>55.91</v>
      </c>
      <c r="F18" s="50">
        <f>VLOOKUP($A18,'Data shares'!$C:$FM,108)</f>
        <v>-4.1100000000000003</v>
      </c>
      <c r="G18" s="50">
        <f t="shared" si="0"/>
        <v>0.92648900017885893</v>
      </c>
    </row>
    <row r="19" spans="1:7" x14ac:dyDescent="0.25">
      <c r="A19" s="49" t="str">
        <f>'Data Vlaue (Cr)'!C14</f>
        <v>APLAPOLLO</v>
      </c>
      <c r="B19" s="50">
        <f>VLOOKUP($A19,'Data shares'!$C:$FM,102)</f>
        <v>33.51</v>
      </c>
      <c r="C19" s="50">
        <f>VLOOKUP($A19,'Data shares'!$C:$FM,110)</f>
        <v>32.619999999999997</v>
      </c>
      <c r="D19" s="50">
        <f>VLOOKUP($A19,'Data shares'!$C:$FM,114)</f>
        <v>35.619999999999997</v>
      </c>
      <c r="E19" s="50">
        <f>VLOOKUP($A19,'Data shares'!$C:$FM,106)</f>
        <v>35.56</v>
      </c>
      <c r="F19" s="50">
        <f>VLOOKUP($A19,'Data shares'!$C:$FM,108)</f>
        <v>-2.0499999999999998</v>
      </c>
      <c r="G19" s="50">
        <f t="shared" si="0"/>
        <v>0.94235095613048359</v>
      </c>
    </row>
    <row r="20" spans="1:7" x14ac:dyDescent="0.25">
      <c r="A20" s="49" t="str">
        <f>'Data Vlaue (Cr)'!C15</f>
        <v>APOLLOHOSP</v>
      </c>
      <c r="B20" s="50">
        <f>VLOOKUP($A20,'Data shares'!$C:$FM,102)</f>
        <v>25.37</v>
      </c>
      <c r="C20" s="50">
        <f>VLOOKUP($A20,'Data shares'!$C:$FM,110)</f>
        <v>25.02</v>
      </c>
      <c r="D20" s="50">
        <f>VLOOKUP($A20,'Data shares'!$C:$FM,114)</f>
        <v>26.38</v>
      </c>
      <c r="E20" s="50">
        <f>VLOOKUP($A20,'Data shares'!$C:$FM,106)</f>
        <v>25.26</v>
      </c>
      <c r="F20" s="50">
        <f>VLOOKUP($A20,'Data shares'!$C:$FM,108)</f>
        <v>0.11</v>
      </c>
      <c r="G20" s="50">
        <f t="shared" si="0"/>
        <v>1.0043547110055424</v>
      </c>
    </row>
    <row r="21" spans="1:7" x14ac:dyDescent="0.25">
      <c r="A21" s="49" t="str">
        <f>'Data Vlaue (Cr)'!C16</f>
        <v>ASHOKLEY</v>
      </c>
      <c r="B21" s="50">
        <f>VLOOKUP($A21,'Data shares'!$C:$FM,102)</f>
        <v>41.96</v>
      </c>
      <c r="C21" s="50">
        <f>VLOOKUP($A21,'Data shares'!$C:$FM,110)</f>
        <v>41.39</v>
      </c>
      <c r="D21" s="50">
        <f>VLOOKUP($A21,'Data shares'!$C:$FM,114)</f>
        <v>42.89</v>
      </c>
      <c r="E21" s="50">
        <f>VLOOKUP($A21,'Data shares'!$C:$FM,106)</f>
        <v>42.35</v>
      </c>
      <c r="F21" s="50">
        <f>VLOOKUP($A21,'Data shares'!$C:$FM,108)</f>
        <v>-0.39</v>
      </c>
      <c r="G21" s="50">
        <f t="shared" si="0"/>
        <v>0.9907910271546635</v>
      </c>
    </row>
    <row r="22" spans="1:7" x14ac:dyDescent="0.25">
      <c r="A22" s="49" t="str">
        <f>'Data Vlaue (Cr)'!C17</f>
        <v>ASIANPAINT</v>
      </c>
      <c r="B22" s="50">
        <f>VLOOKUP($A22,'Data shares'!$C:$FM,102)</f>
        <v>30.43</v>
      </c>
      <c r="C22" s="50">
        <f>VLOOKUP($A22,'Data shares'!$C:$FM,110)</f>
        <v>29.44</v>
      </c>
      <c r="D22" s="50">
        <f>VLOOKUP($A22,'Data shares'!$C:$FM,114)</f>
        <v>31.98</v>
      </c>
      <c r="E22" s="50">
        <f>VLOOKUP($A22,'Data shares'!$C:$FM,106)</f>
        <v>28.74</v>
      </c>
      <c r="F22" s="50">
        <f>VLOOKUP($A22,'Data shares'!$C:$FM,108)</f>
        <v>1.69</v>
      </c>
      <c r="G22" s="50">
        <f t="shared" si="0"/>
        <v>1.0588030619345861</v>
      </c>
    </row>
    <row r="23" spans="1:7" x14ac:dyDescent="0.25">
      <c r="A23" s="49" t="str">
        <f>'Data Vlaue (Cr)'!C18</f>
        <v>ASTRAL</v>
      </c>
      <c r="B23" s="50">
        <f>VLOOKUP($A23,'Data shares'!$C:$FM,102)</f>
        <v>35.19</v>
      </c>
      <c r="C23" s="50">
        <f>VLOOKUP($A23,'Data shares'!$C:$FM,110)</f>
        <v>33.57</v>
      </c>
      <c r="D23" s="50">
        <f>VLOOKUP($A23,'Data shares'!$C:$FM,114)</f>
        <v>37.25</v>
      </c>
      <c r="E23" s="50">
        <f>VLOOKUP($A23,'Data shares'!$C:$FM,106)</f>
        <v>35.659999999999997</v>
      </c>
      <c r="F23" s="50">
        <f>VLOOKUP($A23,'Data shares'!$C:$FM,108)</f>
        <v>-0.47</v>
      </c>
      <c r="G23" s="50">
        <f t="shared" si="0"/>
        <v>0.98681996634885027</v>
      </c>
    </row>
    <row r="24" spans="1:7" x14ac:dyDescent="0.25">
      <c r="A24" s="49" t="str">
        <f>'Data Vlaue (Cr)'!C19</f>
        <v>AUBANK</v>
      </c>
      <c r="B24" s="50">
        <f>VLOOKUP($A24,'Data shares'!$C:$FM,102)</f>
        <v>37.869999999999997</v>
      </c>
      <c r="C24" s="50">
        <f>VLOOKUP($A24,'Data shares'!$C:$FM,110)</f>
        <v>35.869999999999997</v>
      </c>
      <c r="D24" s="50">
        <f>VLOOKUP($A24,'Data shares'!$C:$FM,114)</f>
        <v>40.51</v>
      </c>
      <c r="E24" s="50">
        <f>VLOOKUP($A24,'Data shares'!$C:$FM,106)</f>
        <v>38.68</v>
      </c>
      <c r="F24" s="50">
        <f>VLOOKUP($A24,'Data shares'!$C:$FM,108)</f>
        <v>-0.81</v>
      </c>
      <c r="G24" s="50">
        <f t="shared" si="0"/>
        <v>0.97905894519131331</v>
      </c>
    </row>
    <row r="25" spans="1:7" x14ac:dyDescent="0.25">
      <c r="A25" s="49" t="str">
        <f>'Data Vlaue (Cr)'!C20</f>
        <v>AUROPHARMA</v>
      </c>
      <c r="B25" s="50">
        <f>VLOOKUP($A25,'Data shares'!$C:$FM,102)</f>
        <v>31.24</v>
      </c>
      <c r="C25" s="50">
        <f>VLOOKUP($A25,'Data shares'!$C:$FM,110)</f>
        <v>30.7</v>
      </c>
      <c r="D25" s="50">
        <f>VLOOKUP($A25,'Data shares'!$C:$FM,114)</f>
        <v>32.31</v>
      </c>
      <c r="E25" s="50">
        <f>VLOOKUP($A25,'Data shares'!$C:$FM,106)</f>
        <v>33.53</v>
      </c>
      <c r="F25" s="50">
        <f>VLOOKUP($A25,'Data shares'!$C:$FM,108)</f>
        <v>-2.29</v>
      </c>
      <c r="G25" s="50">
        <f t="shared" si="0"/>
        <v>0.9317029525797792</v>
      </c>
    </row>
    <row r="26" spans="1:7" x14ac:dyDescent="0.25">
      <c r="A26" s="49" t="str">
        <f>'Data Vlaue (Cr)'!C21</f>
        <v>AXISBANK</v>
      </c>
      <c r="B26" s="50">
        <f>VLOOKUP($A26,'Data shares'!$C:$FM,102)</f>
        <v>32.619999999999997</v>
      </c>
      <c r="C26" s="50">
        <f>VLOOKUP($A26,'Data shares'!$C:$FM,110)</f>
        <v>30.77</v>
      </c>
      <c r="D26" s="50">
        <f>VLOOKUP($A26,'Data shares'!$C:$FM,114)</f>
        <v>34.159999999999997</v>
      </c>
      <c r="E26" s="50">
        <f>VLOOKUP($A26,'Data shares'!$C:$FM,106)</f>
        <v>30.24</v>
      </c>
      <c r="F26" s="50">
        <f>VLOOKUP($A26,'Data shares'!$C:$FM,108)</f>
        <v>2.38</v>
      </c>
      <c r="G26" s="50">
        <f t="shared" si="0"/>
        <v>1.0787037037037037</v>
      </c>
    </row>
    <row r="27" spans="1:7" x14ac:dyDescent="0.25">
      <c r="A27" s="49" t="str">
        <f>'Data Vlaue (Cr)'!C22</f>
        <v>BAJAJ-AUTO</v>
      </c>
      <c r="B27" s="50">
        <f>VLOOKUP($A27,'Data shares'!$C:$FM,102)</f>
        <v>28.96</v>
      </c>
      <c r="C27" s="50">
        <f>VLOOKUP($A27,'Data shares'!$C:$FM,110)</f>
        <v>28.18</v>
      </c>
      <c r="D27" s="50">
        <f>VLOOKUP($A27,'Data shares'!$C:$FM,114)</f>
        <v>30.8</v>
      </c>
      <c r="E27" s="50">
        <f>VLOOKUP($A27,'Data shares'!$C:$FM,106)</f>
        <v>29.75</v>
      </c>
      <c r="F27" s="50">
        <f>VLOOKUP($A27,'Data shares'!$C:$FM,108)</f>
        <v>-0.79</v>
      </c>
      <c r="G27" s="50">
        <f t="shared" si="0"/>
        <v>0.97344537815126053</v>
      </c>
    </row>
    <row r="28" spans="1:7" x14ac:dyDescent="0.25">
      <c r="A28" s="49" t="str">
        <f>'Data Vlaue (Cr)'!C23</f>
        <v>BAJAJFINSV</v>
      </c>
      <c r="B28" s="50">
        <f>VLOOKUP($A28,'Data shares'!$C:$FM,102)</f>
        <v>29.24</v>
      </c>
      <c r="C28" s="50">
        <f>VLOOKUP($A28,'Data shares'!$C:$FM,110)</f>
        <v>28.43</v>
      </c>
      <c r="D28" s="50">
        <f>VLOOKUP($A28,'Data shares'!$C:$FM,114)</f>
        <v>30.11</v>
      </c>
      <c r="E28" s="50">
        <f>VLOOKUP($A28,'Data shares'!$C:$FM,106)</f>
        <v>30.65</v>
      </c>
      <c r="F28" s="50">
        <f>VLOOKUP($A28,'Data shares'!$C:$FM,108)</f>
        <v>-1.41</v>
      </c>
      <c r="G28" s="50">
        <f t="shared" si="0"/>
        <v>0.95399673735725943</v>
      </c>
    </row>
    <row r="29" spans="1:7" x14ac:dyDescent="0.25">
      <c r="A29" s="49" t="str">
        <f>'Data Vlaue (Cr)'!C24</f>
        <v>BAJAJHLDNG</v>
      </c>
      <c r="B29" s="50">
        <f>VLOOKUP($A29,'Data shares'!$C:$FM,102)</f>
        <v>38.72</v>
      </c>
      <c r="C29" s="50">
        <f>VLOOKUP($A29,'Data shares'!$C:$FM,110)</f>
        <v>37.93</v>
      </c>
      <c r="D29" s="50">
        <f>VLOOKUP($A29,'Data shares'!$C:$FM,114)</f>
        <v>40.479999999999997</v>
      </c>
      <c r="E29" s="50">
        <f>VLOOKUP($A29,'Data shares'!$C:$FM,106)</f>
        <v>39.26</v>
      </c>
      <c r="F29" s="50">
        <f>VLOOKUP($A29,'Data shares'!$C:$FM,108)</f>
        <v>-0.54</v>
      </c>
      <c r="G29" s="50">
        <f t="shared" si="0"/>
        <v>0.98624554253693331</v>
      </c>
    </row>
    <row r="30" spans="1:7" x14ac:dyDescent="0.25">
      <c r="A30" s="49" t="str">
        <f>'Data Vlaue (Cr)'!C25</f>
        <v>BAJFINANCE</v>
      </c>
      <c r="B30" s="50">
        <f>VLOOKUP($A30,'Data shares'!$C:$FM,102)</f>
        <v>33.869999999999997</v>
      </c>
      <c r="C30" s="50">
        <f>VLOOKUP($A30,'Data shares'!$C:$FM,110)</f>
        <v>32.1</v>
      </c>
      <c r="D30" s="50">
        <f>VLOOKUP($A30,'Data shares'!$C:$FM,114)</f>
        <v>35.85</v>
      </c>
      <c r="E30" s="50">
        <f>VLOOKUP($A30,'Data shares'!$C:$FM,106)</f>
        <v>36.03</v>
      </c>
      <c r="F30" s="50">
        <f>VLOOKUP($A30,'Data shares'!$C:$FM,108)</f>
        <v>-2.16</v>
      </c>
      <c r="G30" s="50">
        <f t="shared" si="0"/>
        <v>0.94004995836802652</v>
      </c>
    </row>
    <row r="31" spans="1:7" x14ac:dyDescent="0.25">
      <c r="A31" s="49" t="str">
        <f>'Data Vlaue (Cr)'!C26</f>
        <v>BANDHANBNK</v>
      </c>
      <c r="B31" s="50">
        <f>VLOOKUP($A31,'Data shares'!$C:$FM,102)</f>
        <v>44.63</v>
      </c>
      <c r="C31" s="50">
        <f>VLOOKUP($A31,'Data shares'!$C:$FM,110)</f>
        <v>43.74</v>
      </c>
      <c r="D31" s="50">
        <f>VLOOKUP($A31,'Data shares'!$C:$FM,114)</f>
        <v>46.03</v>
      </c>
      <c r="E31" s="50">
        <f>VLOOKUP($A31,'Data shares'!$C:$FM,106)</f>
        <v>46.21</v>
      </c>
      <c r="F31" s="50">
        <f>VLOOKUP($A31,'Data shares'!$C:$FM,108)</f>
        <v>-1.58</v>
      </c>
      <c r="G31" s="50">
        <f t="shared" si="0"/>
        <v>0.96580826660895913</v>
      </c>
    </row>
    <row r="32" spans="1:7" x14ac:dyDescent="0.25">
      <c r="A32" s="49" t="str">
        <f>'Data Vlaue (Cr)'!C27</f>
        <v>BANKBARODA</v>
      </c>
      <c r="B32" s="50">
        <f>VLOOKUP($A32,'Data shares'!$C:$FM,102)</f>
        <v>34.94</v>
      </c>
      <c r="C32" s="50">
        <f>VLOOKUP($A32,'Data shares'!$C:$FM,110)</f>
        <v>33.840000000000003</v>
      </c>
      <c r="D32" s="50">
        <f>VLOOKUP($A32,'Data shares'!$C:$FM,114)</f>
        <v>36.520000000000003</v>
      </c>
      <c r="E32" s="50">
        <f>VLOOKUP($A32,'Data shares'!$C:$FM,106)</f>
        <v>37.39</v>
      </c>
      <c r="F32" s="50">
        <f>VLOOKUP($A32,'Data shares'!$C:$FM,108)</f>
        <v>-2.4500000000000002</v>
      </c>
      <c r="G32" s="50">
        <f t="shared" si="0"/>
        <v>0.9344744584113398</v>
      </c>
    </row>
    <row r="33" spans="1:7" x14ac:dyDescent="0.25">
      <c r="A33" s="49" t="str">
        <f>'Data Vlaue (Cr)'!C28</f>
        <v>BANKINDIA</v>
      </c>
      <c r="B33" s="50">
        <f>VLOOKUP($A33,'Data shares'!$C:$FM,102)</f>
        <v>42.36</v>
      </c>
      <c r="C33" s="50">
        <f>VLOOKUP($A33,'Data shares'!$C:$FM,110)</f>
        <v>41.11</v>
      </c>
      <c r="D33" s="50">
        <f>VLOOKUP($A33,'Data shares'!$C:$FM,114)</f>
        <v>44.03</v>
      </c>
      <c r="E33" s="50">
        <f>VLOOKUP($A33,'Data shares'!$C:$FM,106)</f>
        <v>43.32</v>
      </c>
      <c r="F33" s="50">
        <f>VLOOKUP($A33,'Data shares'!$C:$FM,108)</f>
        <v>-0.96</v>
      </c>
      <c r="G33" s="50">
        <f t="shared" si="0"/>
        <v>0.97783933518005539</v>
      </c>
    </row>
    <row r="34" spans="1:7" x14ac:dyDescent="0.25">
      <c r="A34" s="49" t="str">
        <f>'Data Vlaue (Cr)'!C29</f>
        <v>BANKNIFTY</v>
      </c>
      <c r="B34" s="50">
        <f>VLOOKUP($A34,'Data shares'!$C:$FM,102)</f>
        <v>23.38</v>
      </c>
      <c r="C34" s="50">
        <f>VLOOKUP($A34,'Data shares'!$C:$FM,110)</f>
        <v>21.53</v>
      </c>
      <c r="D34" s="50">
        <f>VLOOKUP($A34,'Data shares'!$C:$FM,114)</f>
        <v>25.54</v>
      </c>
      <c r="E34" s="50">
        <f>VLOOKUP($A34,'Data shares'!$C:$FM,106)</f>
        <v>21.36</v>
      </c>
      <c r="F34" s="50">
        <f>VLOOKUP($A34,'Data shares'!$C:$FM,108)</f>
        <v>2.02</v>
      </c>
      <c r="G34" s="50">
        <f t="shared" si="0"/>
        <v>1.0945692883895131</v>
      </c>
    </row>
    <row r="35" spans="1:7" x14ac:dyDescent="0.25">
      <c r="A35" s="49" t="str">
        <f>'Data Vlaue (Cr)'!C30</f>
        <v>BDL</v>
      </c>
      <c r="B35" s="50">
        <f>VLOOKUP($A35,'Data shares'!$C:$FM,102)</f>
        <v>45.85</v>
      </c>
      <c r="C35" s="50">
        <f>VLOOKUP($A35,'Data shares'!$C:$FM,110)</f>
        <v>42.59</v>
      </c>
      <c r="D35" s="50">
        <f>VLOOKUP($A35,'Data shares'!$C:$FM,114)</f>
        <v>50.92</v>
      </c>
      <c r="E35" s="50">
        <f>VLOOKUP($A35,'Data shares'!$C:$FM,106)</f>
        <v>54.06</v>
      </c>
      <c r="F35" s="50">
        <f>VLOOKUP($A35,'Data shares'!$C:$FM,108)</f>
        <v>-8.2100000000000009</v>
      </c>
      <c r="G35" s="50">
        <f t="shared" si="0"/>
        <v>0.84813170551239359</v>
      </c>
    </row>
    <row r="36" spans="1:7" x14ac:dyDescent="0.25">
      <c r="A36" s="49" t="str">
        <f>'Data Vlaue (Cr)'!C31</f>
        <v>BEL</v>
      </c>
      <c r="B36" s="50">
        <f>VLOOKUP($A36,'Data shares'!$C:$FM,102)</f>
        <v>32.99</v>
      </c>
      <c r="C36" s="50">
        <f>VLOOKUP($A36,'Data shares'!$C:$FM,110)</f>
        <v>32.340000000000003</v>
      </c>
      <c r="D36" s="50">
        <f>VLOOKUP($A36,'Data shares'!$C:$FM,114)</f>
        <v>34.619999999999997</v>
      </c>
      <c r="E36" s="50">
        <f>VLOOKUP($A36,'Data shares'!$C:$FM,106)</f>
        <v>37.58</v>
      </c>
      <c r="F36" s="50">
        <f>VLOOKUP($A36,'Data shares'!$C:$FM,108)</f>
        <v>-4.59</v>
      </c>
      <c r="G36" s="50">
        <f t="shared" si="0"/>
        <v>0.87786056412985636</v>
      </c>
    </row>
    <row r="37" spans="1:7" x14ac:dyDescent="0.25">
      <c r="A37" s="49" t="str">
        <f>'Data Vlaue (Cr)'!C32</f>
        <v>BHARATFORG</v>
      </c>
      <c r="B37" s="50">
        <f>VLOOKUP($A37,'Data shares'!$C:$FM,102)</f>
        <v>36.9</v>
      </c>
      <c r="C37" s="50">
        <f>VLOOKUP($A37,'Data shares'!$C:$FM,110)</f>
        <v>36.19</v>
      </c>
      <c r="D37" s="50">
        <f>VLOOKUP($A37,'Data shares'!$C:$FM,114)</f>
        <v>38.159999999999997</v>
      </c>
      <c r="E37" s="50">
        <f>VLOOKUP($A37,'Data shares'!$C:$FM,106)</f>
        <v>40.08</v>
      </c>
      <c r="F37" s="50">
        <f>VLOOKUP($A37,'Data shares'!$C:$FM,108)</f>
        <v>-3.18</v>
      </c>
      <c r="G37" s="50">
        <f t="shared" si="0"/>
        <v>0.9206586826347305</v>
      </c>
    </row>
    <row r="38" spans="1:7" x14ac:dyDescent="0.25">
      <c r="A38" s="49" t="str">
        <f>'Data Vlaue (Cr)'!C33</f>
        <v>BHARTIARTL</v>
      </c>
      <c r="B38" s="50">
        <f>VLOOKUP($A38,'Data shares'!$C:$FM,102)</f>
        <v>22.61</v>
      </c>
      <c r="C38" s="50">
        <f>VLOOKUP($A38,'Data shares'!$C:$FM,110)</f>
        <v>21.76</v>
      </c>
      <c r="D38" s="50">
        <f>VLOOKUP($A38,'Data shares'!$C:$FM,114)</f>
        <v>24.11</v>
      </c>
      <c r="E38" s="50">
        <f>VLOOKUP($A38,'Data shares'!$C:$FM,106)</f>
        <v>24.45</v>
      </c>
      <c r="F38" s="50">
        <f>VLOOKUP($A38,'Data shares'!$C:$FM,108)</f>
        <v>-1.84</v>
      </c>
      <c r="G38" s="50">
        <f t="shared" si="0"/>
        <v>0.92474437627811856</v>
      </c>
    </row>
    <row r="39" spans="1:7" x14ac:dyDescent="0.25">
      <c r="A39" s="49" t="str">
        <f>'Data Vlaue (Cr)'!C34</f>
        <v>BHEL</v>
      </c>
      <c r="B39" s="50">
        <f>VLOOKUP($A39,'Data shares'!$C:$FM,102)</f>
        <v>38.630000000000003</v>
      </c>
      <c r="C39" s="50">
        <f>VLOOKUP($A39,'Data shares'!$C:$FM,110)</f>
        <v>37.46</v>
      </c>
      <c r="D39" s="50">
        <f>VLOOKUP($A39,'Data shares'!$C:$FM,114)</f>
        <v>41.44</v>
      </c>
      <c r="E39" s="50">
        <f>VLOOKUP($A39,'Data shares'!$C:$FM,106)</f>
        <v>47.02</v>
      </c>
      <c r="F39" s="50">
        <f>VLOOKUP($A39,'Data shares'!$C:$FM,108)</f>
        <v>-8.39</v>
      </c>
      <c r="G39" s="50">
        <f t="shared" ref="G39:G70" si="1">B39/E39</f>
        <v>0.82156529136537648</v>
      </c>
    </row>
    <row r="40" spans="1:7" x14ac:dyDescent="0.25">
      <c r="A40" s="49" t="str">
        <f>'Data Vlaue (Cr)'!C35</f>
        <v>BIOCON</v>
      </c>
      <c r="B40" s="50">
        <f>VLOOKUP($A40,'Data shares'!$C:$FM,102)</f>
        <v>36.57</v>
      </c>
      <c r="C40" s="50">
        <f>VLOOKUP($A40,'Data shares'!$C:$FM,110)</f>
        <v>36.31</v>
      </c>
      <c r="D40" s="50">
        <f>VLOOKUP($A40,'Data shares'!$C:$FM,114)</f>
        <v>37.21</v>
      </c>
      <c r="E40" s="50">
        <f>VLOOKUP($A40,'Data shares'!$C:$FM,106)</f>
        <v>36.6</v>
      </c>
      <c r="F40" s="50">
        <f>VLOOKUP($A40,'Data shares'!$C:$FM,108)</f>
        <v>-0.03</v>
      </c>
      <c r="G40" s="50">
        <f t="shared" si="1"/>
        <v>0.99918032786885247</v>
      </c>
    </row>
    <row r="41" spans="1:7" x14ac:dyDescent="0.25">
      <c r="A41" s="49" t="str">
        <f>'Data Vlaue (Cr)'!C36</f>
        <v>BLUESTARCO</v>
      </c>
      <c r="B41" s="50">
        <f>VLOOKUP($A41,'Data shares'!$C:$FM,102)</f>
        <v>43.28</v>
      </c>
      <c r="C41" s="50">
        <f>VLOOKUP($A41,'Data shares'!$C:$FM,110)</f>
        <v>41.88</v>
      </c>
      <c r="D41" s="50">
        <f>VLOOKUP($A41,'Data shares'!$C:$FM,114)</f>
        <v>47.24</v>
      </c>
      <c r="E41" s="50">
        <f>VLOOKUP($A41,'Data shares'!$C:$FM,106)</f>
        <v>42.43</v>
      </c>
      <c r="F41" s="50">
        <f>VLOOKUP($A41,'Data shares'!$C:$FM,108)</f>
        <v>0.85</v>
      </c>
      <c r="G41" s="50">
        <f t="shared" si="1"/>
        <v>1.0200329955220364</v>
      </c>
    </row>
    <row r="42" spans="1:7" x14ac:dyDescent="0.25">
      <c r="A42" s="49" t="str">
        <f>'Data Vlaue (Cr)'!C37</f>
        <v>BOSCHLTD</v>
      </c>
      <c r="B42" s="50">
        <f>VLOOKUP($A42,'Data shares'!$C:$FM,102)</f>
        <v>42.37</v>
      </c>
      <c r="C42" s="50">
        <f>VLOOKUP($A42,'Data shares'!$C:$FM,110)</f>
        <v>41.96</v>
      </c>
      <c r="D42" s="50">
        <f>VLOOKUP($A42,'Data shares'!$C:$FM,114)</f>
        <v>43.61</v>
      </c>
      <c r="E42" s="50">
        <f>VLOOKUP($A42,'Data shares'!$C:$FM,106)</f>
        <v>35.18</v>
      </c>
      <c r="F42" s="50">
        <f>VLOOKUP($A42,'Data shares'!$C:$FM,108)</f>
        <v>7.19</v>
      </c>
      <c r="G42" s="50">
        <f t="shared" si="1"/>
        <v>1.2043774872086412</v>
      </c>
    </row>
    <row r="43" spans="1:7" x14ac:dyDescent="0.25">
      <c r="A43" s="49" t="str">
        <f>'Data Vlaue (Cr)'!C38</f>
        <v>BPCL</v>
      </c>
      <c r="B43" s="50">
        <f>VLOOKUP($A43,'Data shares'!$C:$FM,102)</f>
        <v>39.99</v>
      </c>
      <c r="C43" s="50">
        <f>VLOOKUP($A43,'Data shares'!$C:$FM,110)</f>
        <v>38.31</v>
      </c>
      <c r="D43" s="50">
        <f>VLOOKUP($A43,'Data shares'!$C:$FM,114)</f>
        <v>42.39</v>
      </c>
      <c r="E43" s="50">
        <f>VLOOKUP($A43,'Data shares'!$C:$FM,106)</f>
        <v>36.74</v>
      </c>
      <c r="F43" s="50">
        <f>VLOOKUP($A43,'Data shares'!$C:$FM,108)</f>
        <v>3.25</v>
      </c>
      <c r="G43" s="50">
        <f t="shared" si="1"/>
        <v>1.0884594447468698</v>
      </c>
    </row>
    <row r="44" spans="1:7" x14ac:dyDescent="0.25">
      <c r="A44" s="49" t="str">
        <f>'Data Vlaue (Cr)'!C39</f>
        <v>BRITANNIA</v>
      </c>
      <c r="B44" s="50">
        <f>VLOOKUP($A44,'Data shares'!$C:$FM,102)</f>
        <v>27.96</v>
      </c>
      <c r="C44" s="50">
        <f>VLOOKUP($A44,'Data shares'!$C:$FM,110)</f>
        <v>27.42</v>
      </c>
      <c r="D44" s="50">
        <f>VLOOKUP($A44,'Data shares'!$C:$FM,114)</f>
        <v>28.75</v>
      </c>
      <c r="E44" s="50">
        <f>VLOOKUP($A44,'Data shares'!$C:$FM,106)</f>
        <v>24.64</v>
      </c>
      <c r="F44" s="50">
        <f>VLOOKUP($A44,'Data shares'!$C:$FM,108)</f>
        <v>3.32</v>
      </c>
      <c r="G44" s="50">
        <f t="shared" si="1"/>
        <v>1.1347402597402598</v>
      </c>
    </row>
    <row r="45" spans="1:7" x14ac:dyDescent="0.25">
      <c r="A45" s="49" t="str">
        <f>'Data Vlaue (Cr)'!C40</f>
        <v>BSE</v>
      </c>
      <c r="B45" s="50">
        <f>VLOOKUP($A45,'Data shares'!$C:$FM,102)</f>
        <v>47.85</v>
      </c>
      <c r="C45" s="50">
        <f>VLOOKUP($A45,'Data shares'!$C:$FM,110)</f>
        <v>45.63</v>
      </c>
      <c r="D45" s="50">
        <f>VLOOKUP($A45,'Data shares'!$C:$FM,114)</f>
        <v>51.98</v>
      </c>
      <c r="E45" s="50">
        <f>VLOOKUP($A45,'Data shares'!$C:$FM,106)</f>
        <v>59.71</v>
      </c>
      <c r="F45" s="50">
        <f>VLOOKUP($A45,'Data shares'!$C:$FM,108)</f>
        <v>-11.86</v>
      </c>
      <c r="G45" s="50">
        <f t="shared" si="1"/>
        <v>0.80137330430413667</v>
      </c>
    </row>
    <row r="46" spans="1:7" x14ac:dyDescent="0.25">
      <c r="A46" s="49" t="str">
        <f>'Data Vlaue (Cr)'!C41</f>
        <v>CAMS</v>
      </c>
      <c r="B46" s="50">
        <f>VLOOKUP($A46,'Data shares'!$C:$FM,102)</f>
        <v>34.51</v>
      </c>
      <c r="C46" s="50">
        <f>VLOOKUP($A46,'Data shares'!$C:$FM,110)</f>
        <v>33.840000000000003</v>
      </c>
      <c r="D46" s="50">
        <f>VLOOKUP($A46,'Data shares'!$C:$FM,114)</f>
        <v>35.97</v>
      </c>
      <c r="E46" s="50">
        <f>VLOOKUP($A46,'Data shares'!$C:$FM,106)</f>
        <v>40.86</v>
      </c>
      <c r="F46" s="50">
        <f>VLOOKUP($A46,'Data shares'!$C:$FM,108)</f>
        <v>-6.35</v>
      </c>
      <c r="G46" s="50">
        <f t="shared" si="1"/>
        <v>0.84459128732256483</v>
      </c>
    </row>
    <row r="47" spans="1:7" x14ac:dyDescent="0.25">
      <c r="A47" s="49" t="str">
        <f>'Data Vlaue (Cr)'!C42</f>
        <v>CANBK</v>
      </c>
      <c r="B47" s="50">
        <f>VLOOKUP($A47,'Data shares'!$C:$FM,102)</f>
        <v>37.28</v>
      </c>
      <c r="C47" s="50">
        <f>VLOOKUP($A47,'Data shares'!$C:$FM,110)</f>
        <v>36.61</v>
      </c>
      <c r="D47" s="50">
        <f>VLOOKUP($A47,'Data shares'!$C:$FM,114)</f>
        <v>38.39</v>
      </c>
      <c r="E47" s="50">
        <f>VLOOKUP($A47,'Data shares'!$C:$FM,106)</f>
        <v>39.42</v>
      </c>
      <c r="F47" s="50">
        <f>VLOOKUP($A47,'Data shares'!$C:$FM,108)</f>
        <v>-2.14</v>
      </c>
      <c r="G47" s="50">
        <f t="shared" si="1"/>
        <v>0.94571283612379498</v>
      </c>
    </row>
    <row r="48" spans="1:7" x14ac:dyDescent="0.25">
      <c r="A48" s="49" t="str">
        <f>'Data Vlaue (Cr)'!C43</f>
        <v>CDSL</v>
      </c>
      <c r="B48" s="50">
        <f>VLOOKUP($A48,'Data shares'!$C:$FM,102)</f>
        <v>37.82</v>
      </c>
      <c r="C48" s="50">
        <f>VLOOKUP($A48,'Data shares'!$C:$FM,110)</f>
        <v>36.9</v>
      </c>
      <c r="D48" s="50">
        <f>VLOOKUP($A48,'Data shares'!$C:$FM,114)</f>
        <v>40.25</v>
      </c>
      <c r="E48" s="50">
        <f>VLOOKUP($A48,'Data shares'!$C:$FM,106)</f>
        <v>46.85</v>
      </c>
      <c r="F48" s="50">
        <f>VLOOKUP($A48,'Data shares'!$C:$FM,108)</f>
        <v>-9.0299999999999994</v>
      </c>
      <c r="G48" s="50">
        <f t="shared" si="1"/>
        <v>0.80725720384204902</v>
      </c>
    </row>
    <row r="49" spans="1:7" x14ac:dyDescent="0.25">
      <c r="A49" s="49" t="str">
        <f>'Data Vlaue (Cr)'!C44</f>
        <v>CGPOWER</v>
      </c>
      <c r="B49" s="50">
        <f>VLOOKUP($A49,'Data shares'!$C:$FM,102)</f>
        <v>37.25</v>
      </c>
      <c r="C49" s="50">
        <f>VLOOKUP($A49,'Data shares'!$C:$FM,110)</f>
        <v>36.69</v>
      </c>
      <c r="D49" s="50">
        <f>VLOOKUP($A49,'Data shares'!$C:$FM,114)</f>
        <v>38.200000000000003</v>
      </c>
      <c r="E49" s="50">
        <f>VLOOKUP($A49,'Data shares'!$C:$FM,106)</f>
        <v>42.31</v>
      </c>
      <c r="F49" s="50">
        <f>VLOOKUP($A49,'Data shares'!$C:$FM,108)</f>
        <v>-5.0599999999999996</v>
      </c>
      <c r="G49" s="50">
        <f t="shared" si="1"/>
        <v>0.88040652328054825</v>
      </c>
    </row>
    <row r="50" spans="1:7" x14ac:dyDescent="0.25">
      <c r="A50" s="49" t="str">
        <f>'Data Vlaue (Cr)'!C45</f>
        <v>CHOLAFIN</v>
      </c>
      <c r="B50" s="50">
        <f>VLOOKUP($A50,'Data shares'!$C:$FM,102)</f>
        <v>35.270000000000003</v>
      </c>
      <c r="C50" s="50">
        <f>VLOOKUP($A50,'Data shares'!$C:$FM,110)</f>
        <v>33.85</v>
      </c>
      <c r="D50" s="50">
        <f>VLOOKUP($A50,'Data shares'!$C:$FM,114)</f>
        <v>36.68</v>
      </c>
      <c r="E50" s="50">
        <f>VLOOKUP($A50,'Data shares'!$C:$FM,106)</f>
        <v>40.58</v>
      </c>
      <c r="F50" s="50">
        <f>VLOOKUP($A50,'Data shares'!$C:$FM,108)</f>
        <v>-5.31</v>
      </c>
      <c r="G50" s="50">
        <f t="shared" si="1"/>
        <v>0.86914736323311992</v>
      </c>
    </row>
    <row r="51" spans="1:7" x14ac:dyDescent="0.25">
      <c r="A51" s="49" t="str">
        <f>'Data Vlaue (Cr)'!C46</f>
        <v>CIPLA</v>
      </c>
      <c r="B51" s="50">
        <f>VLOOKUP($A51,'Data shares'!$C:$FM,102)</f>
        <v>25.1</v>
      </c>
      <c r="C51" s="50">
        <f>VLOOKUP($A51,'Data shares'!$C:$FM,110)</f>
        <v>24.85</v>
      </c>
      <c r="D51" s="50">
        <f>VLOOKUP($A51,'Data shares'!$C:$FM,114)</f>
        <v>26.05</v>
      </c>
      <c r="E51" s="50">
        <f>VLOOKUP($A51,'Data shares'!$C:$FM,106)</f>
        <v>25.15</v>
      </c>
      <c r="F51" s="50">
        <f>VLOOKUP($A51,'Data shares'!$C:$FM,108)</f>
        <v>-0.05</v>
      </c>
      <c r="G51" s="50">
        <f t="shared" si="1"/>
        <v>0.99801192842942354</v>
      </c>
    </row>
    <row r="52" spans="1:7" x14ac:dyDescent="0.25">
      <c r="A52" s="49" t="str">
        <f>'Data Vlaue (Cr)'!C47</f>
        <v>COALINDIA</v>
      </c>
      <c r="B52" s="50">
        <f>VLOOKUP($A52,'Data shares'!$C:$FM,102)</f>
        <v>28.22</v>
      </c>
      <c r="C52" s="50">
        <f>VLOOKUP($A52,'Data shares'!$C:$FM,110)</f>
        <v>28.1</v>
      </c>
      <c r="D52" s="50">
        <f>VLOOKUP($A52,'Data shares'!$C:$FM,114)</f>
        <v>28.53</v>
      </c>
      <c r="E52" s="50">
        <f>VLOOKUP($A52,'Data shares'!$C:$FM,106)</f>
        <v>30.71</v>
      </c>
      <c r="F52" s="50">
        <f>VLOOKUP($A52,'Data shares'!$C:$FM,108)</f>
        <v>-2.4900000000000002</v>
      </c>
      <c r="G52" s="50">
        <f t="shared" si="1"/>
        <v>0.91891891891891886</v>
      </c>
    </row>
    <row r="53" spans="1:7" x14ac:dyDescent="0.25">
      <c r="A53" s="49" t="str">
        <f>'Data Vlaue (Cr)'!C48</f>
        <v>COCHINSHIP</v>
      </c>
      <c r="B53" s="50">
        <f>VLOOKUP($A53,'Data shares'!$C:$FM,102)</f>
        <v>55.06</v>
      </c>
      <c r="C53" s="50">
        <f>VLOOKUP($A53,'Data shares'!$C:$FM,110)</f>
        <v>54.34</v>
      </c>
      <c r="D53" s="50">
        <f>VLOOKUP($A53,'Data shares'!$C:$FM,114)</f>
        <v>57.64</v>
      </c>
      <c r="E53" s="50">
        <f>VLOOKUP($A53,'Data shares'!$C:$FM,106)</f>
        <v>54.93</v>
      </c>
      <c r="F53" s="50">
        <f>VLOOKUP($A53,'Data shares'!$C:$FM,108)</f>
        <v>0.13</v>
      </c>
      <c r="G53" s="50">
        <f t="shared" si="1"/>
        <v>1.0023666484616784</v>
      </c>
    </row>
    <row r="54" spans="1:7" x14ac:dyDescent="0.25">
      <c r="A54" s="49" t="str">
        <f>'Data Vlaue (Cr)'!C49</f>
        <v>COFORGE</v>
      </c>
      <c r="B54" s="50">
        <f>VLOOKUP($A54,'Data shares'!$C:$FM,102)</f>
        <v>42.9</v>
      </c>
      <c r="C54" s="50">
        <f>VLOOKUP($A54,'Data shares'!$C:$FM,110)</f>
        <v>41.87</v>
      </c>
      <c r="D54" s="50">
        <f>VLOOKUP($A54,'Data shares'!$C:$FM,114)</f>
        <v>45</v>
      </c>
      <c r="E54" s="50">
        <f>VLOOKUP($A54,'Data shares'!$C:$FM,106)</f>
        <v>43.04</v>
      </c>
      <c r="F54" s="50">
        <f>VLOOKUP($A54,'Data shares'!$C:$FM,108)</f>
        <v>-0.14000000000000001</v>
      </c>
      <c r="G54" s="50">
        <f t="shared" si="1"/>
        <v>0.99674721189591076</v>
      </c>
    </row>
    <row r="55" spans="1:7" x14ac:dyDescent="0.25">
      <c r="A55" s="49" t="str">
        <f>'Data Vlaue (Cr)'!C50</f>
        <v>COLPAL</v>
      </c>
      <c r="B55" s="50">
        <f>VLOOKUP($A55,'Data shares'!$C:$FM,102)</f>
        <v>29.71</v>
      </c>
      <c r="C55" s="50">
        <f>VLOOKUP($A55,'Data shares'!$C:$FM,110)</f>
        <v>29.12</v>
      </c>
      <c r="D55" s="50">
        <f>VLOOKUP($A55,'Data shares'!$C:$FM,114)</f>
        <v>31.61</v>
      </c>
      <c r="E55" s="50">
        <f>VLOOKUP($A55,'Data shares'!$C:$FM,106)</f>
        <v>29.67</v>
      </c>
      <c r="F55" s="50">
        <f>VLOOKUP($A55,'Data shares'!$C:$FM,108)</f>
        <v>0.04</v>
      </c>
      <c r="G55" s="50">
        <f t="shared" si="1"/>
        <v>1.0013481631277383</v>
      </c>
    </row>
    <row r="56" spans="1:7" x14ac:dyDescent="0.25">
      <c r="A56" s="49" t="str">
        <f>'Data Vlaue (Cr)'!C51</f>
        <v>CONCOR</v>
      </c>
      <c r="B56" s="50">
        <f>VLOOKUP($A56,'Data shares'!$C:$FM,102)</f>
        <v>32.69</v>
      </c>
      <c r="C56" s="50">
        <f>VLOOKUP($A56,'Data shares'!$C:$FM,110)</f>
        <v>32.22</v>
      </c>
      <c r="D56" s="50">
        <f>VLOOKUP($A56,'Data shares'!$C:$FM,114)</f>
        <v>34.93</v>
      </c>
      <c r="E56" s="50">
        <f>VLOOKUP($A56,'Data shares'!$C:$FM,106)</f>
        <v>35.22</v>
      </c>
      <c r="F56" s="50">
        <f>VLOOKUP($A56,'Data shares'!$C:$FM,108)</f>
        <v>-2.5299999999999998</v>
      </c>
      <c r="G56" s="50">
        <f t="shared" si="1"/>
        <v>0.92816581487791028</v>
      </c>
    </row>
    <row r="57" spans="1:7" x14ac:dyDescent="0.25">
      <c r="A57" s="49" t="str">
        <f>'Data Vlaue (Cr)'!C52</f>
        <v>CROMPTON</v>
      </c>
      <c r="B57" s="50">
        <f>VLOOKUP($A57,'Data shares'!$C:$FM,102)</f>
        <v>40.39</v>
      </c>
      <c r="C57" s="50">
        <f>VLOOKUP($A57,'Data shares'!$C:$FM,110)</f>
        <v>39.22</v>
      </c>
      <c r="D57" s="50">
        <f>VLOOKUP($A57,'Data shares'!$C:$FM,114)</f>
        <v>42.49</v>
      </c>
      <c r="E57" s="50">
        <f>VLOOKUP($A57,'Data shares'!$C:$FM,106)</f>
        <v>34.64</v>
      </c>
      <c r="F57" s="50">
        <f>VLOOKUP($A57,'Data shares'!$C:$FM,108)</f>
        <v>5.75</v>
      </c>
      <c r="G57" s="50">
        <f t="shared" si="1"/>
        <v>1.1659930715935334</v>
      </c>
    </row>
    <row r="58" spans="1:7" x14ac:dyDescent="0.25">
      <c r="A58" s="49" t="str">
        <f>'Data Vlaue (Cr)'!C53</f>
        <v>CUMMINSIND</v>
      </c>
      <c r="B58" s="50">
        <f>VLOOKUP($A58,'Data shares'!$C:$FM,102)</f>
        <v>33.86</v>
      </c>
      <c r="C58" s="50">
        <f>VLOOKUP($A58,'Data shares'!$C:$FM,110)</f>
        <v>32.61</v>
      </c>
      <c r="D58" s="50">
        <f>VLOOKUP($A58,'Data shares'!$C:$FM,114)</f>
        <v>37.630000000000003</v>
      </c>
      <c r="E58" s="50">
        <f>VLOOKUP($A58,'Data shares'!$C:$FM,106)</f>
        <v>35.78</v>
      </c>
      <c r="F58" s="50">
        <f>VLOOKUP($A58,'Data shares'!$C:$FM,108)</f>
        <v>-1.92</v>
      </c>
      <c r="G58" s="50">
        <f t="shared" si="1"/>
        <v>0.94633873672442703</v>
      </c>
    </row>
    <row r="59" spans="1:7" x14ac:dyDescent="0.25">
      <c r="A59" s="49" t="str">
        <f>'Data Vlaue (Cr)'!C54</f>
        <v>DABUR</v>
      </c>
      <c r="B59" s="50">
        <f>VLOOKUP($A59,'Data shares'!$C:$FM,102)</f>
        <v>27.01</v>
      </c>
      <c r="C59" s="50">
        <f>VLOOKUP($A59,'Data shares'!$C:$FM,110)</f>
        <v>26.74</v>
      </c>
      <c r="D59" s="50">
        <f>VLOOKUP($A59,'Data shares'!$C:$FM,114)</f>
        <v>27.89</v>
      </c>
      <c r="E59" s="50">
        <f>VLOOKUP($A59,'Data shares'!$C:$FM,106)</f>
        <v>26.63</v>
      </c>
      <c r="F59" s="50">
        <f>VLOOKUP($A59,'Data shares'!$C:$FM,108)</f>
        <v>0.38</v>
      </c>
      <c r="G59" s="50">
        <f t="shared" si="1"/>
        <v>1.0142696207285018</v>
      </c>
    </row>
    <row r="60" spans="1:7" x14ac:dyDescent="0.25">
      <c r="A60" s="49" t="str">
        <f>'Data Vlaue (Cr)'!C55</f>
        <v>DALBHARAT</v>
      </c>
      <c r="B60" s="50">
        <f>VLOOKUP($A60,'Data shares'!$C:$FM,102)</f>
        <v>39.35</v>
      </c>
      <c r="C60" s="50">
        <f>VLOOKUP($A60,'Data shares'!$C:$FM,110)</f>
        <v>38.08</v>
      </c>
      <c r="D60" s="50">
        <f>VLOOKUP($A60,'Data shares'!$C:$FM,114)</f>
        <v>41.33</v>
      </c>
      <c r="E60" s="50">
        <f>VLOOKUP($A60,'Data shares'!$C:$FM,106)</f>
        <v>34.29</v>
      </c>
      <c r="F60" s="50">
        <f>VLOOKUP($A60,'Data shares'!$C:$FM,108)</f>
        <v>5.0599999999999996</v>
      </c>
      <c r="G60" s="50">
        <f t="shared" si="1"/>
        <v>1.1475648877223681</v>
      </c>
    </row>
    <row r="61" spans="1:7" x14ac:dyDescent="0.25">
      <c r="A61" s="49" t="str">
        <f>'Data Vlaue (Cr)'!C56</f>
        <v>DELHIVERY</v>
      </c>
      <c r="B61" s="50">
        <f>VLOOKUP($A61,'Data shares'!$C:$FM,102)</f>
        <v>35.6</v>
      </c>
      <c r="C61" s="50">
        <f>VLOOKUP($A61,'Data shares'!$C:$FM,110)</f>
        <v>35.28</v>
      </c>
      <c r="D61" s="50">
        <f>VLOOKUP($A61,'Data shares'!$C:$FM,114)</f>
        <v>36.4</v>
      </c>
      <c r="E61" s="50">
        <f>VLOOKUP($A61,'Data shares'!$C:$FM,106)</f>
        <v>39.86</v>
      </c>
      <c r="F61" s="50">
        <f>VLOOKUP($A61,'Data shares'!$C:$FM,108)</f>
        <v>-4.26</v>
      </c>
      <c r="G61" s="50">
        <f t="shared" si="1"/>
        <v>0.89312594079277474</v>
      </c>
    </row>
    <row r="62" spans="1:7" x14ac:dyDescent="0.25">
      <c r="A62" s="49" t="str">
        <f>'Data Vlaue (Cr)'!C57</f>
        <v>DIVISLAB</v>
      </c>
      <c r="B62" s="50">
        <f>VLOOKUP($A62,'Data shares'!$C:$FM,102)</f>
        <v>28.17</v>
      </c>
      <c r="C62" s="50">
        <f>VLOOKUP($A62,'Data shares'!$C:$FM,110)</f>
        <v>27.7</v>
      </c>
      <c r="D62" s="50">
        <f>VLOOKUP($A62,'Data shares'!$C:$FM,114)</f>
        <v>29.43</v>
      </c>
      <c r="E62" s="50">
        <f>VLOOKUP($A62,'Data shares'!$C:$FM,106)</f>
        <v>29.64</v>
      </c>
      <c r="F62" s="50">
        <f>VLOOKUP($A62,'Data shares'!$C:$FM,108)</f>
        <v>-1.47</v>
      </c>
      <c r="G62" s="50">
        <f t="shared" si="1"/>
        <v>0.9504048582995952</v>
      </c>
    </row>
    <row r="63" spans="1:7" x14ac:dyDescent="0.25">
      <c r="A63" s="49" t="str">
        <f>'Data Vlaue (Cr)'!C58</f>
        <v>DIXON</v>
      </c>
      <c r="B63" s="50">
        <f>VLOOKUP($A63,'Data shares'!$C:$FM,102)</f>
        <v>51.46</v>
      </c>
      <c r="C63" s="50">
        <f>VLOOKUP($A63,'Data shares'!$C:$FM,110)</f>
        <v>50.38</v>
      </c>
      <c r="D63" s="50">
        <f>VLOOKUP($A63,'Data shares'!$C:$FM,114)</f>
        <v>53.53</v>
      </c>
      <c r="E63" s="50">
        <f>VLOOKUP($A63,'Data shares'!$C:$FM,106)</f>
        <v>49.34</v>
      </c>
      <c r="F63" s="50">
        <f>VLOOKUP($A63,'Data shares'!$C:$FM,108)</f>
        <v>2.12</v>
      </c>
      <c r="G63" s="50">
        <f t="shared" si="1"/>
        <v>1.0429671665991083</v>
      </c>
    </row>
    <row r="64" spans="1:7" x14ac:dyDescent="0.25">
      <c r="A64" s="49" t="str">
        <f>'Data Vlaue (Cr)'!C59</f>
        <v>DLF</v>
      </c>
      <c r="B64" s="50">
        <f>VLOOKUP($A64,'Data shares'!$C:$FM,102)</f>
        <v>36.520000000000003</v>
      </c>
      <c r="C64" s="50">
        <f>VLOOKUP($A64,'Data shares'!$C:$FM,110)</f>
        <v>36.270000000000003</v>
      </c>
      <c r="D64" s="50">
        <f>VLOOKUP($A64,'Data shares'!$C:$FM,114)</f>
        <v>36.92</v>
      </c>
      <c r="E64" s="50">
        <f>VLOOKUP($A64,'Data shares'!$C:$FM,106)</f>
        <v>38.130000000000003</v>
      </c>
      <c r="F64" s="50">
        <f>VLOOKUP($A64,'Data shares'!$C:$FM,108)</f>
        <v>-1.61</v>
      </c>
      <c r="G64" s="50">
        <f t="shared" si="1"/>
        <v>0.95777602937319695</v>
      </c>
    </row>
    <row r="65" spans="1:7" x14ac:dyDescent="0.25">
      <c r="A65" s="49" t="str">
        <f>'Data Vlaue (Cr)'!C60</f>
        <v>DMART</v>
      </c>
      <c r="B65" s="50">
        <f>VLOOKUP($A65,'Data shares'!$C:$FM,102)</f>
        <v>32.299999999999997</v>
      </c>
      <c r="C65" s="50">
        <f>VLOOKUP($A65,'Data shares'!$C:$FM,110)</f>
        <v>31.7</v>
      </c>
      <c r="D65" s="50">
        <f>VLOOKUP($A65,'Data shares'!$C:$FM,114)</f>
        <v>33.340000000000003</v>
      </c>
      <c r="E65" s="50">
        <f>VLOOKUP($A65,'Data shares'!$C:$FM,106)</f>
        <v>32.93</v>
      </c>
      <c r="F65" s="50">
        <f>VLOOKUP($A65,'Data shares'!$C:$FM,108)</f>
        <v>-0.63</v>
      </c>
      <c r="G65" s="50">
        <f t="shared" si="1"/>
        <v>0.9808685089583965</v>
      </c>
    </row>
    <row r="66" spans="1:7" x14ac:dyDescent="0.25">
      <c r="A66" s="49" t="str">
        <f>'Data Vlaue (Cr)'!C61</f>
        <v>DRREDDY</v>
      </c>
      <c r="B66" s="50">
        <f>VLOOKUP($A66,'Data shares'!$C:$FM,102)</f>
        <v>26.7</v>
      </c>
      <c r="C66" s="50">
        <f>VLOOKUP($A66,'Data shares'!$C:$FM,110)</f>
        <v>25.77</v>
      </c>
      <c r="D66" s="50">
        <f>VLOOKUP($A66,'Data shares'!$C:$FM,114)</f>
        <v>28.07</v>
      </c>
      <c r="E66" s="50">
        <f>VLOOKUP($A66,'Data shares'!$C:$FM,106)</f>
        <v>26.14</v>
      </c>
      <c r="F66" s="50">
        <f>VLOOKUP($A66,'Data shares'!$C:$FM,108)</f>
        <v>0.56000000000000005</v>
      </c>
      <c r="G66" s="50">
        <f t="shared" si="1"/>
        <v>1.0214231063504207</v>
      </c>
    </row>
    <row r="67" spans="1:7" x14ac:dyDescent="0.25">
      <c r="A67" s="49" t="str">
        <f>'Data Vlaue (Cr)'!C62</f>
        <v>EICHERMOT</v>
      </c>
      <c r="B67" s="50">
        <f>VLOOKUP($A67,'Data shares'!$C:$FM,102)</f>
        <v>32.159999999999997</v>
      </c>
      <c r="C67" s="50">
        <f>VLOOKUP($A67,'Data shares'!$C:$FM,110)</f>
        <v>30.58</v>
      </c>
      <c r="D67" s="50">
        <f>VLOOKUP($A67,'Data shares'!$C:$FM,114)</f>
        <v>34.17</v>
      </c>
      <c r="E67" s="50">
        <f>VLOOKUP($A67,'Data shares'!$C:$FM,106)</f>
        <v>33.11</v>
      </c>
      <c r="F67" s="50">
        <f>VLOOKUP($A67,'Data shares'!$C:$FM,108)</f>
        <v>-0.95</v>
      </c>
      <c r="G67" s="50">
        <f t="shared" si="1"/>
        <v>0.97130776200543634</v>
      </c>
    </row>
    <row r="68" spans="1:7" x14ac:dyDescent="0.25">
      <c r="A68" s="49" t="str">
        <f>'Data Vlaue (Cr)'!C63</f>
        <v>ETERNAL</v>
      </c>
      <c r="B68" s="50">
        <f>VLOOKUP($A68,'Data shares'!$C:$FM,102)</f>
        <v>46.65</v>
      </c>
      <c r="C68" s="50">
        <f>VLOOKUP($A68,'Data shares'!$C:$FM,110)</f>
        <v>45.26</v>
      </c>
      <c r="D68" s="50">
        <f>VLOOKUP($A68,'Data shares'!$C:$FM,114)</f>
        <v>49.47</v>
      </c>
      <c r="E68" s="50">
        <f>VLOOKUP($A68,'Data shares'!$C:$FM,106)</f>
        <v>46.26</v>
      </c>
      <c r="F68" s="50">
        <f>VLOOKUP($A68,'Data shares'!$C:$FM,108)</f>
        <v>0.39</v>
      </c>
      <c r="G68" s="50">
        <f t="shared" si="1"/>
        <v>1.0084306095979247</v>
      </c>
    </row>
    <row r="69" spans="1:7" x14ac:dyDescent="0.25">
      <c r="A69" s="49" t="str">
        <f>'Data Vlaue (Cr)'!C64</f>
        <v>EXIDEIND</v>
      </c>
      <c r="B69" s="50">
        <f>VLOOKUP($A69,'Data shares'!$C:$FM,102)</f>
        <v>38.39</v>
      </c>
      <c r="C69" s="50">
        <f>VLOOKUP($A69,'Data shares'!$C:$FM,110)</f>
        <v>37.08</v>
      </c>
      <c r="D69" s="50">
        <f>VLOOKUP($A69,'Data shares'!$C:$FM,114)</f>
        <v>39.51</v>
      </c>
      <c r="E69" s="50">
        <f>VLOOKUP($A69,'Data shares'!$C:$FM,106)</f>
        <v>35.33</v>
      </c>
      <c r="F69" s="50">
        <f>VLOOKUP($A69,'Data shares'!$C:$FM,108)</f>
        <v>3.06</v>
      </c>
      <c r="G69" s="50">
        <f t="shared" si="1"/>
        <v>1.0866119445230682</v>
      </c>
    </row>
    <row r="70" spans="1:7" x14ac:dyDescent="0.25">
      <c r="A70" s="49" t="str">
        <f>'Data Vlaue (Cr)'!C65</f>
        <v>FEDERALBNK</v>
      </c>
      <c r="B70" s="50">
        <f>VLOOKUP($A70,'Data shares'!$C:$FM,102)</f>
        <v>30.73</v>
      </c>
      <c r="C70" s="50">
        <f>VLOOKUP($A70,'Data shares'!$C:$FM,110)</f>
        <v>29.35</v>
      </c>
      <c r="D70" s="50">
        <f>VLOOKUP($A70,'Data shares'!$C:$FM,114)</f>
        <v>33.049999999999997</v>
      </c>
      <c r="E70" s="50">
        <f>VLOOKUP($A70,'Data shares'!$C:$FM,106)</f>
        <v>32.21</v>
      </c>
      <c r="F70" s="50">
        <f>VLOOKUP($A70,'Data shares'!$C:$FM,108)</f>
        <v>-1.48</v>
      </c>
      <c r="G70" s="50">
        <f t="shared" si="1"/>
        <v>0.9540515367898168</v>
      </c>
    </row>
    <row r="71" spans="1:7" x14ac:dyDescent="0.25">
      <c r="A71" s="49" t="str">
        <f>'Data Vlaue (Cr)'!C66</f>
        <v>FINNIFTY</v>
      </c>
      <c r="B71" s="50">
        <f>VLOOKUP($A71,'Data shares'!$C:$FM,102)</f>
        <v>23.9</v>
      </c>
      <c r="C71" s="50">
        <f>VLOOKUP($A71,'Data shares'!$C:$FM,110)</f>
        <v>22.46</v>
      </c>
      <c r="D71" s="50">
        <f>VLOOKUP($A71,'Data shares'!$C:$FM,114)</f>
        <v>25.47</v>
      </c>
      <c r="E71" s="50">
        <f>VLOOKUP($A71,'Data shares'!$C:$FM,106)</f>
        <v>21.72</v>
      </c>
      <c r="F71" s="50">
        <f>VLOOKUP($A71,'Data shares'!$C:$FM,108)</f>
        <v>2.1800000000000002</v>
      </c>
      <c r="G71" s="50">
        <f t="shared" ref="G71:G102" si="2">B71/E71</f>
        <v>1.1003683241252302</v>
      </c>
    </row>
    <row r="72" spans="1:7" x14ac:dyDescent="0.25">
      <c r="A72" s="49" t="str">
        <f>'Data Vlaue (Cr)'!C67</f>
        <v>FORCEMOT</v>
      </c>
      <c r="B72" s="50">
        <f>VLOOKUP($A72,'Data shares'!$C:$FM,102)</f>
        <v>60.25</v>
      </c>
      <c r="C72" s="50">
        <f>VLOOKUP($A72,'Data shares'!$C:$FM,110)</f>
        <v>58.86</v>
      </c>
      <c r="D72" s="50">
        <f>VLOOKUP($A72,'Data shares'!$C:$FM,114)</f>
        <v>62.52</v>
      </c>
      <c r="E72" s="50">
        <f>VLOOKUP($A72,'Data shares'!$C:$FM,106)</f>
        <v>66.39</v>
      </c>
      <c r="F72" s="50">
        <f>VLOOKUP($A72,'Data shares'!$C:$FM,108)</f>
        <v>-6.14</v>
      </c>
      <c r="G72" s="50">
        <f t="shared" si="2"/>
        <v>0.90751619219762014</v>
      </c>
    </row>
    <row r="73" spans="1:7" x14ac:dyDescent="0.25">
      <c r="A73" s="49" t="str">
        <f>'Data Vlaue (Cr)'!C68</f>
        <v>FORTIS</v>
      </c>
      <c r="B73" s="50">
        <f>VLOOKUP($A73,'Data shares'!$C:$FM,102)</f>
        <v>35.520000000000003</v>
      </c>
      <c r="C73" s="50">
        <f>VLOOKUP($A73,'Data shares'!$C:$FM,110)</f>
        <v>35.24</v>
      </c>
      <c r="D73" s="50">
        <f>VLOOKUP($A73,'Data shares'!$C:$FM,114)</f>
        <v>36.54</v>
      </c>
      <c r="E73" s="50">
        <f>VLOOKUP($A73,'Data shares'!$C:$FM,106)</f>
        <v>35.49</v>
      </c>
      <c r="F73" s="50">
        <f>VLOOKUP($A73,'Data shares'!$C:$FM,108)</f>
        <v>0.03</v>
      </c>
      <c r="G73" s="50">
        <f t="shared" si="2"/>
        <v>1.0008453085376163</v>
      </c>
    </row>
    <row r="74" spans="1:7" x14ac:dyDescent="0.25">
      <c r="A74" s="49" t="str">
        <f>'Data Vlaue (Cr)'!C69</f>
        <v>GAIL</v>
      </c>
      <c r="B74" s="50">
        <f>VLOOKUP($A74,'Data shares'!$C:$FM,102)</f>
        <v>31.45</v>
      </c>
      <c r="C74" s="50">
        <f>VLOOKUP($A74,'Data shares'!$C:$FM,110)</f>
        <v>30.45</v>
      </c>
      <c r="D74" s="50">
        <f>VLOOKUP($A74,'Data shares'!$C:$FM,114)</f>
        <v>32.950000000000003</v>
      </c>
      <c r="E74" s="50">
        <f>VLOOKUP($A74,'Data shares'!$C:$FM,106)</f>
        <v>35.85</v>
      </c>
      <c r="F74" s="50">
        <f>VLOOKUP($A74,'Data shares'!$C:$FM,108)</f>
        <v>-4.4000000000000004</v>
      </c>
      <c r="G74" s="50">
        <f t="shared" si="2"/>
        <v>0.87726638772663867</v>
      </c>
    </row>
    <row r="75" spans="1:7" x14ac:dyDescent="0.25">
      <c r="A75" s="49" t="str">
        <f>'Data Vlaue (Cr)'!C70</f>
        <v>GLENMARK</v>
      </c>
      <c r="B75" s="50">
        <f>VLOOKUP($A75,'Data shares'!$C:$FM,102)</f>
        <v>34.130000000000003</v>
      </c>
      <c r="C75" s="50">
        <f>VLOOKUP($A75,'Data shares'!$C:$FM,110)</f>
        <v>31.41</v>
      </c>
      <c r="D75" s="50">
        <f>VLOOKUP($A75,'Data shares'!$C:$FM,114)</f>
        <v>37.69</v>
      </c>
      <c r="E75" s="50">
        <f>VLOOKUP($A75,'Data shares'!$C:$FM,106)</f>
        <v>36.229999999999997</v>
      </c>
      <c r="F75" s="50">
        <f>VLOOKUP($A75,'Data shares'!$C:$FM,108)</f>
        <v>-2.1</v>
      </c>
      <c r="G75" s="50">
        <f t="shared" si="2"/>
        <v>0.94203698592326812</v>
      </c>
    </row>
    <row r="76" spans="1:7" x14ac:dyDescent="0.25">
      <c r="A76" s="49" t="str">
        <f>'Data Vlaue (Cr)'!C71</f>
        <v>GMRAIRPORT</v>
      </c>
      <c r="B76" s="50">
        <f>VLOOKUP($A76,'Data shares'!$C:$FM,102)</f>
        <v>37.369999999999997</v>
      </c>
      <c r="C76" s="50">
        <f>VLOOKUP($A76,'Data shares'!$C:$FM,110)</f>
        <v>36.89</v>
      </c>
      <c r="D76" s="50">
        <f>VLOOKUP($A76,'Data shares'!$C:$FM,114)</f>
        <v>38.33</v>
      </c>
      <c r="E76" s="50">
        <f>VLOOKUP($A76,'Data shares'!$C:$FM,106)</f>
        <v>41.4</v>
      </c>
      <c r="F76" s="50">
        <f>VLOOKUP($A76,'Data shares'!$C:$FM,108)</f>
        <v>-4.03</v>
      </c>
      <c r="G76" s="50">
        <f t="shared" si="2"/>
        <v>0.90265700483091782</v>
      </c>
    </row>
    <row r="77" spans="1:7" x14ac:dyDescent="0.25">
      <c r="A77" s="49" t="str">
        <f>'Data Vlaue (Cr)'!C72</f>
        <v>GODFRYPHLP</v>
      </c>
      <c r="B77" s="50">
        <f>VLOOKUP($A77,'Data shares'!$C:$FM,102)</f>
        <v>51.56</v>
      </c>
      <c r="C77" s="50">
        <f>VLOOKUP($A77,'Data shares'!$C:$FM,110)</f>
        <v>50.64</v>
      </c>
      <c r="D77" s="50">
        <f>VLOOKUP($A77,'Data shares'!$C:$FM,114)</f>
        <v>56.62</v>
      </c>
      <c r="E77" s="50">
        <f>VLOOKUP($A77,'Data shares'!$C:$FM,106)</f>
        <v>71.64</v>
      </c>
      <c r="F77" s="50">
        <f>VLOOKUP($A77,'Data shares'!$C:$FM,108)</f>
        <v>-20.079999999999998</v>
      </c>
      <c r="G77" s="50">
        <f t="shared" si="2"/>
        <v>0.7197096594081519</v>
      </c>
    </row>
    <row r="78" spans="1:7" x14ac:dyDescent="0.25">
      <c r="A78" s="49" t="str">
        <f>'Data Vlaue (Cr)'!C73</f>
        <v>GODREJCP</v>
      </c>
      <c r="B78" s="50">
        <f>VLOOKUP($A78,'Data shares'!$C:$FM,102)</f>
        <v>31.47</v>
      </c>
      <c r="C78" s="50">
        <f>VLOOKUP($A78,'Data shares'!$C:$FM,110)</f>
        <v>30.62</v>
      </c>
      <c r="D78" s="50">
        <f>VLOOKUP($A78,'Data shares'!$C:$FM,114)</f>
        <v>32.76</v>
      </c>
      <c r="E78" s="50">
        <f>VLOOKUP($A78,'Data shares'!$C:$FM,106)</f>
        <v>30.26</v>
      </c>
      <c r="F78" s="50">
        <f>VLOOKUP($A78,'Data shares'!$C:$FM,108)</f>
        <v>1.21</v>
      </c>
      <c r="G78" s="50">
        <f t="shared" si="2"/>
        <v>1.0399867812293455</v>
      </c>
    </row>
    <row r="79" spans="1:7" x14ac:dyDescent="0.25">
      <c r="A79" s="49" t="str">
        <f>'Data Vlaue (Cr)'!C74</f>
        <v>GODREJPROP</v>
      </c>
      <c r="B79" s="50">
        <f>VLOOKUP($A79,'Data shares'!$C:$FM,102)</f>
        <v>42.82</v>
      </c>
      <c r="C79" s="50">
        <f>VLOOKUP($A79,'Data shares'!$C:$FM,110)</f>
        <v>41.1</v>
      </c>
      <c r="D79" s="50">
        <f>VLOOKUP($A79,'Data shares'!$C:$FM,114)</f>
        <v>44.66</v>
      </c>
      <c r="E79" s="50">
        <f>VLOOKUP($A79,'Data shares'!$C:$FM,106)</f>
        <v>46.2</v>
      </c>
      <c r="F79" s="50">
        <f>VLOOKUP($A79,'Data shares'!$C:$FM,108)</f>
        <v>-3.38</v>
      </c>
      <c r="G79" s="50">
        <f t="shared" si="2"/>
        <v>0.9268398268398268</v>
      </c>
    </row>
    <row r="80" spans="1:7" x14ac:dyDescent="0.25">
      <c r="A80" s="49" t="str">
        <f>'Data Vlaue (Cr)'!C75</f>
        <v>GRASIM</v>
      </c>
      <c r="B80" s="50">
        <f>VLOOKUP($A80,'Data shares'!$C:$FM,102)</f>
        <v>30.28</v>
      </c>
      <c r="C80" s="50">
        <f>VLOOKUP($A80,'Data shares'!$C:$FM,110)</f>
        <v>28.34</v>
      </c>
      <c r="D80" s="50">
        <f>VLOOKUP($A80,'Data shares'!$C:$FM,114)</f>
        <v>32.83</v>
      </c>
      <c r="E80" s="50">
        <f>VLOOKUP($A80,'Data shares'!$C:$FM,106)</f>
        <v>28.61</v>
      </c>
      <c r="F80" s="50">
        <f>VLOOKUP($A80,'Data shares'!$C:$FM,108)</f>
        <v>1.67</v>
      </c>
      <c r="G80" s="50">
        <f t="shared" si="2"/>
        <v>1.0583711988815101</v>
      </c>
    </row>
    <row r="81" spans="1:7" x14ac:dyDescent="0.25">
      <c r="A81" s="49" t="str">
        <f>'Data Vlaue (Cr)'!C76</f>
        <v>HAL</v>
      </c>
      <c r="B81" s="50">
        <f>VLOOKUP($A81,'Data shares'!$C:$FM,102)</f>
        <v>33.26</v>
      </c>
      <c r="C81" s="50">
        <f>VLOOKUP($A81,'Data shares'!$C:$FM,110)</f>
        <v>32.65</v>
      </c>
      <c r="D81" s="50">
        <f>VLOOKUP($A81,'Data shares'!$C:$FM,114)</f>
        <v>34.880000000000003</v>
      </c>
      <c r="E81" s="50">
        <f>VLOOKUP($A81,'Data shares'!$C:$FM,106)</f>
        <v>39.159999999999997</v>
      </c>
      <c r="F81" s="50">
        <f>VLOOKUP($A81,'Data shares'!$C:$FM,108)</f>
        <v>-5.9</v>
      </c>
      <c r="G81" s="50">
        <f t="shared" si="2"/>
        <v>0.84933605720122574</v>
      </c>
    </row>
    <row r="82" spans="1:7" x14ac:dyDescent="0.25">
      <c r="A82" s="49" t="str">
        <f>'Data Vlaue (Cr)'!C77</f>
        <v>HAVELLS</v>
      </c>
      <c r="B82" s="50">
        <f>VLOOKUP($A82,'Data shares'!$C:$FM,102)</f>
        <v>35.64</v>
      </c>
      <c r="C82" s="50">
        <f>VLOOKUP($A82,'Data shares'!$C:$FM,110)</f>
        <v>34.89</v>
      </c>
      <c r="D82" s="50">
        <f>VLOOKUP($A82,'Data shares'!$C:$FM,114)</f>
        <v>37.299999999999997</v>
      </c>
      <c r="E82" s="50">
        <f>VLOOKUP($A82,'Data shares'!$C:$FM,106)</f>
        <v>29.77</v>
      </c>
      <c r="F82" s="50">
        <f>VLOOKUP($A82,'Data shares'!$C:$FM,108)</f>
        <v>5.87</v>
      </c>
      <c r="G82" s="50">
        <f t="shared" si="2"/>
        <v>1.1971783674840444</v>
      </c>
    </row>
    <row r="83" spans="1:7" x14ac:dyDescent="0.25">
      <c r="A83" s="49" t="str">
        <f>'Data Vlaue (Cr)'!C78</f>
        <v>HCLTECH</v>
      </c>
      <c r="B83" s="50">
        <f>VLOOKUP($A83,'Data shares'!$C:$FM,102)</f>
        <v>34.39</v>
      </c>
      <c r="C83" s="50">
        <f>VLOOKUP($A83,'Data shares'!$C:$FM,110)</f>
        <v>33.04</v>
      </c>
      <c r="D83" s="50">
        <f>VLOOKUP($A83,'Data shares'!$C:$FM,114)</f>
        <v>36.450000000000003</v>
      </c>
      <c r="E83" s="50">
        <f>VLOOKUP($A83,'Data shares'!$C:$FM,106)</f>
        <v>29.53</v>
      </c>
      <c r="F83" s="50">
        <f>VLOOKUP($A83,'Data shares'!$C:$FM,108)</f>
        <v>4.8600000000000003</v>
      </c>
      <c r="G83" s="50">
        <f t="shared" si="2"/>
        <v>1.1645783948526922</v>
      </c>
    </row>
    <row r="84" spans="1:7" x14ac:dyDescent="0.25">
      <c r="A84" s="49" t="str">
        <f>'Data Vlaue (Cr)'!C79</f>
        <v>HDFCAMC</v>
      </c>
      <c r="B84" s="50">
        <f>VLOOKUP($A84,'Data shares'!$C:$FM,102)</f>
        <v>38.97</v>
      </c>
      <c r="C84" s="50">
        <f>VLOOKUP($A84,'Data shares'!$C:$FM,110)</f>
        <v>38.08</v>
      </c>
      <c r="D84" s="50">
        <f>VLOOKUP($A84,'Data shares'!$C:$FM,114)</f>
        <v>40.17</v>
      </c>
      <c r="E84" s="50">
        <f>VLOOKUP($A84,'Data shares'!$C:$FM,106)</f>
        <v>38.31</v>
      </c>
      <c r="F84" s="50">
        <f>VLOOKUP($A84,'Data shares'!$C:$FM,108)</f>
        <v>0.66</v>
      </c>
      <c r="G84" s="50">
        <f t="shared" si="2"/>
        <v>1.0172278778386843</v>
      </c>
    </row>
    <row r="85" spans="1:7" x14ac:dyDescent="0.25">
      <c r="A85" s="49" t="str">
        <f>'Data Vlaue (Cr)'!C80</f>
        <v>HDFCBANK</v>
      </c>
      <c r="B85" s="50">
        <f>VLOOKUP($A85,'Data shares'!$C:$FM,102)</f>
        <v>30.74</v>
      </c>
      <c r="C85" s="50">
        <f>VLOOKUP($A85,'Data shares'!$C:$FM,110)</f>
        <v>30.08</v>
      </c>
      <c r="D85" s="50">
        <f>VLOOKUP($A85,'Data shares'!$C:$FM,114)</f>
        <v>31.74</v>
      </c>
      <c r="E85" s="50">
        <f>VLOOKUP($A85,'Data shares'!$C:$FM,106)</f>
        <v>25.18</v>
      </c>
      <c r="F85" s="50">
        <f>VLOOKUP($A85,'Data shares'!$C:$FM,108)</f>
        <v>5.56</v>
      </c>
      <c r="G85" s="50">
        <f t="shared" si="2"/>
        <v>1.2208101667990467</v>
      </c>
    </row>
    <row r="86" spans="1:7" x14ac:dyDescent="0.25">
      <c r="A86" s="49" t="str">
        <f>'Data Vlaue (Cr)'!C81</f>
        <v>HDFCLIFE</v>
      </c>
      <c r="B86" s="50">
        <f>VLOOKUP($A86,'Data shares'!$C:$FM,102)</f>
        <v>29.74</v>
      </c>
      <c r="C86" s="50">
        <f>VLOOKUP($A86,'Data shares'!$C:$FM,110)</f>
        <v>29.32</v>
      </c>
      <c r="D86" s="50">
        <f>VLOOKUP($A86,'Data shares'!$C:$FM,114)</f>
        <v>30.63</v>
      </c>
      <c r="E86" s="50">
        <f>VLOOKUP($A86,'Data shares'!$C:$FM,106)</f>
        <v>27.13</v>
      </c>
      <c r="F86" s="50">
        <f>VLOOKUP($A86,'Data shares'!$C:$FM,108)</f>
        <v>2.61</v>
      </c>
      <c r="G86" s="50">
        <f t="shared" si="2"/>
        <v>1.0962034647991155</v>
      </c>
    </row>
    <row r="87" spans="1:7" x14ac:dyDescent="0.25">
      <c r="A87" s="49" t="str">
        <f>'Data Vlaue (Cr)'!C82</f>
        <v>HEROMOTOCO</v>
      </c>
      <c r="B87" s="50">
        <f>VLOOKUP($A87,'Data shares'!$C:$FM,102)</f>
        <v>33.21</v>
      </c>
      <c r="C87" s="50">
        <f>VLOOKUP($A87,'Data shares'!$C:$FM,110)</f>
        <v>32.68</v>
      </c>
      <c r="D87" s="50">
        <f>VLOOKUP($A87,'Data shares'!$C:$FM,114)</f>
        <v>34.15</v>
      </c>
      <c r="E87" s="50">
        <f>VLOOKUP($A87,'Data shares'!$C:$FM,106)</f>
        <v>32.99</v>
      </c>
      <c r="F87" s="50">
        <f>VLOOKUP($A87,'Data shares'!$C:$FM,108)</f>
        <v>0.22</v>
      </c>
      <c r="G87" s="50">
        <f t="shared" si="2"/>
        <v>1.0066686874810549</v>
      </c>
    </row>
    <row r="88" spans="1:7" x14ac:dyDescent="0.25">
      <c r="A88" s="49" t="str">
        <f>'Data Vlaue (Cr)'!C83</f>
        <v>HINDALCO</v>
      </c>
      <c r="B88" s="50">
        <f>VLOOKUP($A88,'Data shares'!$C:$FM,102)</f>
        <v>36.159999999999997</v>
      </c>
      <c r="C88" s="50">
        <f>VLOOKUP($A88,'Data shares'!$C:$FM,110)</f>
        <v>35.74</v>
      </c>
      <c r="D88" s="50">
        <f>VLOOKUP($A88,'Data shares'!$C:$FM,114)</f>
        <v>37.130000000000003</v>
      </c>
      <c r="E88" s="50">
        <f>VLOOKUP($A88,'Data shares'!$C:$FM,106)</f>
        <v>36.51</v>
      </c>
      <c r="F88" s="50">
        <f>VLOOKUP($A88,'Data shares'!$C:$FM,108)</f>
        <v>-0.35</v>
      </c>
      <c r="G88" s="50">
        <f t="shared" si="2"/>
        <v>0.99041358531909063</v>
      </c>
    </row>
    <row r="89" spans="1:7" x14ac:dyDescent="0.25">
      <c r="A89" s="49" t="str">
        <f>'Data Vlaue (Cr)'!C84</f>
        <v>HINDPETRO</v>
      </c>
      <c r="B89" s="50">
        <f>VLOOKUP($A89,'Data shares'!$C:$FM,102)</f>
        <v>43.81</v>
      </c>
      <c r="C89" s="50">
        <f>VLOOKUP($A89,'Data shares'!$C:$FM,110)</f>
        <v>42.61</v>
      </c>
      <c r="D89" s="50">
        <f>VLOOKUP($A89,'Data shares'!$C:$FM,114)</f>
        <v>45.63</v>
      </c>
      <c r="E89" s="50">
        <f>VLOOKUP($A89,'Data shares'!$C:$FM,106)</f>
        <v>44.13</v>
      </c>
      <c r="F89" s="50">
        <f>VLOOKUP($A89,'Data shares'!$C:$FM,108)</f>
        <v>-0.32</v>
      </c>
      <c r="G89" s="50">
        <f t="shared" si="2"/>
        <v>0.99274869703149782</v>
      </c>
    </row>
    <row r="90" spans="1:7" x14ac:dyDescent="0.25">
      <c r="A90" s="49" t="str">
        <f>'Data Vlaue (Cr)'!C85</f>
        <v>HINDUNILVR</v>
      </c>
      <c r="B90" s="50">
        <f>VLOOKUP($A90,'Data shares'!$C:$FM,102)</f>
        <v>22.75</v>
      </c>
      <c r="C90" s="50">
        <f>VLOOKUP($A90,'Data shares'!$C:$FM,110)</f>
        <v>22.3</v>
      </c>
      <c r="D90" s="50">
        <f>VLOOKUP($A90,'Data shares'!$C:$FM,114)</f>
        <v>23.6</v>
      </c>
      <c r="E90" s="50">
        <f>VLOOKUP($A90,'Data shares'!$C:$FM,106)</f>
        <v>23.16</v>
      </c>
      <c r="F90" s="50">
        <f>VLOOKUP($A90,'Data shares'!$C:$FM,108)</f>
        <v>-0.41</v>
      </c>
      <c r="G90" s="50">
        <f t="shared" si="2"/>
        <v>0.98229706390328153</v>
      </c>
    </row>
    <row r="91" spans="1:7" x14ac:dyDescent="0.25">
      <c r="A91" s="49" t="str">
        <f>'Data Vlaue (Cr)'!C86</f>
        <v>HINDZINC</v>
      </c>
      <c r="B91" s="50">
        <f>VLOOKUP($A91,'Data shares'!$C:$FM,102)</f>
        <v>40.32</v>
      </c>
      <c r="C91" s="50">
        <f>VLOOKUP($A91,'Data shares'!$C:$FM,110)</f>
        <v>38.25</v>
      </c>
      <c r="D91" s="50">
        <f>VLOOKUP($A91,'Data shares'!$C:$FM,114)</f>
        <v>43.44</v>
      </c>
      <c r="E91" s="50">
        <f>VLOOKUP($A91,'Data shares'!$C:$FM,106)</f>
        <v>50.89</v>
      </c>
      <c r="F91" s="50">
        <f>VLOOKUP($A91,'Data shares'!$C:$FM,108)</f>
        <v>-10.57</v>
      </c>
      <c r="G91" s="50">
        <f t="shared" si="2"/>
        <v>0.79229711141678127</v>
      </c>
    </row>
    <row r="92" spans="1:7" x14ac:dyDescent="0.25">
      <c r="A92" s="49" t="str">
        <f>'Data Vlaue (Cr)'!C87</f>
        <v>HUDCO</v>
      </c>
      <c r="B92" s="50">
        <f>VLOOKUP($A92,'Data shares'!$C:$FM,102)</f>
        <v>38</v>
      </c>
      <c r="C92" s="50">
        <f>VLOOKUP($A92,'Data shares'!$C:$FM,110)</f>
        <v>36.9</v>
      </c>
      <c r="D92" s="50">
        <f>VLOOKUP($A92,'Data shares'!$C:$FM,114)</f>
        <v>40.36</v>
      </c>
      <c r="E92" s="50">
        <f>VLOOKUP($A92,'Data shares'!$C:$FM,106)</f>
        <v>50.72</v>
      </c>
      <c r="F92" s="50">
        <f>VLOOKUP($A92,'Data shares'!$C:$FM,108)</f>
        <v>-12.72</v>
      </c>
      <c r="G92" s="50">
        <f t="shared" si="2"/>
        <v>0.74921135646687698</v>
      </c>
    </row>
    <row r="93" spans="1:7" x14ac:dyDescent="0.25">
      <c r="A93" s="49" t="str">
        <f>'Data Vlaue (Cr)'!C88</f>
        <v>HYUNDAI</v>
      </c>
      <c r="B93" s="50">
        <f>VLOOKUP($A93,'Data shares'!$C:$FM,102)</f>
        <v>41.79</v>
      </c>
      <c r="C93" s="50">
        <f>VLOOKUP($A93,'Data shares'!$C:$FM,110)</f>
        <v>41.67</v>
      </c>
      <c r="D93" s="50">
        <f>VLOOKUP($A93,'Data shares'!$C:$FM,114)</f>
        <v>42.05</v>
      </c>
      <c r="E93" s="50">
        <f>VLOOKUP($A93,'Data shares'!$C:$FM,106)</f>
        <v>33.06</v>
      </c>
      <c r="F93" s="50">
        <f>VLOOKUP($A93,'Data shares'!$C:$FM,108)</f>
        <v>8.73</v>
      </c>
      <c r="G93" s="50">
        <f t="shared" si="2"/>
        <v>1.2640653357531759</v>
      </c>
    </row>
    <row r="94" spans="1:7" x14ac:dyDescent="0.25">
      <c r="A94" s="49" t="str">
        <f>'Data Vlaue (Cr)'!C89</f>
        <v>ICICIBANK</v>
      </c>
      <c r="B94" s="50">
        <f>VLOOKUP($A94,'Data shares'!$C:$FM,102)</f>
        <v>27.2</v>
      </c>
      <c r="C94" s="50">
        <f>VLOOKUP($A94,'Data shares'!$C:$FM,110)</f>
        <v>26.08</v>
      </c>
      <c r="D94" s="50">
        <f>VLOOKUP($A94,'Data shares'!$C:$FM,114)</f>
        <v>28.43</v>
      </c>
      <c r="E94" s="50">
        <f>VLOOKUP($A94,'Data shares'!$C:$FM,106)</f>
        <v>23.62</v>
      </c>
      <c r="F94" s="50">
        <f>VLOOKUP($A94,'Data shares'!$C:$FM,108)</f>
        <v>3.58</v>
      </c>
      <c r="G94" s="50">
        <f t="shared" si="2"/>
        <v>1.151566469093988</v>
      </c>
    </row>
    <row r="95" spans="1:7" x14ac:dyDescent="0.25">
      <c r="A95" s="49" t="str">
        <f>'Data Vlaue (Cr)'!C90</f>
        <v>ICICIGI</v>
      </c>
      <c r="B95" s="50">
        <f>VLOOKUP($A95,'Data shares'!$C:$FM,102)</f>
        <v>30.97</v>
      </c>
      <c r="C95" s="50">
        <f>VLOOKUP($A95,'Data shares'!$C:$FM,110)</f>
        <v>30.73</v>
      </c>
      <c r="D95" s="50">
        <f>VLOOKUP($A95,'Data shares'!$C:$FM,114)</f>
        <v>31.26</v>
      </c>
      <c r="E95" s="50">
        <f>VLOOKUP($A95,'Data shares'!$C:$FM,106)</f>
        <v>26.81</v>
      </c>
      <c r="F95" s="50">
        <f>VLOOKUP($A95,'Data shares'!$C:$FM,108)</f>
        <v>4.16</v>
      </c>
      <c r="G95" s="50">
        <f t="shared" si="2"/>
        <v>1.1551659828422232</v>
      </c>
    </row>
    <row r="96" spans="1:7" x14ac:dyDescent="0.25">
      <c r="A96" s="49" t="str">
        <f>'Data Vlaue (Cr)'!C91</f>
        <v>ICICIPRULI</v>
      </c>
      <c r="B96" s="50">
        <f>VLOOKUP($A96,'Data shares'!$C:$FM,102)</f>
        <v>36.090000000000003</v>
      </c>
      <c r="C96" s="50">
        <f>VLOOKUP($A96,'Data shares'!$C:$FM,110)</f>
        <v>35.770000000000003</v>
      </c>
      <c r="D96" s="50">
        <f>VLOOKUP($A96,'Data shares'!$C:$FM,114)</f>
        <v>37.159999999999997</v>
      </c>
      <c r="E96" s="50">
        <f>VLOOKUP($A96,'Data shares'!$C:$FM,106)</f>
        <v>29.05</v>
      </c>
      <c r="F96" s="50">
        <f>VLOOKUP($A96,'Data shares'!$C:$FM,108)</f>
        <v>7.04</v>
      </c>
      <c r="G96" s="50">
        <f t="shared" si="2"/>
        <v>1.2423407917383822</v>
      </c>
    </row>
    <row r="97" spans="1:7" x14ac:dyDescent="0.25">
      <c r="A97" s="49" t="str">
        <f>'Data Vlaue (Cr)'!C92</f>
        <v>IDEA</v>
      </c>
      <c r="B97" s="50">
        <f>VLOOKUP($A97,'Data shares'!$C:$FM,102)</f>
        <v>54.28</v>
      </c>
      <c r="C97" s="50">
        <f>VLOOKUP($A97,'Data shares'!$C:$FM,110)</f>
        <v>55.98</v>
      </c>
      <c r="D97" s="50">
        <f>VLOOKUP($A97,'Data shares'!$C:$FM,114)</f>
        <v>48.98</v>
      </c>
      <c r="E97" s="50">
        <f>VLOOKUP($A97,'Data shares'!$C:$FM,106)</f>
        <v>65.37</v>
      </c>
      <c r="F97" s="50">
        <f>VLOOKUP($A97,'Data shares'!$C:$FM,108)</f>
        <v>-11.09</v>
      </c>
      <c r="G97" s="50">
        <f t="shared" si="2"/>
        <v>0.83035031359951039</v>
      </c>
    </row>
    <row r="98" spans="1:7" x14ac:dyDescent="0.25">
      <c r="A98" s="49" t="str">
        <f>'Data Vlaue (Cr)'!C93</f>
        <v>IDFCFIRSTB</v>
      </c>
      <c r="B98" s="50">
        <f>VLOOKUP($A98,'Data shares'!$C:$FM,102)</f>
        <v>41.18</v>
      </c>
      <c r="C98" s="50">
        <f>VLOOKUP($A98,'Data shares'!$C:$FM,110)</f>
        <v>38.1</v>
      </c>
      <c r="D98" s="50">
        <f>VLOOKUP($A98,'Data shares'!$C:$FM,114)</f>
        <v>45</v>
      </c>
      <c r="E98" s="50">
        <f>VLOOKUP($A98,'Data shares'!$C:$FM,106)</f>
        <v>41.72</v>
      </c>
      <c r="F98" s="50">
        <f>VLOOKUP($A98,'Data shares'!$C:$FM,108)</f>
        <v>-0.54</v>
      </c>
      <c r="G98" s="50">
        <f t="shared" si="2"/>
        <v>0.98705656759348037</v>
      </c>
    </row>
    <row r="99" spans="1:7" x14ac:dyDescent="0.25">
      <c r="A99" s="49" t="str">
        <f>'Data Vlaue (Cr)'!C94</f>
        <v>IEX</v>
      </c>
      <c r="B99" s="50">
        <f>VLOOKUP($A99,'Data shares'!$C:$FM,102)</f>
        <v>38.08</v>
      </c>
      <c r="C99" s="50">
        <f>VLOOKUP($A99,'Data shares'!$C:$FM,110)</f>
        <v>36.340000000000003</v>
      </c>
      <c r="D99" s="50">
        <f>VLOOKUP($A99,'Data shares'!$C:$FM,114)</f>
        <v>42.35</v>
      </c>
      <c r="E99" s="50">
        <f>VLOOKUP($A99,'Data shares'!$C:$FM,106)</f>
        <v>52.12</v>
      </c>
      <c r="F99" s="50">
        <f>VLOOKUP($A99,'Data shares'!$C:$FM,108)</f>
        <v>-14.04</v>
      </c>
      <c r="G99" s="50">
        <f t="shared" si="2"/>
        <v>0.73062164236377591</v>
      </c>
    </row>
    <row r="100" spans="1:7" x14ac:dyDescent="0.25">
      <c r="A100" s="49" t="str">
        <f>'Data Vlaue (Cr)'!C95</f>
        <v>INDHOTEL</v>
      </c>
      <c r="B100" s="50">
        <f>VLOOKUP($A100,'Data shares'!$C:$FM,102)</f>
        <v>33.28</v>
      </c>
      <c r="C100" s="50">
        <f>VLOOKUP($A100,'Data shares'!$C:$FM,110)</f>
        <v>32.159999999999997</v>
      </c>
      <c r="D100" s="50">
        <f>VLOOKUP($A100,'Data shares'!$C:$FM,114)</f>
        <v>34.61</v>
      </c>
      <c r="E100" s="50">
        <f>VLOOKUP($A100,'Data shares'!$C:$FM,106)</f>
        <v>35.36</v>
      </c>
      <c r="F100" s="50">
        <f>VLOOKUP($A100,'Data shares'!$C:$FM,108)</f>
        <v>-2.08</v>
      </c>
      <c r="G100" s="50">
        <f t="shared" si="2"/>
        <v>0.94117647058823539</v>
      </c>
    </row>
    <row r="101" spans="1:7" x14ac:dyDescent="0.25">
      <c r="A101" s="49" t="str">
        <f>'Data Vlaue (Cr)'!C96</f>
        <v>INDIANB</v>
      </c>
      <c r="B101" s="50">
        <f>VLOOKUP($A101,'Data shares'!$C:$FM,102)</f>
        <v>37.01</v>
      </c>
      <c r="C101" s="50">
        <f>VLOOKUP($A101,'Data shares'!$C:$FM,110)</f>
        <v>36.1</v>
      </c>
      <c r="D101" s="50">
        <f>VLOOKUP($A101,'Data shares'!$C:$FM,114)</f>
        <v>38.380000000000003</v>
      </c>
      <c r="E101" s="50">
        <f>VLOOKUP($A101,'Data shares'!$C:$FM,106)</f>
        <v>42.06</v>
      </c>
      <c r="F101" s="50">
        <f>VLOOKUP($A101,'Data shares'!$C:$FM,108)</f>
        <v>-5.05</v>
      </c>
      <c r="G101" s="50">
        <f t="shared" si="2"/>
        <v>0.8799334284355681</v>
      </c>
    </row>
    <row r="102" spans="1:7" x14ac:dyDescent="0.25">
      <c r="A102" s="49" t="str">
        <f>'Data Vlaue (Cr)'!C97</f>
        <v>INDIAVIX</v>
      </c>
      <c r="B102" s="50">
        <f>VLOOKUP($A102,'Data shares'!$C:$FM,102)</f>
        <v>0</v>
      </c>
      <c r="C102" s="50">
        <f>VLOOKUP($A102,'Data shares'!$C:$FM,110)</f>
        <v>0</v>
      </c>
      <c r="D102" s="50">
        <f>VLOOKUP($A102,'Data shares'!$C:$FM,114)</f>
        <v>0</v>
      </c>
      <c r="E102" s="50">
        <f>VLOOKUP($A102,'Data shares'!$C:$FM,106)</f>
        <v>0</v>
      </c>
      <c r="F102" s="50">
        <f>VLOOKUP($A102,'Data shares'!$C:$FM,108)</f>
        <v>0</v>
      </c>
      <c r="G102" s="50" t="e">
        <f t="shared" si="2"/>
        <v>#DIV/0!</v>
      </c>
    </row>
    <row r="103" spans="1:7" x14ac:dyDescent="0.25">
      <c r="A103" s="49" t="str">
        <f>'Data Vlaue (Cr)'!C98</f>
        <v>INDIGO</v>
      </c>
      <c r="B103" s="50">
        <f>VLOOKUP($A103,'Data shares'!$C:$FM,102)</f>
        <v>40.630000000000003</v>
      </c>
      <c r="C103" s="50">
        <f>VLOOKUP($A103,'Data shares'!$C:$FM,110)</f>
        <v>38.82</v>
      </c>
      <c r="D103" s="50">
        <f>VLOOKUP($A103,'Data shares'!$C:$FM,114)</f>
        <v>43.08</v>
      </c>
      <c r="E103" s="50">
        <f>VLOOKUP($A103,'Data shares'!$C:$FM,106)</f>
        <v>39.93</v>
      </c>
      <c r="F103" s="50">
        <f>VLOOKUP($A103,'Data shares'!$C:$FM,108)</f>
        <v>0.7</v>
      </c>
      <c r="G103" s="50">
        <f t="shared" ref="G103:G134" si="3">B103/E103</f>
        <v>1.0175306786877036</v>
      </c>
    </row>
    <row r="104" spans="1:7" x14ac:dyDescent="0.25">
      <c r="A104" s="49" t="str">
        <f>'Data Vlaue (Cr)'!C99</f>
        <v>INDUSINDBK</v>
      </c>
      <c r="B104" s="50">
        <f>VLOOKUP($A104,'Data shares'!$C:$FM,102)</f>
        <v>40.06</v>
      </c>
      <c r="C104" s="50">
        <f>VLOOKUP($A104,'Data shares'!$C:$FM,110)</f>
        <v>37.92</v>
      </c>
      <c r="D104" s="50">
        <f>VLOOKUP($A104,'Data shares'!$C:$FM,114)</f>
        <v>43.09</v>
      </c>
      <c r="E104" s="50">
        <f>VLOOKUP($A104,'Data shares'!$C:$FM,106)</f>
        <v>43.62</v>
      </c>
      <c r="F104" s="50">
        <f>VLOOKUP($A104,'Data shares'!$C:$FM,108)</f>
        <v>-3.56</v>
      </c>
      <c r="G104" s="50">
        <f t="shared" si="3"/>
        <v>0.91838606143970669</v>
      </c>
    </row>
    <row r="105" spans="1:7" x14ac:dyDescent="0.25">
      <c r="A105" s="49" t="str">
        <f>'Data Vlaue (Cr)'!C100</f>
        <v>INDUSTOWER</v>
      </c>
      <c r="B105" s="50">
        <f>VLOOKUP($A105,'Data shares'!$C:$FM,102)</f>
        <v>32.82</v>
      </c>
      <c r="C105" s="50">
        <f>VLOOKUP($A105,'Data shares'!$C:$FM,110)</f>
        <v>32.369999999999997</v>
      </c>
      <c r="D105" s="50">
        <f>VLOOKUP($A105,'Data shares'!$C:$FM,114)</f>
        <v>34</v>
      </c>
      <c r="E105" s="50">
        <f>VLOOKUP($A105,'Data shares'!$C:$FM,106)</f>
        <v>37.72</v>
      </c>
      <c r="F105" s="50">
        <f>VLOOKUP($A105,'Data shares'!$C:$FM,108)</f>
        <v>-4.9000000000000004</v>
      </c>
      <c r="G105" s="50">
        <f t="shared" si="3"/>
        <v>0.87009544008483564</v>
      </c>
    </row>
    <row r="106" spans="1:7" x14ac:dyDescent="0.25">
      <c r="A106" s="49" t="str">
        <f>'Data Vlaue (Cr)'!C101</f>
        <v>INFY</v>
      </c>
      <c r="B106" s="50">
        <f>VLOOKUP($A106,'Data shares'!$C:$FM,102)</f>
        <v>37.21</v>
      </c>
      <c r="C106" s="50">
        <f>VLOOKUP($A106,'Data shares'!$C:$FM,110)</f>
        <v>36.090000000000003</v>
      </c>
      <c r="D106" s="50">
        <f>VLOOKUP($A106,'Data shares'!$C:$FM,114)</f>
        <v>39.32</v>
      </c>
      <c r="E106" s="50">
        <f>VLOOKUP($A106,'Data shares'!$C:$FM,106)</f>
        <v>30.86</v>
      </c>
      <c r="F106" s="50">
        <f>VLOOKUP($A106,'Data shares'!$C:$FM,108)</f>
        <v>6.35</v>
      </c>
      <c r="G106" s="50">
        <f t="shared" si="3"/>
        <v>1.2057679844458846</v>
      </c>
    </row>
    <row r="107" spans="1:7" x14ac:dyDescent="0.25">
      <c r="A107" s="49" t="str">
        <f>'Data Vlaue (Cr)'!C102</f>
        <v>INOXWIND</v>
      </c>
      <c r="B107" s="50">
        <f>VLOOKUP($A107,'Data shares'!$C:$FM,102)</f>
        <v>49.48</v>
      </c>
      <c r="C107" s="50">
        <f>VLOOKUP($A107,'Data shares'!$C:$FM,110)</f>
        <v>48.74</v>
      </c>
      <c r="D107" s="50">
        <f>VLOOKUP($A107,'Data shares'!$C:$FM,114)</f>
        <v>51.03</v>
      </c>
      <c r="E107" s="50">
        <f>VLOOKUP($A107,'Data shares'!$C:$FM,106)</f>
        <v>53.93</v>
      </c>
      <c r="F107" s="50">
        <f>VLOOKUP($A107,'Data shares'!$C:$FM,108)</f>
        <v>-4.45</v>
      </c>
      <c r="G107" s="50">
        <f t="shared" si="3"/>
        <v>0.91748562951974777</v>
      </c>
    </row>
    <row r="108" spans="1:7" x14ac:dyDescent="0.25">
      <c r="A108" s="49" t="str">
        <f>'Data Vlaue (Cr)'!C103</f>
        <v>IOC</v>
      </c>
      <c r="B108" s="50">
        <f>VLOOKUP($A108,'Data shares'!$C:$FM,102)</f>
        <v>38.6</v>
      </c>
      <c r="C108" s="50">
        <f>VLOOKUP($A108,'Data shares'!$C:$FM,110)</f>
        <v>37.369999999999997</v>
      </c>
      <c r="D108" s="50">
        <f>VLOOKUP($A108,'Data shares'!$C:$FM,114)</f>
        <v>40.479999999999997</v>
      </c>
      <c r="E108" s="50">
        <f>VLOOKUP($A108,'Data shares'!$C:$FM,106)</f>
        <v>34.159999999999997</v>
      </c>
      <c r="F108" s="50">
        <f>VLOOKUP($A108,'Data shares'!$C:$FM,108)</f>
        <v>4.4400000000000004</v>
      </c>
      <c r="G108" s="50">
        <f t="shared" si="3"/>
        <v>1.1299765807962532</v>
      </c>
    </row>
    <row r="109" spans="1:7" x14ac:dyDescent="0.25">
      <c r="A109" s="49" t="str">
        <f>'Data Vlaue (Cr)'!C104</f>
        <v>IREDA</v>
      </c>
      <c r="B109" s="50">
        <f>VLOOKUP($A109,'Data shares'!$C:$FM,102)</f>
        <v>44.3</v>
      </c>
      <c r="C109" s="50">
        <f>VLOOKUP($A109,'Data shares'!$C:$FM,110)</f>
        <v>43.34</v>
      </c>
      <c r="D109" s="50">
        <f>VLOOKUP($A109,'Data shares'!$C:$FM,114)</f>
        <v>46.41</v>
      </c>
      <c r="E109" s="50">
        <f>VLOOKUP($A109,'Data shares'!$C:$FM,106)</f>
        <v>48.92</v>
      </c>
      <c r="F109" s="50">
        <f>VLOOKUP($A109,'Data shares'!$C:$FM,108)</f>
        <v>-4.62</v>
      </c>
      <c r="G109" s="50">
        <f t="shared" si="3"/>
        <v>0.90556009811937854</v>
      </c>
    </row>
    <row r="110" spans="1:7" x14ac:dyDescent="0.25">
      <c r="A110" s="49" t="str">
        <f>'Data Vlaue (Cr)'!C105</f>
        <v>IRFC</v>
      </c>
      <c r="B110" s="50">
        <f>VLOOKUP($A110,'Data shares'!$C:$FM,102)</f>
        <v>38.049999999999997</v>
      </c>
      <c r="C110" s="50">
        <f>VLOOKUP($A110,'Data shares'!$C:$FM,110)</f>
        <v>37.270000000000003</v>
      </c>
      <c r="D110" s="50">
        <f>VLOOKUP($A110,'Data shares'!$C:$FM,114)</f>
        <v>40</v>
      </c>
      <c r="E110" s="50">
        <f>VLOOKUP($A110,'Data shares'!$C:$FM,106)</f>
        <v>46.06</v>
      </c>
      <c r="F110" s="50">
        <f>VLOOKUP($A110,'Data shares'!$C:$FM,108)</f>
        <v>-8.01</v>
      </c>
      <c r="G110" s="50">
        <f t="shared" si="3"/>
        <v>0.82609639600521045</v>
      </c>
    </row>
    <row r="111" spans="1:7" x14ac:dyDescent="0.25">
      <c r="A111" s="49" t="str">
        <f>'Data Vlaue (Cr)'!C106</f>
        <v>ITC</v>
      </c>
      <c r="B111" s="50">
        <f>VLOOKUP($A111,'Data shares'!$C:$FM,102)</f>
        <v>19.559999999999999</v>
      </c>
      <c r="C111" s="50">
        <f>VLOOKUP($A111,'Data shares'!$C:$FM,110)</f>
        <v>19.28</v>
      </c>
      <c r="D111" s="50">
        <f>VLOOKUP($A111,'Data shares'!$C:$FM,114)</f>
        <v>20.350000000000001</v>
      </c>
      <c r="E111" s="50">
        <f>VLOOKUP($A111,'Data shares'!$C:$FM,106)</f>
        <v>24.54</v>
      </c>
      <c r="F111" s="50">
        <f>VLOOKUP($A111,'Data shares'!$C:$FM,108)</f>
        <v>-4.9800000000000004</v>
      </c>
      <c r="G111" s="50">
        <f t="shared" si="3"/>
        <v>0.79706601466992666</v>
      </c>
    </row>
    <row r="112" spans="1:7" x14ac:dyDescent="0.25">
      <c r="A112" s="49" t="str">
        <f>'Data Vlaue (Cr)'!C107</f>
        <v>JINDALSTEL</v>
      </c>
      <c r="B112" s="50">
        <f>VLOOKUP($A112,'Data shares'!$C:$FM,102)</f>
        <v>32.090000000000003</v>
      </c>
      <c r="C112" s="50">
        <f>VLOOKUP($A112,'Data shares'!$C:$FM,110)</f>
        <v>30.83</v>
      </c>
      <c r="D112" s="50">
        <f>VLOOKUP($A112,'Data shares'!$C:$FM,114)</f>
        <v>33.4</v>
      </c>
      <c r="E112" s="50">
        <f>VLOOKUP($A112,'Data shares'!$C:$FM,106)</f>
        <v>38.21</v>
      </c>
      <c r="F112" s="50">
        <f>VLOOKUP($A112,'Data shares'!$C:$FM,108)</f>
        <v>-6.12</v>
      </c>
      <c r="G112" s="50">
        <f t="shared" si="3"/>
        <v>0.83983250457995295</v>
      </c>
    </row>
    <row r="113" spans="1:7" x14ac:dyDescent="0.25">
      <c r="A113" s="49" t="str">
        <f>'Data Vlaue (Cr)'!C108</f>
        <v>JIOFIN</v>
      </c>
      <c r="B113" s="50">
        <f>VLOOKUP($A113,'Data shares'!$C:$FM,102)</f>
        <v>37.9</v>
      </c>
      <c r="C113" s="50">
        <f>VLOOKUP($A113,'Data shares'!$C:$FM,110)</f>
        <v>37.409999999999997</v>
      </c>
      <c r="D113" s="50">
        <f>VLOOKUP($A113,'Data shares'!$C:$FM,114)</f>
        <v>38.770000000000003</v>
      </c>
      <c r="E113" s="50">
        <f>VLOOKUP($A113,'Data shares'!$C:$FM,106)</f>
        <v>37.46</v>
      </c>
      <c r="F113" s="50">
        <f>VLOOKUP($A113,'Data shares'!$C:$FM,108)</f>
        <v>0.44</v>
      </c>
      <c r="G113" s="50">
        <f t="shared" si="3"/>
        <v>1.0117458622530699</v>
      </c>
    </row>
    <row r="114" spans="1:7" x14ac:dyDescent="0.25">
      <c r="A114" s="49" t="str">
        <f>'Data Vlaue (Cr)'!C109</f>
        <v>JSWENERGY</v>
      </c>
      <c r="B114" s="50">
        <f>VLOOKUP($A114,'Data shares'!$C:$FM,102)</f>
        <v>35.1</v>
      </c>
      <c r="C114" s="50">
        <f>VLOOKUP($A114,'Data shares'!$C:$FM,110)</f>
        <v>35.299999999999997</v>
      </c>
      <c r="D114" s="50">
        <f>VLOOKUP($A114,'Data shares'!$C:$FM,114)</f>
        <v>34.49</v>
      </c>
      <c r="E114" s="50">
        <f>VLOOKUP($A114,'Data shares'!$C:$FM,106)</f>
        <v>42.81</v>
      </c>
      <c r="F114" s="50">
        <f>VLOOKUP($A114,'Data shares'!$C:$FM,108)</f>
        <v>-7.71</v>
      </c>
      <c r="G114" s="50">
        <f t="shared" si="3"/>
        <v>0.81990189208128939</v>
      </c>
    </row>
    <row r="115" spans="1:7" x14ac:dyDescent="0.25">
      <c r="A115" s="49" t="str">
        <f>'Data Vlaue (Cr)'!C110</f>
        <v>JSWSTEEL</v>
      </c>
      <c r="B115" s="50">
        <f>VLOOKUP($A115,'Data shares'!$C:$FM,102)</f>
        <v>31.05</v>
      </c>
      <c r="C115" s="50">
        <f>VLOOKUP($A115,'Data shares'!$C:$FM,110)</f>
        <v>29.65</v>
      </c>
      <c r="D115" s="50">
        <f>VLOOKUP($A115,'Data shares'!$C:$FM,114)</f>
        <v>33.43</v>
      </c>
      <c r="E115" s="50">
        <f>VLOOKUP($A115,'Data shares'!$C:$FM,106)</f>
        <v>32.28</v>
      </c>
      <c r="F115" s="50">
        <f>VLOOKUP($A115,'Data shares'!$C:$FM,108)</f>
        <v>-1.23</v>
      </c>
      <c r="G115" s="50">
        <f t="shared" si="3"/>
        <v>0.96189591078066916</v>
      </c>
    </row>
    <row r="116" spans="1:7" x14ac:dyDescent="0.25">
      <c r="A116" s="49" t="str">
        <f>'Data Vlaue (Cr)'!C111</f>
        <v>JUBLFOOD</v>
      </c>
      <c r="B116" s="50">
        <f>VLOOKUP($A116,'Data shares'!$C:$FM,102)</f>
        <v>38.82</v>
      </c>
      <c r="C116" s="50">
        <f>VLOOKUP($A116,'Data shares'!$C:$FM,110)</f>
        <v>39.07</v>
      </c>
      <c r="D116" s="50">
        <f>VLOOKUP($A116,'Data shares'!$C:$FM,114)</f>
        <v>38.270000000000003</v>
      </c>
      <c r="E116" s="50">
        <f>VLOOKUP($A116,'Data shares'!$C:$FM,106)</f>
        <v>37.78</v>
      </c>
      <c r="F116" s="50">
        <f>VLOOKUP($A116,'Data shares'!$C:$FM,108)</f>
        <v>1.04</v>
      </c>
      <c r="G116" s="50">
        <f t="shared" si="3"/>
        <v>1.027527792482795</v>
      </c>
    </row>
    <row r="117" spans="1:7" x14ac:dyDescent="0.25">
      <c r="A117" s="49" t="str">
        <f>'Data Vlaue (Cr)'!C112</f>
        <v>KALYANKJIL</v>
      </c>
      <c r="B117" s="50">
        <f>VLOOKUP($A117,'Data shares'!$C:$FM,102)</f>
        <v>40.229999999999997</v>
      </c>
      <c r="C117" s="50">
        <f>VLOOKUP($A117,'Data shares'!$C:$FM,110)</f>
        <v>39.729999999999997</v>
      </c>
      <c r="D117" s="50">
        <f>VLOOKUP($A117,'Data shares'!$C:$FM,114)</f>
        <v>41.06</v>
      </c>
      <c r="E117" s="50">
        <f>VLOOKUP($A117,'Data shares'!$C:$FM,106)</f>
        <v>52.89</v>
      </c>
      <c r="F117" s="50">
        <f>VLOOKUP($A117,'Data shares'!$C:$FM,108)</f>
        <v>-12.66</v>
      </c>
      <c r="G117" s="50">
        <f t="shared" si="3"/>
        <v>0.76063528077141229</v>
      </c>
    </row>
    <row r="118" spans="1:7" x14ac:dyDescent="0.25">
      <c r="A118" s="49" t="str">
        <f>'Data Vlaue (Cr)'!C113</f>
        <v>KAYNES</v>
      </c>
      <c r="B118" s="50">
        <f>VLOOKUP($A118,'Data shares'!$C:$FM,102)</f>
        <v>51.3</v>
      </c>
      <c r="C118" s="50">
        <f>VLOOKUP($A118,'Data shares'!$C:$FM,110)</f>
        <v>50.71</v>
      </c>
      <c r="D118" s="50">
        <f>VLOOKUP($A118,'Data shares'!$C:$FM,114)</f>
        <v>52.69</v>
      </c>
      <c r="E118" s="50">
        <f>VLOOKUP($A118,'Data shares'!$C:$FM,106)</f>
        <v>61.36</v>
      </c>
      <c r="F118" s="50">
        <f>VLOOKUP($A118,'Data shares'!$C:$FM,108)</f>
        <v>-10.06</v>
      </c>
      <c r="G118" s="50">
        <f t="shared" si="3"/>
        <v>0.83604954367666229</v>
      </c>
    </row>
    <row r="119" spans="1:7" x14ac:dyDescent="0.25">
      <c r="A119" s="49" t="str">
        <f>'Data Vlaue (Cr)'!C114</f>
        <v>KEI</v>
      </c>
      <c r="B119" s="50">
        <f>VLOOKUP($A119,'Data shares'!$C:$FM,102)</f>
        <v>40.47</v>
      </c>
      <c r="C119" s="50">
        <f>VLOOKUP($A119,'Data shares'!$C:$FM,110)</f>
        <v>40.04</v>
      </c>
      <c r="D119" s="50">
        <f>VLOOKUP($A119,'Data shares'!$C:$FM,114)</f>
        <v>41.44</v>
      </c>
      <c r="E119" s="50">
        <f>VLOOKUP($A119,'Data shares'!$C:$FM,106)</f>
        <v>46.72</v>
      </c>
      <c r="F119" s="50">
        <f>VLOOKUP($A119,'Data shares'!$C:$FM,108)</f>
        <v>-6.25</v>
      </c>
      <c r="G119" s="50">
        <f t="shared" si="3"/>
        <v>0.86622431506849318</v>
      </c>
    </row>
    <row r="120" spans="1:7" x14ac:dyDescent="0.25">
      <c r="A120" s="49" t="str">
        <f>'Data Vlaue (Cr)'!C115</f>
        <v>KFINTECH</v>
      </c>
      <c r="B120" s="50">
        <f>VLOOKUP($A120,'Data shares'!$C:$FM,102)</f>
        <v>44.32</v>
      </c>
      <c r="C120" s="50">
        <f>VLOOKUP($A120,'Data shares'!$C:$FM,110)</f>
        <v>44.19</v>
      </c>
      <c r="D120" s="50">
        <f>VLOOKUP($A120,'Data shares'!$C:$FM,114)</f>
        <v>44.85</v>
      </c>
      <c r="E120" s="50">
        <f>VLOOKUP($A120,'Data shares'!$C:$FM,106)</f>
        <v>50.5</v>
      </c>
      <c r="F120" s="50">
        <f>VLOOKUP($A120,'Data shares'!$C:$FM,108)</f>
        <v>-6.18</v>
      </c>
      <c r="G120" s="50">
        <f t="shared" si="3"/>
        <v>0.87762376237623763</v>
      </c>
    </row>
    <row r="121" spans="1:7" x14ac:dyDescent="0.25">
      <c r="A121" s="49" t="str">
        <f>'Data Vlaue (Cr)'!C116</f>
        <v>KOTAKBANK</v>
      </c>
      <c r="B121" s="50">
        <f>VLOOKUP($A121,'Data shares'!$C:$FM,102)</f>
        <v>28.47</v>
      </c>
      <c r="C121" s="50">
        <f>VLOOKUP($A121,'Data shares'!$C:$FM,110)</f>
        <v>27.79</v>
      </c>
      <c r="D121" s="50">
        <f>VLOOKUP($A121,'Data shares'!$C:$FM,114)</f>
        <v>29.46</v>
      </c>
      <c r="E121" s="50">
        <f>VLOOKUP($A121,'Data shares'!$C:$FM,106)</f>
        <v>27.33</v>
      </c>
      <c r="F121" s="50">
        <f>VLOOKUP($A121,'Data shares'!$C:$FM,108)</f>
        <v>1.1399999999999999</v>
      </c>
      <c r="G121" s="50">
        <f t="shared" si="3"/>
        <v>1.0417124039517014</v>
      </c>
    </row>
    <row r="122" spans="1:7" x14ac:dyDescent="0.25">
      <c r="A122" s="49" t="str">
        <f>'Data Vlaue (Cr)'!C117</f>
        <v>KPITTECH</v>
      </c>
      <c r="B122" s="50">
        <f>VLOOKUP($A122,'Data shares'!$C:$FM,102)</f>
        <v>46.05</v>
      </c>
      <c r="C122" s="50">
        <f>VLOOKUP($A122,'Data shares'!$C:$FM,110)</f>
        <v>45.6</v>
      </c>
      <c r="D122" s="50">
        <f>VLOOKUP($A122,'Data shares'!$C:$FM,114)</f>
        <v>47.05</v>
      </c>
      <c r="E122" s="50">
        <f>VLOOKUP($A122,'Data shares'!$C:$FM,106)</f>
        <v>45.38</v>
      </c>
      <c r="F122" s="50">
        <f>VLOOKUP($A122,'Data shares'!$C:$FM,108)</f>
        <v>0.67</v>
      </c>
      <c r="G122" s="50">
        <f t="shared" si="3"/>
        <v>1.014764213309828</v>
      </c>
    </row>
    <row r="123" spans="1:7" x14ac:dyDescent="0.25">
      <c r="A123" s="49" t="str">
        <f>'Data Vlaue (Cr)'!C118</f>
        <v>LAURUSLABS</v>
      </c>
      <c r="B123" s="50">
        <f>VLOOKUP($A123,'Data shares'!$C:$FM,102)</f>
        <v>37.57</v>
      </c>
      <c r="C123" s="50">
        <f>VLOOKUP($A123,'Data shares'!$C:$FM,110)</f>
        <v>36.61</v>
      </c>
      <c r="D123" s="50">
        <f>VLOOKUP($A123,'Data shares'!$C:$FM,114)</f>
        <v>39.11</v>
      </c>
      <c r="E123" s="50">
        <f>VLOOKUP($A123,'Data shares'!$C:$FM,106)</f>
        <v>39.700000000000003</v>
      </c>
      <c r="F123" s="50">
        <f>VLOOKUP($A123,'Data shares'!$C:$FM,108)</f>
        <v>-2.13</v>
      </c>
      <c r="G123" s="50">
        <f t="shared" si="3"/>
        <v>0.94634760705289667</v>
      </c>
    </row>
    <row r="124" spans="1:7" x14ac:dyDescent="0.25">
      <c r="A124" s="49" t="str">
        <f>'Data Vlaue (Cr)'!C119</f>
        <v>LICHSGFIN</v>
      </c>
      <c r="B124" s="50">
        <f>VLOOKUP($A124,'Data shares'!$C:$FM,102)</f>
        <v>30.14</v>
      </c>
      <c r="C124" s="50">
        <f>VLOOKUP($A124,'Data shares'!$C:$FM,110)</f>
        <v>29.18</v>
      </c>
      <c r="D124" s="50">
        <f>VLOOKUP($A124,'Data shares'!$C:$FM,114)</f>
        <v>32.049999999999997</v>
      </c>
      <c r="E124" s="50">
        <f>VLOOKUP($A124,'Data shares'!$C:$FM,106)</f>
        <v>33.36</v>
      </c>
      <c r="F124" s="50">
        <f>VLOOKUP($A124,'Data shares'!$C:$FM,108)</f>
        <v>-3.22</v>
      </c>
      <c r="G124" s="50">
        <f t="shared" si="3"/>
        <v>0.90347721822541971</v>
      </c>
    </row>
    <row r="125" spans="1:7" x14ac:dyDescent="0.25">
      <c r="A125" s="49" t="str">
        <f>'Data Vlaue (Cr)'!C120</f>
        <v>LICI</v>
      </c>
      <c r="B125" s="50">
        <f>VLOOKUP($A125,'Data shares'!$C:$FM,102)</f>
        <v>33.090000000000003</v>
      </c>
      <c r="C125" s="50">
        <f>VLOOKUP($A125,'Data shares'!$C:$FM,110)</f>
        <v>32.83</v>
      </c>
      <c r="D125" s="50">
        <f>VLOOKUP($A125,'Data shares'!$C:$FM,114)</f>
        <v>33.82</v>
      </c>
      <c r="E125" s="50">
        <f>VLOOKUP($A125,'Data shares'!$C:$FM,106)</f>
        <v>33.1</v>
      </c>
      <c r="F125" s="50">
        <f>VLOOKUP($A125,'Data shares'!$C:$FM,108)</f>
        <v>-0.01</v>
      </c>
      <c r="G125" s="50">
        <f t="shared" si="3"/>
        <v>0.9996978851963747</v>
      </c>
    </row>
    <row r="126" spans="1:7" x14ac:dyDescent="0.25">
      <c r="A126" s="49" t="str">
        <f>'Data Vlaue (Cr)'!C121</f>
        <v>LODHA</v>
      </c>
      <c r="B126" s="50">
        <f>VLOOKUP($A126,'Data shares'!$C:$FM,102)</f>
        <v>41.86</v>
      </c>
      <c r="C126" s="50">
        <f>VLOOKUP($A126,'Data shares'!$C:$FM,110)</f>
        <v>41.29</v>
      </c>
      <c r="D126" s="50">
        <f>VLOOKUP($A126,'Data shares'!$C:$FM,114)</f>
        <v>42.93</v>
      </c>
      <c r="E126" s="50">
        <f>VLOOKUP($A126,'Data shares'!$C:$FM,106)</f>
        <v>47.5</v>
      </c>
      <c r="F126" s="50">
        <f>VLOOKUP($A126,'Data shares'!$C:$FM,108)</f>
        <v>-5.64</v>
      </c>
      <c r="G126" s="50">
        <f t="shared" si="3"/>
        <v>0.88126315789473686</v>
      </c>
    </row>
    <row r="127" spans="1:7" x14ac:dyDescent="0.25">
      <c r="A127" s="49" t="str">
        <f>'Data Vlaue (Cr)'!C122</f>
        <v>LT</v>
      </c>
      <c r="B127" s="50">
        <f>VLOOKUP($A127,'Data shares'!$C:$FM,102)</f>
        <v>31.7</v>
      </c>
      <c r="C127" s="50">
        <f>VLOOKUP($A127,'Data shares'!$C:$FM,110)</f>
        <v>30.78</v>
      </c>
      <c r="D127" s="50">
        <f>VLOOKUP($A127,'Data shares'!$C:$FM,114)</f>
        <v>33.630000000000003</v>
      </c>
      <c r="E127" s="50">
        <f>VLOOKUP($A127,'Data shares'!$C:$FM,106)</f>
        <v>34.090000000000003</v>
      </c>
      <c r="F127" s="50">
        <f>VLOOKUP($A127,'Data shares'!$C:$FM,108)</f>
        <v>-2.39</v>
      </c>
      <c r="G127" s="50">
        <f t="shared" si="3"/>
        <v>0.9298914637723672</v>
      </c>
    </row>
    <row r="128" spans="1:7" x14ac:dyDescent="0.25">
      <c r="A128" s="49" t="str">
        <f>'Data Vlaue (Cr)'!C123</f>
        <v>LTF</v>
      </c>
      <c r="B128" s="50">
        <f>VLOOKUP($A128,'Data shares'!$C:$FM,102)</f>
        <v>39.11</v>
      </c>
      <c r="C128" s="50">
        <f>VLOOKUP($A128,'Data shares'!$C:$FM,110)</f>
        <v>37.630000000000003</v>
      </c>
      <c r="D128" s="50">
        <f>VLOOKUP($A128,'Data shares'!$C:$FM,114)</f>
        <v>41.74</v>
      </c>
      <c r="E128" s="50">
        <f>VLOOKUP($A128,'Data shares'!$C:$FM,106)</f>
        <v>41.84</v>
      </c>
      <c r="F128" s="50">
        <f>VLOOKUP($A128,'Data shares'!$C:$FM,108)</f>
        <v>-2.73</v>
      </c>
      <c r="G128" s="50">
        <f t="shared" si="3"/>
        <v>0.93475143403441674</v>
      </c>
    </row>
    <row r="129" spans="1:7" x14ac:dyDescent="0.25">
      <c r="A129" s="49" t="str">
        <f>'Data Vlaue (Cr)'!C124</f>
        <v>LTM</v>
      </c>
      <c r="B129" s="50">
        <f>VLOOKUP($A129,'Data shares'!$C:$FM,102)</f>
        <v>37.229999999999997</v>
      </c>
      <c r="C129" s="50">
        <f>VLOOKUP($A129,'Data shares'!$C:$FM,110)</f>
        <v>36.46</v>
      </c>
      <c r="D129" s="50">
        <f>VLOOKUP($A129,'Data shares'!$C:$FM,114)</f>
        <v>39.53</v>
      </c>
      <c r="E129" s="50">
        <f>VLOOKUP($A129,'Data shares'!$C:$FM,106)</f>
        <v>35.82</v>
      </c>
      <c r="F129" s="50">
        <f>VLOOKUP($A129,'Data shares'!$C:$FM,108)</f>
        <v>1.41</v>
      </c>
      <c r="G129" s="50">
        <f t="shared" si="3"/>
        <v>1.039363484087102</v>
      </c>
    </row>
    <row r="130" spans="1:7" x14ac:dyDescent="0.25">
      <c r="A130" s="49" t="str">
        <f>'Data Vlaue (Cr)'!C125</f>
        <v>LUPIN</v>
      </c>
      <c r="B130" s="50">
        <f>VLOOKUP($A130,'Data shares'!$C:$FM,102)</f>
        <v>25.85</v>
      </c>
      <c r="C130" s="50">
        <f>VLOOKUP($A130,'Data shares'!$C:$FM,110)</f>
        <v>25.58</v>
      </c>
      <c r="D130" s="50">
        <f>VLOOKUP($A130,'Data shares'!$C:$FM,114)</f>
        <v>26.39</v>
      </c>
      <c r="E130" s="50">
        <f>VLOOKUP($A130,'Data shares'!$C:$FM,106)</f>
        <v>28.15</v>
      </c>
      <c r="F130" s="50">
        <f>VLOOKUP($A130,'Data shares'!$C:$FM,108)</f>
        <v>-2.2999999999999998</v>
      </c>
      <c r="G130" s="50">
        <f t="shared" si="3"/>
        <v>0.91829484902309066</v>
      </c>
    </row>
    <row r="131" spans="1:7" x14ac:dyDescent="0.25">
      <c r="A131" s="49" t="str">
        <f>'Data Vlaue (Cr)'!C126</f>
        <v>M&amp;M</v>
      </c>
      <c r="B131" s="50">
        <f>VLOOKUP($A131,'Data shares'!$C:$FM,102)</f>
        <v>34.06</v>
      </c>
      <c r="C131" s="50">
        <f>VLOOKUP($A131,'Data shares'!$C:$FM,110)</f>
        <v>32.69</v>
      </c>
      <c r="D131" s="50">
        <f>VLOOKUP($A131,'Data shares'!$C:$FM,114)</f>
        <v>36.35</v>
      </c>
      <c r="E131" s="50">
        <f>VLOOKUP($A131,'Data shares'!$C:$FM,106)</f>
        <v>35.76</v>
      </c>
      <c r="F131" s="50">
        <f>VLOOKUP($A131,'Data shares'!$C:$FM,108)</f>
        <v>-1.7</v>
      </c>
      <c r="G131" s="50">
        <f t="shared" si="3"/>
        <v>0.95246085011185699</v>
      </c>
    </row>
    <row r="132" spans="1:7" x14ac:dyDescent="0.25">
      <c r="A132" s="49" t="str">
        <f>'Data Vlaue (Cr)'!C127</f>
        <v>MANAPPURAM</v>
      </c>
      <c r="B132" s="50">
        <f>VLOOKUP($A132,'Data shares'!$C:$FM,102)</f>
        <v>36.42</v>
      </c>
      <c r="C132" s="50">
        <f>VLOOKUP($A132,'Data shares'!$C:$FM,110)</f>
        <v>36.08</v>
      </c>
      <c r="D132" s="50">
        <f>VLOOKUP($A132,'Data shares'!$C:$FM,114)</f>
        <v>37.6</v>
      </c>
      <c r="E132" s="50">
        <f>VLOOKUP($A132,'Data shares'!$C:$FM,106)</f>
        <v>43.05</v>
      </c>
      <c r="F132" s="50">
        <f>VLOOKUP($A132,'Data shares'!$C:$FM,108)</f>
        <v>-6.63</v>
      </c>
      <c r="G132" s="50">
        <f t="shared" si="3"/>
        <v>0.84599303135888515</v>
      </c>
    </row>
    <row r="133" spans="1:7" x14ac:dyDescent="0.25">
      <c r="A133" s="49" t="str">
        <f>'Data Vlaue (Cr)'!C128</f>
        <v>MANKIND</v>
      </c>
      <c r="B133" s="50">
        <f>VLOOKUP($A133,'Data shares'!$C:$FM,102)</f>
        <v>37.15</v>
      </c>
      <c r="C133" s="50">
        <f>VLOOKUP($A133,'Data shares'!$C:$FM,110)</f>
        <v>34.33</v>
      </c>
      <c r="D133" s="50">
        <f>VLOOKUP($A133,'Data shares'!$C:$FM,114)</f>
        <v>46.22</v>
      </c>
      <c r="E133" s="50">
        <f>VLOOKUP($A133,'Data shares'!$C:$FM,106)</f>
        <v>34.01</v>
      </c>
      <c r="F133" s="50">
        <f>VLOOKUP($A133,'Data shares'!$C:$FM,108)</f>
        <v>3.14</v>
      </c>
      <c r="G133" s="50">
        <f t="shared" si="3"/>
        <v>1.0923257865333726</v>
      </c>
    </row>
    <row r="134" spans="1:7" x14ac:dyDescent="0.25">
      <c r="A134" s="49" t="str">
        <f>'Data Vlaue (Cr)'!C129</f>
        <v>MARICO</v>
      </c>
      <c r="B134" s="50">
        <f>VLOOKUP($A134,'Data shares'!$C:$FM,102)</f>
        <v>24.73</v>
      </c>
      <c r="C134" s="50">
        <f>VLOOKUP($A134,'Data shares'!$C:$FM,110)</f>
        <v>24.63</v>
      </c>
      <c r="D134" s="50">
        <f>VLOOKUP($A134,'Data shares'!$C:$FM,114)</f>
        <v>25.01</v>
      </c>
      <c r="E134" s="50">
        <f>VLOOKUP($A134,'Data shares'!$C:$FM,106)</f>
        <v>24.68</v>
      </c>
      <c r="F134" s="50">
        <f>VLOOKUP($A134,'Data shares'!$C:$FM,108)</f>
        <v>0.05</v>
      </c>
      <c r="G134" s="50">
        <f t="shared" si="3"/>
        <v>1.0020259319286873</v>
      </c>
    </row>
    <row r="135" spans="1:7" x14ac:dyDescent="0.25">
      <c r="A135" s="49" t="str">
        <f>'Data Vlaue (Cr)'!C130</f>
        <v>MARUTI</v>
      </c>
      <c r="B135" s="50">
        <f>VLOOKUP($A135,'Data shares'!$C:$FM,102)</f>
        <v>30.9</v>
      </c>
      <c r="C135" s="50">
        <f>VLOOKUP($A135,'Data shares'!$C:$FM,110)</f>
        <v>29.76</v>
      </c>
      <c r="D135" s="50">
        <f>VLOOKUP($A135,'Data shares'!$C:$FM,114)</f>
        <v>33.020000000000003</v>
      </c>
      <c r="E135" s="50">
        <f>VLOOKUP($A135,'Data shares'!$C:$FM,106)</f>
        <v>28.5</v>
      </c>
      <c r="F135" s="50">
        <f>VLOOKUP($A135,'Data shares'!$C:$FM,108)</f>
        <v>2.4</v>
      </c>
      <c r="G135" s="50">
        <f t="shared" ref="G135:G166" si="4">B135/E135</f>
        <v>1.0842105263157895</v>
      </c>
    </row>
    <row r="136" spans="1:7" x14ac:dyDescent="0.25">
      <c r="A136" s="49" t="str">
        <f>'Data Vlaue (Cr)'!C131</f>
        <v>MAXHEALTH</v>
      </c>
      <c r="B136" s="50">
        <f>VLOOKUP($A136,'Data shares'!$C:$FM,102)</f>
        <v>30.87</v>
      </c>
      <c r="C136" s="50">
        <f>VLOOKUP($A136,'Data shares'!$C:$FM,110)</f>
        <v>30.71</v>
      </c>
      <c r="D136" s="50">
        <f>VLOOKUP($A136,'Data shares'!$C:$FM,114)</f>
        <v>31.47</v>
      </c>
      <c r="E136" s="50">
        <f>VLOOKUP($A136,'Data shares'!$C:$FM,106)</f>
        <v>36.29</v>
      </c>
      <c r="F136" s="50">
        <f>VLOOKUP($A136,'Data shares'!$C:$FM,108)</f>
        <v>-5.42</v>
      </c>
      <c r="G136" s="50">
        <f t="shared" si="4"/>
        <v>0.8506475613116562</v>
      </c>
    </row>
    <row r="137" spans="1:7" x14ac:dyDescent="0.25">
      <c r="A137" s="49" t="str">
        <f>'Data Vlaue (Cr)'!C132</f>
        <v>MAZDOCK</v>
      </c>
      <c r="B137" s="50">
        <f>VLOOKUP($A137,'Data shares'!$C:$FM,102)</f>
        <v>43.78</v>
      </c>
      <c r="C137" s="50">
        <f>VLOOKUP($A137,'Data shares'!$C:$FM,110)</f>
        <v>43.47</v>
      </c>
      <c r="D137" s="50">
        <f>VLOOKUP($A137,'Data shares'!$C:$FM,114)</f>
        <v>44.72</v>
      </c>
      <c r="E137" s="50">
        <f>VLOOKUP($A137,'Data shares'!$C:$FM,106)</f>
        <v>56.72</v>
      </c>
      <c r="F137" s="50">
        <f>VLOOKUP($A137,'Data shares'!$C:$FM,108)</f>
        <v>-12.94</v>
      </c>
      <c r="G137" s="50">
        <f t="shared" si="4"/>
        <v>0.77186177715091686</v>
      </c>
    </row>
    <row r="138" spans="1:7" x14ac:dyDescent="0.25">
      <c r="A138" s="49" t="str">
        <f>'Data Vlaue (Cr)'!C133</f>
        <v>MCX</v>
      </c>
      <c r="B138" s="50">
        <f>VLOOKUP($A138,'Data shares'!$C:$FM,102)</f>
        <v>46.91</v>
      </c>
      <c r="C138" s="50">
        <f>VLOOKUP($A138,'Data shares'!$C:$FM,110)</f>
        <v>45.92</v>
      </c>
      <c r="D138" s="50">
        <f>VLOOKUP($A138,'Data shares'!$C:$FM,114)</f>
        <v>48.63</v>
      </c>
      <c r="E138" s="50">
        <f>VLOOKUP($A138,'Data shares'!$C:$FM,106)</f>
        <v>50.26</v>
      </c>
      <c r="F138" s="50">
        <f>VLOOKUP($A138,'Data shares'!$C:$FM,108)</f>
        <v>-3.35</v>
      </c>
      <c r="G138" s="50">
        <f t="shared" si="4"/>
        <v>0.93334659769200157</v>
      </c>
    </row>
    <row r="139" spans="1:7" x14ac:dyDescent="0.25">
      <c r="A139" s="49" t="str">
        <f>'Data Vlaue (Cr)'!C134</f>
        <v>MFSL</v>
      </c>
      <c r="B139" s="50">
        <f>VLOOKUP($A139,'Data shares'!$C:$FM,102)</f>
        <v>34.07</v>
      </c>
      <c r="C139" s="50">
        <f>VLOOKUP($A139,'Data shares'!$C:$FM,110)</f>
        <v>32.68</v>
      </c>
      <c r="D139" s="50">
        <f>VLOOKUP($A139,'Data shares'!$C:$FM,114)</f>
        <v>36.61</v>
      </c>
      <c r="E139" s="50">
        <f>VLOOKUP($A139,'Data shares'!$C:$FM,106)</f>
        <v>31.78</v>
      </c>
      <c r="F139" s="50">
        <f>VLOOKUP($A139,'Data shares'!$C:$FM,108)</f>
        <v>2.29</v>
      </c>
      <c r="G139" s="50">
        <f t="shared" si="4"/>
        <v>1.0720578980490874</v>
      </c>
    </row>
    <row r="140" spans="1:7" x14ac:dyDescent="0.25">
      <c r="A140" s="49" t="str">
        <f>'Data Vlaue (Cr)'!C135</f>
        <v>MIDCPNIFTY</v>
      </c>
      <c r="B140" s="50">
        <f>VLOOKUP($A140,'Data shares'!$C:$FM,102)</f>
        <v>27.45</v>
      </c>
      <c r="C140" s="50">
        <f>VLOOKUP($A140,'Data shares'!$C:$FM,110)</f>
        <v>24.15</v>
      </c>
      <c r="D140" s="50">
        <f>VLOOKUP($A140,'Data shares'!$C:$FM,114)</f>
        <v>30.59</v>
      </c>
      <c r="E140" s="50">
        <f>VLOOKUP($A140,'Data shares'!$C:$FM,106)</f>
        <v>25.21</v>
      </c>
      <c r="F140" s="50">
        <f>VLOOKUP($A140,'Data shares'!$C:$FM,108)</f>
        <v>2.2400000000000002</v>
      </c>
      <c r="G140" s="50">
        <f t="shared" si="4"/>
        <v>1.0888536295120983</v>
      </c>
    </row>
    <row r="141" spans="1:7" x14ac:dyDescent="0.25">
      <c r="A141" s="49" t="str">
        <f>'Data Vlaue (Cr)'!C136</f>
        <v>MOTHERSON</v>
      </c>
      <c r="B141" s="50">
        <f>VLOOKUP($A141,'Data shares'!$C:$FM,102)</f>
        <v>41.38</v>
      </c>
      <c r="C141" s="50">
        <f>VLOOKUP($A141,'Data shares'!$C:$FM,110)</f>
        <v>40.44</v>
      </c>
      <c r="D141" s="50">
        <f>VLOOKUP($A141,'Data shares'!$C:$FM,114)</f>
        <v>42.86</v>
      </c>
      <c r="E141" s="50">
        <f>VLOOKUP($A141,'Data shares'!$C:$FM,106)</f>
        <v>42.94</v>
      </c>
      <c r="F141" s="50">
        <f>VLOOKUP($A141,'Data shares'!$C:$FM,108)</f>
        <v>-1.56</v>
      </c>
      <c r="G141" s="50">
        <f t="shared" si="4"/>
        <v>0.96367023754075465</v>
      </c>
    </row>
    <row r="142" spans="1:7" x14ac:dyDescent="0.25">
      <c r="A142" s="49" t="str">
        <f>'Data Vlaue (Cr)'!C137</f>
        <v>MOTILALOFS</v>
      </c>
      <c r="B142" s="50">
        <f>VLOOKUP($A142,'Data shares'!$C:$FM,102)</f>
        <v>44.73</v>
      </c>
      <c r="C142" s="50">
        <f>VLOOKUP($A142,'Data shares'!$C:$FM,110)</f>
        <v>41.89</v>
      </c>
      <c r="D142" s="50">
        <f>VLOOKUP($A142,'Data shares'!$C:$FM,114)</f>
        <v>47.63</v>
      </c>
      <c r="E142" s="50">
        <f>VLOOKUP($A142,'Data shares'!$C:$FM,106)</f>
        <v>54.67</v>
      </c>
      <c r="F142" s="50">
        <f>VLOOKUP($A142,'Data shares'!$C:$FM,108)</f>
        <v>-9.94</v>
      </c>
      <c r="G142" s="50">
        <f t="shared" si="4"/>
        <v>0.81818181818181812</v>
      </c>
    </row>
    <row r="143" spans="1:7" x14ac:dyDescent="0.25">
      <c r="A143" s="49" t="str">
        <f>'Data Vlaue (Cr)'!C138</f>
        <v>MPHASIS</v>
      </c>
      <c r="B143" s="50">
        <f>VLOOKUP($A143,'Data shares'!$C:$FM,102)</f>
        <v>38.06</v>
      </c>
      <c r="C143" s="50">
        <f>VLOOKUP($A143,'Data shares'!$C:$FM,110)</f>
        <v>37.340000000000003</v>
      </c>
      <c r="D143" s="50">
        <f>VLOOKUP($A143,'Data shares'!$C:$FM,114)</f>
        <v>39.06</v>
      </c>
      <c r="E143" s="50">
        <f>VLOOKUP($A143,'Data shares'!$C:$FM,106)</f>
        <v>36.29</v>
      </c>
      <c r="F143" s="50">
        <f>VLOOKUP($A143,'Data shares'!$C:$FM,108)</f>
        <v>1.77</v>
      </c>
      <c r="G143" s="50">
        <f t="shared" si="4"/>
        <v>1.0487737668779278</v>
      </c>
    </row>
    <row r="144" spans="1:7" x14ac:dyDescent="0.25">
      <c r="A144" s="234" t="str">
        <f>'Data Vlaue (Cr)'!C139</f>
        <v>MUTHOOTFIN</v>
      </c>
      <c r="B144" s="233">
        <f>VLOOKUP($A144,'Data shares'!$C:$FM,102)</f>
        <v>38.32</v>
      </c>
      <c r="C144" s="233">
        <f>VLOOKUP($A144,'Data shares'!$C:$FM,110)</f>
        <v>37.07</v>
      </c>
      <c r="D144" s="233">
        <f>VLOOKUP($A144,'Data shares'!$C:$FM,114)</f>
        <v>41.46</v>
      </c>
      <c r="E144" s="233">
        <f>VLOOKUP($A144,'Data shares'!$C:$FM,106)</f>
        <v>44.64</v>
      </c>
      <c r="F144" s="233">
        <f>VLOOKUP($A144,'Data shares'!$C:$FM,108)</f>
        <v>-6.32</v>
      </c>
      <c r="G144" s="233">
        <f t="shared" si="4"/>
        <v>0.8584229390681003</v>
      </c>
    </row>
    <row r="145" spans="1:7" x14ac:dyDescent="0.25">
      <c r="A145" s="49" t="str">
        <f>'Data Vlaue (Cr)'!C140</f>
        <v>NAM-INDIA</v>
      </c>
      <c r="B145" s="50">
        <f>VLOOKUP($A145,'Data shares'!$C:$FM,102)</f>
        <v>52.84</v>
      </c>
      <c r="C145" s="50">
        <f>VLOOKUP($A145,'Data shares'!$C:$FM,110)</f>
        <v>43.57</v>
      </c>
      <c r="D145" s="50">
        <f>VLOOKUP($A145,'Data shares'!$C:$FM,114)</f>
        <v>58.21</v>
      </c>
      <c r="E145" s="50">
        <f>VLOOKUP($A145,'Data shares'!$C:$FM,106)</f>
        <v>49.02</v>
      </c>
      <c r="F145" s="50">
        <f>VLOOKUP($A145,'Data shares'!$C:$FM,108)</f>
        <v>3.82</v>
      </c>
      <c r="G145" s="50">
        <f t="shared" si="4"/>
        <v>1.0779273765809874</v>
      </c>
    </row>
    <row r="146" spans="1:7" x14ac:dyDescent="0.25">
      <c r="A146" s="49" t="str">
        <f>'Data Vlaue (Cr)'!C141</f>
        <v>NATIONALUM</v>
      </c>
      <c r="B146" s="50">
        <f>VLOOKUP($A146,'Data shares'!$C:$FM,102)</f>
        <v>45.31</v>
      </c>
      <c r="C146" s="50">
        <f>VLOOKUP($A146,'Data shares'!$C:$FM,110)</f>
        <v>44.91</v>
      </c>
      <c r="D146" s="50">
        <f>VLOOKUP($A146,'Data shares'!$C:$FM,114)</f>
        <v>46.61</v>
      </c>
      <c r="E146" s="50">
        <f>VLOOKUP($A146,'Data shares'!$C:$FM,106)</f>
        <v>52.17</v>
      </c>
      <c r="F146" s="50">
        <f>VLOOKUP($A146,'Data shares'!$C:$FM,108)</f>
        <v>-6.86</v>
      </c>
      <c r="G146" s="50">
        <f t="shared" si="4"/>
        <v>0.86850680467701746</v>
      </c>
    </row>
    <row r="147" spans="1:7" x14ac:dyDescent="0.25">
      <c r="A147" s="49" t="str">
        <f>'Data Vlaue (Cr)'!C142</f>
        <v>NAUKRI</v>
      </c>
      <c r="B147" s="50">
        <f>VLOOKUP($A147,'Data shares'!$C:$FM,102)</f>
        <v>34.020000000000003</v>
      </c>
      <c r="C147" s="50">
        <f>VLOOKUP($A147,'Data shares'!$C:$FM,110)</f>
        <v>33.450000000000003</v>
      </c>
      <c r="D147" s="50">
        <f>VLOOKUP($A147,'Data shares'!$C:$FM,114)</f>
        <v>34.74</v>
      </c>
      <c r="E147" s="50">
        <f>VLOOKUP($A147,'Data shares'!$C:$FM,106)</f>
        <v>36.68</v>
      </c>
      <c r="F147" s="50">
        <f>VLOOKUP($A147,'Data shares'!$C:$FM,108)</f>
        <v>-2.66</v>
      </c>
      <c r="G147" s="50">
        <f t="shared" si="4"/>
        <v>0.9274809160305344</v>
      </c>
    </row>
    <row r="148" spans="1:7" x14ac:dyDescent="0.25">
      <c r="A148" s="49" t="str">
        <f>'Data Vlaue (Cr)'!C143</f>
        <v>NBCC</v>
      </c>
      <c r="B148" s="50">
        <f>VLOOKUP($A148,'Data shares'!$C:$FM,102)</f>
        <v>45.74</v>
      </c>
      <c r="C148" s="50">
        <f>VLOOKUP($A148,'Data shares'!$C:$FM,110)</f>
        <v>44.57</v>
      </c>
      <c r="D148" s="50">
        <f>VLOOKUP($A148,'Data shares'!$C:$FM,114)</f>
        <v>48.3</v>
      </c>
      <c r="E148" s="50">
        <f>VLOOKUP($A148,'Data shares'!$C:$FM,106)</f>
        <v>52.24</v>
      </c>
      <c r="F148" s="50">
        <f>VLOOKUP($A148,'Data shares'!$C:$FM,108)</f>
        <v>-6.5</v>
      </c>
      <c r="G148" s="50">
        <f t="shared" si="4"/>
        <v>0.87557427258805509</v>
      </c>
    </row>
    <row r="149" spans="1:7" x14ac:dyDescent="0.25">
      <c r="A149" s="49" t="str">
        <f>'Data Vlaue (Cr)'!C144</f>
        <v>NESTLEIND</v>
      </c>
      <c r="B149" s="50">
        <f>VLOOKUP($A149,'Data shares'!$C:$FM,102)</f>
        <v>25.47</v>
      </c>
      <c r="C149" s="50">
        <f>VLOOKUP($A149,'Data shares'!$C:$FM,110)</f>
        <v>24.62</v>
      </c>
      <c r="D149" s="50">
        <f>VLOOKUP($A149,'Data shares'!$C:$FM,114)</f>
        <v>27</v>
      </c>
      <c r="E149" s="50">
        <f>VLOOKUP($A149,'Data shares'!$C:$FM,106)</f>
        <v>23.19</v>
      </c>
      <c r="F149" s="50">
        <f>VLOOKUP($A149,'Data shares'!$C:$FM,108)</f>
        <v>2.2799999999999998</v>
      </c>
      <c r="G149" s="50">
        <f t="shared" si="4"/>
        <v>1.0983182406209573</v>
      </c>
    </row>
    <row r="150" spans="1:7" x14ac:dyDescent="0.25">
      <c r="A150" s="49" t="str">
        <f>'Data Vlaue (Cr)'!C145</f>
        <v>NHPC</v>
      </c>
      <c r="B150" s="50">
        <f>VLOOKUP($A150,'Data shares'!$C:$FM,102)</f>
        <v>34.14</v>
      </c>
      <c r="C150" s="50">
        <f>VLOOKUP($A150,'Data shares'!$C:$FM,110)</f>
        <v>34.25</v>
      </c>
      <c r="D150" s="50">
        <f>VLOOKUP($A150,'Data shares'!$C:$FM,114)</f>
        <v>33.75</v>
      </c>
      <c r="E150" s="50">
        <f>VLOOKUP($A150,'Data shares'!$C:$FM,106)</f>
        <v>34.93</v>
      </c>
      <c r="F150" s="50">
        <f>VLOOKUP($A150,'Data shares'!$C:$FM,108)</f>
        <v>-0.79</v>
      </c>
      <c r="G150" s="50">
        <f t="shared" si="4"/>
        <v>0.97738333810478106</v>
      </c>
    </row>
    <row r="151" spans="1:7" x14ac:dyDescent="0.25">
      <c r="A151" s="49" t="str">
        <f>'Data Vlaue (Cr)'!C146</f>
        <v>NIFTY</v>
      </c>
      <c r="B151" s="50">
        <f>VLOOKUP($A151,'Data shares'!$C:$FM,102)</f>
        <v>20.25</v>
      </c>
      <c r="C151" s="50">
        <f>VLOOKUP($A151,'Data shares'!$C:$FM,110)</f>
        <v>18.25</v>
      </c>
      <c r="D151" s="50">
        <f>VLOOKUP($A151,'Data shares'!$C:$FM,114)</f>
        <v>22.46</v>
      </c>
      <c r="E151" s="50">
        <f>VLOOKUP($A151,'Data shares'!$C:$FM,106)</f>
        <v>17.66</v>
      </c>
      <c r="F151" s="50">
        <f>VLOOKUP($A151,'Data shares'!$C:$FM,108)</f>
        <v>2.59</v>
      </c>
      <c r="G151" s="50">
        <f t="shared" si="4"/>
        <v>1.1466591166477915</v>
      </c>
    </row>
    <row r="152" spans="1:7" x14ac:dyDescent="0.25">
      <c r="A152" s="49" t="str">
        <f>'Data Vlaue (Cr)'!C147</f>
        <v>NIFTYNXT50</v>
      </c>
      <c r="B152" s="50">
        <f>VLOOKUP($A152,'Data shares'!$C:$FM,102)</f>
        <v>21.26</v>
      </c>
      <c r="C152" s="50">
        <f>VLOOKUP($A152,'Data shares'!$C:$FM,110)</f>
        <v>20.95</v>
      </c>
      <c r="D152" s="50">
        <f>VLOOKUP($A152,'Data shares'!$C:$FM,114)</f>
        <v>21.68</v>
      </c>
      <c r="E152" s="50">
        <f>VLOOKUP($A152,'Data shares'!$C:$FM,106)</f>
        <v>23.09</v>
      </c>
      <c r="F152" s="50">
        <f>VLOOKUP($A152,'Data shares'!$C:$FM,108)</f>
        <v>-1.83</v>
      </c>
      <c r="G152" s="50">
        <f t="shared" si="4"/>
        <v>0.9207449112169771</v>
      </c>
    </row>
    <row r="153" spans="1:7" x14ac:dyDescent="0.25">
      <c r="A153" s="49" t="str">
        <f>'Data Vlaue (Cr)'!C148</f>
        <v>NMDC</v>
      </c>
      <c r="B153" s="50">
        <f>VLOOKUP($A153,'Data shares'!$C:$FM,102)</f>
        <v>33.1</v>
      </c>
      <c r="C153" s="50">
        <f>VLOOKUP($A153,'Data shares'!$C:$FM,110)</f>
        <v>32.18</v>
      </c>
      <c r="D153" s="50">
        <f>VLOOKUP($A153,'Data shares'!$C:$FM,114)</f>
        <v>35.6</v>
      </c>
      <c r="E153" s="50">
        <f>VLOOKUP($A153,'Data shares'!$C:$FM,106)</f>
        <v>39.28</v>
      </c>
      <c r="F153" s="50">
        <f>VLOOKUP($A153,'Data shares'!$C:$FM,108)</f>
        <v>-6.18</v>
      </c>
      <c r="G153" s="50">
        <f t="shared" si="4"/>
        <v>0.84266802443991851</v>
      </c>
    </row>
    <row r="154" spans="1:7" x14ac:dyDescent="0.25">
      <c r="A154" s="49" t="str">
        <f>'Data Vlaue (Cr)'!C149</f>
        <v>NTPC</v>
      </c>
      <c r="B154" s="50">
        <f>VLOOKUP($A154,'Data shares'!$C:$FM,102)</f>
        <v>22.24</v>
      </c>
      <c r="C154" s="50">
        <f>VLOOKUP($A154,'Data shares'!$C:$FM,110)</f>
        <v>21.84</v>
      </c>
      <c r="D154" s="50">
        <f>VLOOKUP($A154,'Data shares'!$C:$FM,114)</f>
        <v>23.5</v>
      </c>
      <c r="E154" s="50">
        <f>VLOOKUP($A154,'Data shares'!$C:$FM,106)</f>
        <v>27.57</v>
      </c>
      <c r="F154" s="50">
        <f>VLOOKUP($A154,'Data shares'!$C:$FM,108)</f>
        <v>-5.33</v>
      </c>
      <c r="G154" s="50">
        <f t="shared" si="4"/>
        <v>0.80667392092854551</v>
      </c>
    </row>
    <row r="155" spans="1:7" x14ac:dyDescent="0.25">
      <c r="A155" s="49" t="str">
        <f>'Data Vlaue (Cr)'!C150</f>
        <v>NUVAMA</v>
      </c>
      <c r="B155" s="50">
        <f>VLOOKUP($A155,'Data shares'!$C:$FM,102)</f>
        <v>46.98</v>
      </c>
      <c r="C155" s="50">
        <f>VLOOKUP($A155,'Data shares'!$C:$FM,110)</f>
        <v>39.450000000000003</v>
      </c>
      <c r="D155" s="50">
        <f>VLOOKUP($A155,'Data shares'!$C:$FM,114)</f>
        <v>58.52</v>
      </c>
      <c r="E155" s="50">
        <f>VLOOKUP($A155,'Data shares'!$C:$FM,106)</f>
        <v>51.27</v>
      </c>
      <c r="F155" s="50">
        <f>VLOOKUP($A155,'Data shares'!$C:$FM,108)</f>
        <v>-4.29</v>
      </c>
      <c r="G155" s="50">
        <f t="shared" si="4"/>
        <v>0.91632533645406655</v>
      </c>
    </row>
    <row r="156" spans="1:7" x14ac:dyDescent="0.25">
      <c r="A156" s="49" t="str">
        <f>'Data Vlaue (Cr)'!C151</f>
        <v>NYKAA</v>
      </c>
      <c r="B156" s="50">
        <f>VLOOKUP($A156,'Data shares'!$C:$FM,102)</f>
        <v>33.32</v>
      </c>
      <c r="C156" s="50">
        <f>VLOOKUP($A156,'Data shares'!$C:$FM,110)</f>
        <v>32.93</v>
      </c>
      <c r="D156" s="50">
        <f>VLOOKUP($A156,'Data shares'!$C:$FM,114)</f>
        <v>34.43</v>
      </c>
      <c r="E156" s="50">
        <f>VLOOKUP($A156,'Data shares'!$C:$FM,106)</f>
        <v>36.1</v>
      </c>
      <c r="F156" s="50">
        <f>VLOOKUP($A156,'Data shares'!$C:$FM,108)</f>
        <v>-2.78</v>
      </c>
      <c r="G156" s="50">
        <f t="shared" si="4"/>
        <v>0.92299168975069246</v>
      </c>
    </row>
    <row r="157" spans="1:7" x14ac:dyDescent="0.25">
      <c r="A157" s="49" t="str">
        <f>'Data Vlaue (Cr)'!C152</f>
        <v>OBEROIRLTY</v>
      </c>
      <c r="B157" s="50">
        <f>VLOOKUP($A157,'Data shares'!$C:$FM,102)</f>
        <v>35.96</v>
      </c>
      <c r="C157" s="50">
        <f>VLOOKUP($A157,'Data shares'!$C:$FM,110)</f>
        <v>35.26</v>
      </c>
      <c r="D157" s="50">
        <f>VLOOKUP($A157,'Data shares'!$C:$FM,114)</f>
        <v>36.909999999999997</v>
      </c>
      <c r="E157" s="50">
        <f>VLOOKUP($A157,'Data shares'!$C:$FM,106)</f>
        <v>37.17</v>
      </c>
      <c r="F157" s="50">
        <f>VLOOKUP($A157,'Data shares'!$C:$FM,108)</f>
        <v>-1.21</v>
      </c>
      <c r="G157" s="50">
        <f t="shared" si="4"/>
        <v>0.96744686575195049</v>
      </c>
    </row>
    <row r="158" spans="1:7" x14ac:dyDescent="0.25">
      <c r="A158" s="49" t="str">
        <f>'Data Vlaue (Cr)'!C153</f>
        <v>OFSS</v>
      </c>
      <c r="B158" s="50">
        <f>VLOOKUP($A158,'Data shares'!$C:$FM,102)</f>
        <v>41.43</v>
      </c>
      <c r="C158" s="50">
        <f>VLOOKUP($A158,'Data shares'!$C:$FM,110)</f>
        <v>37.99</v>
      </c>
      <c r="D158" s="50">
        <f>VLOOKUP($A158,'Data shares'!$C:$FM,114)</f>
        <v>45.96</v>
      </c>
      <c r="E158" s="50">
        <f>VLOOKUP($A158,'Data shares'!$C:$FM,106)</f>
        <v>39.58</v>
      </c>
      <c r="F158" s="50">
        <f>VLOOKUP($A158,'Data shares'!$C:$FM,108)</f>
        <v>1.85</v>
      </c>
      <c r="G158" s="50">
        <f t="shared" si="4"/>
        <v>1.0467407781707934</v>
      </c>
    </row>
    <row r="159" spans="1:7" x14ac:dyDescent="0.25">
      <c r="A159" s="49" t="str">
        <f>'Data Vlaue (Cr)'!C154</f>
        <v>OIL</v>
      </c>
      <c r="B159" s="50">
        <f>VLOOKUP($A159,'Data shares'!$C:$FM,102)</f>
        <v>35.090000000000003</v>
      </c>
      <c r="C159" s="50">
        <f>VLOOKUP($A159,'Data shares'!$C:$FM,110)</f>
        <v>34.83</v>
      </c>
      <c r="D159" s="50">
        <f>VLOOKUP($A159,'Data shares'!$C:$FM,114)</f>
        <v>35.979999999999997</v>
      </c>
      <c r="E159" s="50">
        <f>VLOOKUP($A159,'Data shares'!$C:$FM,106)</f>
        <v>41.87</v>
      </c>
      <c r="F159" s="50">
        <f>VLOOKUP($A159,'Data shares'!$C:$FM,108)</f>
        <v>-6.78</v>
      </c>
      <c r="G159" s="50">
        <f t="shared" si="4"/>
        <v>0.83807021733938392</v>
      </c>
    </row>
    <row r="160" spans="1:7" x14ac:dyDescent="0.25">
      <c r="A160" s="49" t="str">
        <f>'Data Vlaue (Cr)'!C155</f>
        <v>ONGC</v>
      </c>
      <c r="B160" s="50">
        <f>VLOOKUP($A160,'Data shares'!$C:$FM,102)</f>
        <v>29.14</v>
      </c>
      <c r="C160" s="50">
        <f>VLOOKUP($A160,'Data shares'!$C:$FM,110)</f>
        <v>28.77</v>
      </c>
      <c r="D160" s="50">
        <f>VLOOKUP($A160,'Data shares'!$C:$FM,114)</f>
        <v>30.15</v>
      </c>
      <c r="E160" s="50">
        <f>VLOOKUP($A160,'Data shares'!$C:$FM,106)</f>
        <v>32.03</v>
      </c>
      <c r="F160" s="50">
        <f>VLOOKUP($A160,'Data shares'!$C:$FM,108)</f>
        <v>-2.89</v>
      </c>
      <c r="G160" s="50">
        <f t="shared" si="4"/>
        <v>0.90977208866687476</v>
      </c>
    </row>
    <row r="161" spans="1:7" x14ac:dyDescent="0.25">
      <c r="A161" s="49" t="str">
        <f>'Data Vlaue (Cr)'!C156</f>
        <v>PAGEIND</v>
      </c>
      <c r="B161" s="50">
        <f>VLOOKUP($A161,'Data shares'!$C:$FM,102)</f>
        <v>32.9</v>
      </c>
      <c r="C161" s="50">
        <f>VLOOKUP($A161,'Data shares'!$C:$FM,110)</f>
        <v>32.08</v>
      </c>
      <c r="D161" s="50">
        <f>VLOOKUP($A161,'Data shares'!$C:$FM,114)</f>
        <v>34.17</v>
      </c>
      <c r="E161" s="50">
        <f>VLOOKUP($A161,'Data shares'!$C:$FM,106)</f>
        <v>28.91</v>
      </c>
      <c r="F161" s="50">
        <f>VLOOKUP($A161,'Data shares'!$C:$FM,108)</f>
        <v>3.99</v>
      </c>
      <c r="G161" s="50">
        <f t="shared" si="4"/>
        <v>1.1380145278450362</v>
      </c>
    </row>
    <row r="162" spans="1:7" x14ac:dyDescent="0.25">
      <c r="A162" s="49" t="str">
        <f>'Data Vlaue (Cr)'!C157</f>
        <v>PATANJALI</v>
      </c>
      <c r="B162" s="50">
        <f>VLOOKUP($A162,'Data shares'!$C:$FM,102)</f>
        <v>31.4</v>
      </c>
      <c r="C162" s="50">
        <f>VLOOKUP($A162,'Data shares'!$C:$FM,110)</f>
        <v>30.38</v>
      </c>
      <c r="D162" s="50">
        <f>VLOOKUP($A162,'Data shares'!$C:$FM,114)</f>
        <v>32.99</v>
      </c>
      <c r="E162" s="50">
        <f>VLOOKUP($A162,'Data shares'!$C:$FM,106)</f>
        <v>32.450000000000003</v>
      </c>
      <c r="F162" s="50">
        <f>VLOOKUP($A162,'Data shares'!$C:$FM,108)</f>
        <v>-1.05</v>
      </c>
      <c r="G162" s="50">
        <f t="shared" si="4"/>
        <v>0.96764252696456077</v>
      </c>
    </row>
    <row r="163" spans="1:7" x14ac:dyDescent="0.25">
      <c r="A163" s="49" t="str">
        <f>'Data Vlaue (Cr)'!C158</f>
        <v>PAYTM</v>
      </c>
      <c r="B163" s="50">
        <f>VLOOKUP($A163,'Data shares'!$C:$FM,102)</f>
        <v>39.46</v>
      </c>
      <c r="C163" s="50">
        <f>VLOOKUP($A163,'Data shares'!$C:$FM,110)</f>
        <v>38.590000000000003</v>
      </c>
      <c r="D163" s="50">
        <f>VLOOKUP($A163,'Data shares'!$C:$FM,114)</f>
        <v>40.840000000000003</v>
      </c>
      <c r="E163" s="50">
        <f>VLOOKUP($A163,'Data shares'!$C:$FM,106)</f>
        <v>53.13</v>
      </c>
      <c r="F163" s="50">
        <f>VLOOKUP($A163,'Data shares'!$C:$FM,108)</f>
        <v>-13.67</v>
      </c>
      <c r="G163" s="50">
        <f t="shared" si="4"/>
        <v>0.74270656879352526</v>
      </c>
    </row>
    <row r="164" spans="1:7" x14ac:dyDescent="0.25">
      <c r="A164" s="49" t="str">
        <f>'Data Vlaue (Cr)'!C159</f>
        <v>PERSISTENT</v>
      </c>
      <c r="B164" s="50">
        <f>VLOOKUP($A164,'Data shares'!$C:$FM,102)</f>
        <v>45.68</v>
      </c>
      <c r="C164" s="50">
        <f>VLOOKUP($A164,'Data shares'!$C:$FM,110)</f>
        <v>43.78</v>
      </c>
      <c r="D164" s="50">
        <f>VLOOKUP($A164,'Data shares'!$C:$FM,114)</f>
        <v>48.84</v>
      </c>
      <c r="E164" s="50">
        <f>VLOOKUP($A164,'Data shares'!$C:$FM,106)</f>
        <v>40.450000000000003</v>
      </c>
      <c r="F164" s="50">
        <f>VLOOKUP($A164,'Data shares'!$C:$FM,108)</f>
        <v>5.23</v>
      </c>
      <c r="G164" s="50">
        <f t="shared" si="4"/>
        <v>1.1292954264524102</v>
      </c>
    </row>
    <row r="165" spans="1:7" x14ac:dyDescent="0.25">
      <c r="A165" s="49" t="str">
        <f>'Data Vlaue (Cr)'!C160</f>
        <v>PETRONET</v>
      </c>
      <c r="B165" s="50">
        <f>VLOOKUP($A165,'Data shares'!$C:$FM,102)</f>
        <v>42.85</v>
      </c>
      <c r="C165" s="50">
        <f>VLOOKUP($A165,'Data shares'!$C:$FM,110)</f>
        <v>42.27</v>
      </c>
      <c r="D165" s="50">
        <f>VLOOKUP($A165,'Data shares'!$C:$FM,114)</f>
        <v>45.22</v>
      </c>
      <c r="E165" s="50">
        <f>VLOOKUP($A165,'Data shares'!$C:$FM,106)</f>
        <v>39.409999999999997</v>
      </c>
      <c r="F165" s="50">
        <f>VLOOKUP($A165,'Data shares'!$C:$FM,108)</f>
        <v>3.44</v>
      </c>
      <c r="G165" s="50">
        <f t="shared" si="4"/>
        <v>1.0872874904846488</v>
      </c>
    </row>
    <row r="166" spans="1:7" x14ac:dyDescent="0.25">
      <c r="A166" s="49" t="str">
        <f>'Data Vlaue (Cr)'!C161</f>
        <v>PFC</v>
      </c>
      <c r="B166" s="50">
        <f>VLOOKUP($A166,'Data shares'!$C:$FM,102)</f>
        <v>35.479999999999997</v>
      </c>
      <c r="C166" s="50">
        <f>VLOOKUP($A166,'Data shares'!$C:$FM,110)</f>
        <v>34.979999999999997</v>
      </c>
      <c r="D166" s="50">
        <f>VLOOKUP($A166,'Data shares'!$C:$FM,114)</f>
        <v>36.5</v>
      </c>
      <c r="E166" s="50">
        <f>VLOOKUP($A166,'Data shares'!$C:$FM,106)</f>
        <v>42.44</v>
      </c>
      <c r="F166" s="50">
        <f>VLOOKUP($A166,'Data shares'!$C:$FM,108)</f>
        <v>-6.96</v>
      </c>
      <c r="G166" s="50">
        <f t="shared" si="4"/>
        <v>0.83600377002827519</v>
      </c>
    </row>
    <row r="167" spans="1:7" x14ac:dyDescent="0.25">
      <c r="A167" s="49" t="str">
        <f>'Data Vlaue (Cr)'!C162</f>
        <v>PGEL</v>
      </c>
      <c r="B167" s="50">
        <f>VLOOKUP($A167,'Data shares'!$C:$FM,102)</f>
        <v>57.12</v>
      </c>
      <c r="C167" s="50">
        <f>VLOOKUP($A167,'Data shares'!$C:$FM,110)</f>
        <v>55.97</v>
      </c>
      <c r="D167" s="50">
        <f>VLOOKUP($A167,'Data shares'!$C:$FM,114)</f>
        <v>59</v>
      </c>
      <c r="E167" s="50">
        <f>VLOOKUP($A167,'Data shares'!$C:$FM,106)</f>
        <v>67.510000000000005</v>
      </c>
      <c r="F167" s="50">
        <f>VLOOKUP($A167,'Data shares'!$C:$FM,108)</f>
        <v>-10.39</v>
      </c>
      <c r="G167" s="50">
        <f t="shared" ref="G167:G187" si="5">B167/E167</f>
        <v>0.84609687453710547</v>
      </c>
    </row>
    <row r="168" spans="1:7" x14ac:dyDescent="0.25">
      <c r="A168" s="49" t="str">
        <f>'Data Vlaue (Cr)'!C163</f>
        <v>PHOENIXLTD</v>
      </c>
      <c r="B168" s="50">
        <f>VLOOKUP($A168,'Data shares'!$C:$FM,102)</f>
        <v>35.96</v>
      </c>
      <c r="C168" s="50">
        <f>VLOOKUP($A168,'Data shares'!$C:$FM,110)</f>
        <v>31.68</v>
      </c>
      <c r="D168" s="50">
        <f>VLOOKUP($A168,'Data shares'!$C:$FM,114)</f>
        <v>39.58</v>
      </c>
      <c r="E168" s="50">
        <f>VLOOKUP($A168,'Data shares'!$C:$FM,106)</f>
        <v>40.21</v>
      </c>
      <c r="F168" s="50">
        <f>VLOOKUP($A168,'Data shares'!$C:$FM,108)</f>
        <v>-4.25</v>
      </c>
      <c r="G168" s="50">
        <f t="shared" si="5"/>
        <v>0.89430489927878642</v>
      </c>
    </row>
    <row r="169" spans="1:7" x14ac:dyDescent="0.25">
      <c r="A169" s="49" t="str">
        <f>'Data Vlaue (Cr)'!C164</f>
        <v>PIDILITIND</v>
      </c>
      <c r="B169" s="50">
        <f>VLOOKUP($A169,'Data shares'!$C:$FM,102)</f>
        <v>29.59</v>
      </c>
      <c r="C169" s="50">
        <f>VLOOKUP($A169,'Data shares'!$C:$FM,110)</f>
        <v>28.02</v>
      </c>
      <c r="D169" s="50">
        <f>VLOOKUP($A169,'Data shares'!$C:$FM,114)</f>
        <v>31.1</v>
      </c>
      <c r="E169" s="50">
        <f>VLOOKUP($A169,'Data shares'!$C:$FM,106)</f>
        <v>25.53</v>
      </c>
      <c r="F169" s="50">
        <f>VLOOKUP($A169,'Data shares'!$C:$FM,108)</f>
        <v>4.0599999999999996</v>
      </c>
      <c r="G169" s="50">
        <f t="shared" si="5"/>
        <v>1.1590285938112024</v>
      </c>
    </row>
    <row r="170" spans="1:7" x14ac:dyDescent="0.25">
      <c r="A170" s="49" t="str">
        <f>'Data Vlaue (Cr)'!C165</f>
        <v>PIIND</v>
      </c>
      <c r="B170" s="50">
        <f>VLOOKUP($A170,'Data shares'!$C:$FM,102)</f>
        <v>31.06</v>
      </c>
      <c r="C170" s="50">
        <f>VLOOKUP($A170,'Data shares'!$C:$FM,110)</f>
        <v>29.57</v>
      </c>
      <c r="D170" s="50">
        <f>VLOOKUP($A170,'Data shares'!$C:$FM,114)</f>
        <v>32.76</v>
      </c>
      <c r="E170" s="50">
        <f>VLOOKUP($A170,'Data shares'!$C:$FM,106)</f>
        <v>31.17</v>
      </c>
      <c r="F170" s="50">
        <f>VLOOKUP($A170,'Data shares'!$C:$FM,108)</f>
        <v>-0.11</v>
      </c>
      <c r="G170" s="50">
        <f t="shared" si="5"/>
        <v>0.99647096567212057</v>
      </c>
    </row>
    <row r="171" spans="1:7" x14ac:dyDescent="0.25">
      <c r="A171" s="49" t="str">
        <f>'Data Vlaue (Cr)'!C166</f>
        <v>PNB</v>
      </c>
      <c r="B171" s="50">
        <f>VLOOKUP($A171,'Data shares'!$C:$FM,102)</f>
        <v>38.619999999999997</v>
      </c>
      <c r="C171" s="50">
        <f>VLOOKUP($A171,'Data shares'!$C:$FM,110)</f>
        <v>38.06</v>
      </c>
      <c r="D171" s="50">
        <f>VLOOKUP($A171,'Data shares'!$C:$FM,114)</f>
        <v>39.5</v>
      </c>
      <c r="E171" s="50">
        <f>VLOOKUP($A171,'Data shares'!$C:$FM,106)</f>
        <v>38.25</v>
      </c>
      <c r="F171" s="50">
        <f>VLOOKUP($A171,'Data shares'!$C:$FM,108)</f>
        <v>0.37</v>
      </c>
      <c r="G171" s="50">
        <f t="shared" si="5"/>
        <v>1.0096732026143791</v>
      </c>
    </row>
    <row r="172" spans="1:7" x14ac:dyDescent="0.25">
      <c r="A172" s="49" t="str">
        <f>'Data Vlaue (Cr)'!C167</f>
        <v>PNBHOUSING</v>
      </c>
      <c r="B172" s="50">
        <f>VLOOKUP($A172,'Data shares'!$C:$FM,102)</f>
        <v>56.19</v>
      </c>
      <c r="C172" s="50">
        <f>VLOOKUP($A172,'Data shares'!$C:$FM,110)</f>
        <v>43.32</v>
      </c>
      <c r="D172" s="50">
        <f>VLOOKUP($A172,'Data shares'!$C:$FM,114)</f>
        <v>59.76</v>
      </c>
      <c r="E172" s="50">
        <f>VLOOKUP($A172,'Data shares'!$C:$FM,106)</f>
        <v>47.29</v>
      </c>
      <c r="F172" s="50">
        <f>VLOOKUP($A172,'Data shares'!$C:$FM,108)</f>
        <v>8.9</v>
      </c>
      <c r="G172" s="50">
        <f t="shared" si="5"/>
        <v>1.1882004652146332</v>
      </c>
    </row>
    <row r="173" spans="1:7" x14ac:dyDescent="0.25">
      <c r="A173" s="49" t="str">
        <f>'Data Vlaue (Cr)'!C168</f>
        <v>POLICYBZR</v>
      </c>
      <c r="B173" s="50">
        <f>VLOOKUP($A173,'Data shares'!$C:$FM,102)</f>
        <v>39.94</v>
      </c>
      <c r="C173" s="50">
        <f>VLOOKUP($A173,'Data shares'!$C:$FM,110)</f>
        <v>39.020000000000003</v>
      </c>
      <c r="D173" s="50">
        <f>VLOOKUP($A173,'Data shares'!$C:$FM,114)</f>
        <v>42.11</v>
      </c>
      <c r="E173" s="50">
        <f>VLOOKUP($A173,'Data shares'!$C:$FM,106)</f>
        <v>45.44</v>
      </c>
      <c r="F173" s="50">
        <f>VLOOKUP($A173,'Data shares'!$C:$FM,108)</f>
        <v>-5.5</v>
      </c>
      <c r="G173" s="50">
        <f t="shared" si="5"/>
        <v>0.87896126760563376</v>
      </c>
    </row>
    <row r="174" spans="1:7" x14ac:dyDescent="0.25">
      <c r="A174" s="49" t="str">
        <f>'Data Vlaue (Cr)'!C169</f>
        <v>POLYCAB</v>
      </c>
      <c r="B174" s="50">
        <f>VLOOKUP($A174,'Data shares'!$C:$FM,102)</f>
        <v>35.770000000000003</v>
      </c>
      <c r="C174" s="50">
        <f>VLOOKUP($A174,'Data shares'!$C:$FM,110)</f>
        <v>32.799999999999997</v>
      </c>
      <c r="D174" s="50">
        <f>VLOOKUP($A174,'Data shares'!$C:$FM,114)</f>
        <v>39.24</v>
      </c>
      <c r="E174" s="50">
        <f>VLOOKUP($A174,'Data shares'!$C:$FM,106)</f>
        <v>41.53</v>
      </c>
      <c r="F174" s="50">
        <f>VLOOKUP($A174,'Data shares'!$C:$FM,108)</f>
        <v>-5.76</v>
      </c>
      <c r="G174" s="50">
        <f t="shared" si="5"/>
        <v>0.86130508066457989</v>
      </c>
    </row>
    <row r="175" spans="1:7" x14ac:dyDescent="0.25">
      <c r="A175" s="49" t="str">
        <f>'Data Vlaue (Cr)'!C170</f>
        <v>POWERGRID</v>
      </c>
      <c r="B175" s="50">
        <f>VLOOKUP($A175,'Data shares'!$C:$FM,102)</f>
        <v>26.52</v>
      </c>
      <c r="C175" s="50">
        <f>VLOOKUP($A175,'Data shares'!$C:$FM,110)</f>
        <v>26.35</v>
      </c>
      <c r="D175" s="50">
        <f>VLOOKUP($A175,'Data shares'!$C:$FM,114)</f>
        <v>27.15</v>
      </c>
      <c r="E175" s="50">
        <f>VLOOKUP($A175,'Data shares'!$C:$FM,106)</f>
        <v>28.69</v>
      </c>
      <c r="F175" s="50">
        <f>VLOOKUP($A175,'Data shares'!$C:$FM,108)</f>
        <v>-2.17</v>
      </c>
      <c r="G175" s="50">
        <f t="shared" si="5"/>
        <v>0.92436388985709306</v>
      </c>
    </row>
    <row r="176" spans="1:7" x14ac:dyDescent="0.25">
      <c r="A176" s="49" t="str">
        <f>'Data Vlaue (Cr)'!C171</f>
        <v>POWERINDIA</v>
      </c>
      <c r="B176" s="50">
        <f>VLOOKUP($A176,'Data shares'!$C:$FM,102)</f>
        <v>44.82</v>
      </c>
      <c r="C176" s="50">
        <f>VLOOKUP($A176,'Data shares'!$C:$FM,110)</f>
        <v>43.4</v>
      </c>
      <c r="D176" s="50">
        <f>VLOOKUP($A176,'Data shares'!$C:$FM,114)</f>
        <v>48.63</v>
      </c>
      <c r="E176" s="50">
        <f>VLOOKUP($A176,'Data shares'!$C:$FM,106)</f>
        <v>57.85</v>
      </c>
      <c r="F176" s="50">
        <f>VLOOKUP($A176,'Data shares'!$C:$FM,108)</f>
        <v>-13.03</v>
      </c>
      <c r="G176" s="50">
        <f t="shared" si="5"/>
        <v>0.77476231633534998</v>
      </c>
    </row>
    <row r="177" spans="1:7" x14ac:dyDescent="0.25">
      <c r="A177" s="49" t="str">
        <f>'Data Vlaue (Cr)'!C172</f>
        <v>PPLPHARMA</v>
      </c>
      <c r="B177" s="50">
        <f>VLOOKUP($A177,'Data shares'!$C:$FM,102)</f>
        <v>43.62</v>
      </c>
      <c r="C177" s="50">
        <f>VLOOKUP($A177,'Data shares'!$C:$FM,110)</f>
        <v>43.38</v>
      </c>
      <c r="D177" s="50">
        <f>VLOOKUP($A177,'Data shares'!$C:$FM,114)</f>
        <v>44.45</v>
      </c>
      <c r="E177" s="50">
        <f>VLOOKUP($A177,'Data shares'!$C:$FM,106)</f>
        <v>43.6</v>
      </c>
      <c r="F177" s="50">
        <f>VLOOKUP($A177,'Data shares'!$C:$FM,108)</f>
        <v>0.02</v>
      </c>
      <c r="G177" s="50">
        <f t="shared" si="5"/>
        <v>1.0004587155963303</v>
      </c>
    </row>
    <row r="178" spans="1:7" x14ac:dyDescent="0.25">
      <c r="A178" s="49" t="str">
        <f>'Data Vlaue (Cr)'!C173</f>
        <v>PREMIERENE</v>
      </c>
      <c r="B178" s="50">
        <f>VLOOKUP($A178,'Data shares'!$C:$FM,102)</f>
        <v>46.19</v>
      </c>
      <c r="C178" s="50">
        <f>VLOOKUP($A178,'Data shares'!$C:$FM,110)</f>
        <v>45.98</v>
      </c>
      <c r="D178" s="50">
        <f>VLOOKUP($A178,'Data shares'!$C:$FM,114)</f>
        <v>46.8</v>
      </c>
      <c r="E178" s="50">
        <f>VLOOKUP($A178,'Data shares'!$C:$FM,106)</f>
        <v>49.36</v>
      </c>
      <c r="F178" s="50">
        <f>VLOOKUP($A178,'Data shares'!$C:$FM,108)</f>
        <v>-3.17</v>
      </c>
      <c r="G178" s="50">
        <f t="shared" si="5"/>
        <v>0.93577795786061579</v>
      </c>
    </row>
    <row r="179" spans="1:7" x14ac:dyDescent="0.25">
      <c r="A179" s="49" t="str">
        <f>'Data Vlaue (Cr)'!C174</f>
        <v>PRESTIGE</v>
      </c>
      <c r="B179" s="50">
        <f>VLOOKUP($A179,'Data shares'!$C:$FM,102)</f>
        <v>44.24</v>
      </c>
      <c r="C179" s="50">
        <f>VLOOKUP($A179,'Data shares'!$C:$FM,110)</f>
        <v>42.98</v>
      </c>
      <c r="D179" s="50">
        <f>VLOOKUP($A179,'Data shares'!$C:$FM,114)</f>
        <v>46.41</v>
      </c>
      <c r="E179" s="50">
        <f>VLOOKUP($A179,'Data shares'!$C:$FM,106)</f>
        <v>45.24</v>
      </c>
      <c r="F179" s="50">
        <f>VLOOKUP($A179,'Data shares'!$C:$FM,108)</f>
        <v>-1</v>
      </c>
      <c r="G179" s="50">
        <f t="shared" si="5"/>
        <v>0.97789566755084001</v>
      </c>
    </row>
    <row r="180" spans="1:7" x14ac:dyDescent="0.25">
      <c r="A180" s="49" t="str">
        <f>'Data Vlaue (Cr)'!C175</f>
        <v>RBLBANK</v>
      </c>
      <c r="B180" s="50">
        <f>VLOOKUP($A180,'Data shares'!$C:$FM,102)</f>
        <v>32.76</v>
      </c>
      <c r="C180" s="50">
        <f>VLOOKUP($A180,'Data shares'!$C:$FM,110)</f>
        <v>32.56</v>
      </c>
      <c r="D180" s="50">
        <f>VLOOKUP($A180,'Data shares'!$C:$FM,114)</f>
        <v>33.020000000000003</v>
      </c>
      <c r="E180" s="50">
        <f>VLOOKUP($A180,'Data shares'!$C:$FM,106)</f>
        <v>43.57</v>
      </c>
      <c r="F180" s="50">
        <f>VLOOKUP($A180,'Data shares'!$C:$FM,108)</f>
        <v>-10.81</v>
      </c>
      <c r="G180" s="50">
        <f t="shared" si="5"/>
        <v>0.75189350470507221</v>
      </c>
    </row>
    <row r="181" spans="1:7" x14ac:dyDescent="0.25">
      <c r="A181" s="49" t="str">
        <f>'Data Vlaue (Cr)'!C176</f>
        <v>RECLTD</v>
      </c>
      <c r="B181" s="50">
        <f>VLOOKUP($A181,'Data shares'!$C:$FM,102)</f>
        <v>34.83</v>
      </c>
      <c r="C181" s="50">
        <f>VLOOKUP($A181,'Data shares'!$C:$FM,110)</f>
        <v>33.44</v>
      </c>
      <c r="D181" s="50">
        <f>VLOOKUP($A181,'Data shares'!$C:$FM,114)</f>
        <v>37.54</v>
      </c>
      <c r="E181" s="50">
        <f>VLOOKUP($A181,'Data shares'!$C:$FM,106)</f>
        <v>42.89</v>
      </c>
      <c r="F181" s="50">
        <f>VLOOKUP($A181,'Data shares'!$C:$FM,108)</f>
        <v>-8.06</v>
      </c>
      <c r="G181" s="50">
        <f t="shared" si="5"/>
        <v>0.81207740732105382</v>
      </c>
    </row>
    <row r="182" spans="1:7" x14ac:dyDescent="0.25">
      <c r="A182" s="49" t="str">
        <f>'Data Vlaue (Cr)'!C177</f>
        <v>RELIANCE</v>
      </c>
      <c r="B182" s="50">
        <f>VLOOKUP($A182,'Data shares'!$C:$FM,102)</f>
        <v>24.67</v>
      </c>
      <c r="C182" s="50">
        <f>VLOOKUP($A182,'Data shares'!$C:$FM,110)</f>
        <v>24.91</v>
      </c>
      <c r="D182" s="50">
        <f>VLOOKUP($A182,'Data shares'!$C:$FM,114)</f>
        <v>24.29</v>
      </c>
      <c r="E182" s="50">
        <f>VLOOKUP($A182,'Data shares'!$C:$FM,106)</f>
        <v>26.22</v>
      </c>
      <c r="F182" s="50">
        <f>VLOOKUP($A182,'Data shares'!$C:$FM,108)</f>
        <v>-1.55</v>
      </c>
      <c r="G182" s="50">
        <f t="shared" si="5"/>
        <v>0.94088482074752111</v>
      </c>
    </row>
    <row r="183" spans="1:7" x14ac:dyDescent="0.25">
      <c r="A183" s="49" t="str">
        <f>'Data Vlaue (Cr)'!C178</f>
        <v>RVNL</v>
      </c>
      <c r="B183" s="50">
        <f>VLOOKUP($A183,'Data shares'!$C:$FM,102)</f>
        <v>45.42</v>
      </c>
      <c r="C183" s="50">
        <f>VLOOKUP($A183,'Data shares'!$C:$FM,110)</f>
        <v>44.78</v>
      </c>
      <c r="D183" s="50">
        <f>VLOOKUP($A183,'Data shares'!$C:$FM,114)</f>
        <v>47.48</v>
      </c>
      <c r="E183" s="50">
        <f>VLOOKUP($A183,'Data shares'!$C:$FM,106)</f>
        <v>58.47</v>
      </c>
      <c r="F183" s="50">
        <f>VLOOKUP($A183,'Data shares'!$C:$FM,108)</f>
        <v>-13.05</v>
      </c>
      <c r="G183" s="50">
        <f t="shared" si="5"/>
        <v>0.77680861980502824</v>
      </c>
    </row>
    <row r="184" spans="1:7" x14ac:dyDescent="0.25">
      <c r="A184" s="49" t="str">
        <f>'Data Vlaue (Cr)'!C179</f>
        <v>SAIL</v>
      </c>
      <c r="B184" s="50">
        <f>VLOOKUP($A184,'Data shares'!$C:$FM,102)</f>
        <v>33.799999999999997</v>
      </c>
      <c r="C184" s="50">
        <f>VLOOKUP($A184,'Data shares'!$C:$FM,110)</f>
        <v>32.46</v>
      </c>
      <c r="D184" s="50">
        <f>VLOOKUP($A184,'Data shares'!$C:$FM,114)</f>
        <v>37.65</v>
      </c>
      <c r="E184" s="50">
        <f>VLOOKUP($A184,'Data shares'!$C:$FM,106)</f>
        <v>45.05</v>
      </c>
      <c r="F184" s="50">
        <f>VLOOKUP($A184,'Data shares'!$C:$FM,108)</f>
        <v>-11.25</v>
      </c>
      <c r="G184" s="50">
        <f t="shared" si="5"/>
        <v>0.75027746947835738</v>
      </c>
    </row>
    <row r="185" spans="1:7" x14ac:dyDescent="0.25">
      <c r="A185" s="49" t="str">
        <f>'Data Vlaue (Cr)'!C180</f>
        <v>SAMMAANCAP</v>
      </c>
      <c r="B185" s="50">
        <f>VLOOKUP($A185,'Data shares'!$C:$FM,102)</f>
        <v>28.01</v>
      </c>
      <c r="C185" s="50">
        <f>VLOOKUP($A185,'Data shares'!$C:$FM,110)</f>
        <v>28.83</v>
      </c>
      <c r="D185" s="50">
        <f>VLOOKUP($A185,'Data shares'!$C:$FM,114)</f>
        <v>26.69</v>
      </c>
      <c r="E185" s="50">
        <f>VLOOKUP($A185,'Data shares'!$C:$FM,106)</f>
        <v>53.98</v>
      </c>
      <c r="F185" s="50">
        <f>VLOOKUP($A185,'Data shares'!$C:$FM,108)</f>
        <v>-25.97</v>
      </c>
      <c r="G185" s="50">
        <f t="shared" si="5"/>
        <v>0.51889588736569103</v>
      </c>
    </row>
    <row r="186" spans="1:7" x14ac:dyDescent="0.25">
      <c r="A186" s="49" t="str">
        <f>'Data Vlaue (Cr)'!C181</f>
        <v>SBICARD</v>
      </c>
      <c r="B186" s="50">
        <f>VLOOKUP($A186,'Data shares'!$C:$FM,102)</f>
        <v>36.83</v>
      </c>
      <c r="C186" s="50">
        <f>VLOOKUP($A186,'Data shares'!$C:$FM,110)</f>
        <v>35.549999999999997</v>
      </c>
      <c r="D186" s="50">
        <f>VLOOKUP($A186,'Data shares'!$C:$FM,114)</f>
        <v>38.9</v>
      </c>
      <c r="E186" s="50">
        <f>VLOOKUP($A186,'Data shares'!$C:$FM,106)</f>
        <v>32.35</v>
      </c>
      <c r="F186" s="50">
        <f>VLOOKUP($A186,'Data shares'!$C:$FM,108)</f>
        <v>4.4800000000000004</v>
      </c>
      <c r="G186" s="50">
        <f t="shared" si="5"/>
        <v>1.138485316846986</v>
      </c>
    </row>
    <row r="187" spans="1:7" x14ac:dyDescent="0.25">
      <c r="A187" s="49" t="str">
        <f>'Data Vlaue (Cr)'!C182</f>
        <v>SBILIFE</v>
      </c>
      <c r="B187" s="50">
        <f>VLOOKUP($A187,'Data shares'!$C:$FM,102)</f>
        <v>27.83</v>
      </c>
      <c r="C187" s="50">
        <f>VLOOKUP($A187,'Data shares'!$C:$FM,110)</f>
        <v>26.54</v>
      </c>
      <c r="D187" s="50">
        <f>VLOOKUP($A187,'Data shares'!$C:$FM,114)</f>
        <v>29.38</v>
      </c>
      <c r="E187" s="50">
        <f>VLOOKUP($A187,'Data shares'!$C:$FM,106)</f>
        <v>25.9</v>
      </c>
      <c r="F187" s="50">
        <f>VLOOKUP($A187,'Data shares'!$C:$FM,108)</f>
        <v>1.93</v>
      </c>
      <c r="G187" s="50">
        <f t="shared" si="5"/>
        <v>1.0745173745173746</v>
      </c>
    </row>
    <row r="188" spans="1:7" x14ac:dyDescent="0.25">
      <c r="A188" s="49" t="str">
        <f>'Data Vlaue (Cr)'!C183</f>
        <v>SBIN</v>
      </c>
      <c r="B188" s="50">
        <f>VLOOKUP($A188,'Data shares'!$C:$FM,102)</f>
        <v>30.48</v>
      </c>
      <c r="C188" s="50">
        <f>VLOOKUP($A188,'Data shares'!$C:$FM,110)</f>
        <v>30</v>
      </c>
      <c r="D188" s="50">
        <f>VLOOKUP($A188,'Data shares'!$C:$FM,114)</f>
        <v>31.17</v>
      </c>
      <c r="E188" s="50">
        <f>VLOOKUP($A188,'Data shares'!$C:$FM,106)</f>
        <v>29.29</v>
      </c>
      <c r="F188" s="50">
        <f>VLOOKUP($A188,'Data shares'!$C:$FM,108)</f>
        <v>1.19</v>
      </c>
      <c r="G188" s="50">
        <f t="shared" ref="G188:G204" si="6">B188/E188</f>
        <v>1.0406282007511096</v>
      </c>
    </row>
    <row r="189" spans="1:7" x14ac:dyDescent="0.25">
      <c r="A189" s="49" t="str">
        <f>'Data Vlaue (Cr)'!C184</f>
        <v>SHREECEM</v>
      </c>
      <c r="B189" s="50">
        <f>VLOOKUP($A189,'Data shares'!$C:$FM,102)</f>
        <v>29.76</v>
      </c>
      <c r="C189" s="50">
        <f>VLOOKUP($A189,'Data shares'!$C:$FM,110)</f>
        <v>28.97</v>
      </c>
      <c r="D189" s="50">
        <f>VLOOKUP($A189,'Data shares'!$C:$FM,114)</f>
        <v>32.369999999999997</v>
      </c>
      <c r="E189" s="50">
        <f>VLOOKUP($A189,'Data shares'!$C:$FM,106)</f>
        <v>27.77</v>
      </c>
      <c r="F189" s="50">
        <f>VLOOKUP($A189,'Data shares'!$C:$FM,108)</f>
        <v>1.99</v>
      </c>
      <c r="G189" s="50">
        <f t="shared" si="6"/>
        <v>1.0716600648181491</v>
      </c>
    </row>
    <row r="190" spans="1:7" x14ac:dyDescent="0.25">
      <c r="A190" s="49" t="str">
        <f>'Data Vlaue (Cr)'!C185</f>
        <v>SHRIRAMFIN</v>
      </c>
      <c r="B190" s="50">
        <f>VLOOKUP($A190,'Data shares'!$C:$FM,102)</f>
        <v>42.94</v>
      </c>
      <c r="C190" s="50">
        <f>VLOOKUP($A190,'Data shares'!$C:$FM,110)</f>
        <v>42.39</v>
      </c>
      <c r="D190" s="50">
        <f>VLOOKUP($A190,'Data shares'!$C:$FM,114)</f>
        <v>43.69</v>
      </c>
      <c r="E190" s="50">
        <f>VLOOKUP($A190,'Data shares'!$C:$FM,106)</f>
        <v>45.29</v>
      </c>
      <c r="F190" s="50">
        <f>VLOOKUP($A190,'Data shares'!$C:$FM,108)</f>
        <v>-2.35</v>
      </c>
      <c r="G190" s="50">
        <f t="shared" si="6"/>
        <v>0.94811216604106863</v>
      </c>
    </row>
    <row r="191" spans="1:7" x14ac:dyDescent="0.25">
      <c r="A191" s="49" t="str">
        <f>'Data Vlaue (Cr)'!C186</f>
        <v>SIEMENS</v>
      </c>
      <c r="B191" s="50">
        <f>VLOOKUP($A191,'Data shares'!$C:$FM,102)</f>
        <v>36.11</v>
      </c>
      <c r="C191" s="50">
        <f>VLOOKUP($A191,'Data shares'!$C:$FM,110)</f>
        <v>35.51</v>
      </c>
      <c r="D191" s="50">
        <f>VLOOKUP($A191,'Data shares'!$C:$FM,114)</f>
        <v>37.380000000000003</v>
      </c>
      <c r="E191" s="50">
        <f>VLOOKUP($A191,'Data shares'!$C:$FM,106)</f>
        <v>40.11</v>
      </c>
      <c r="F191" s="50">
        <f>VLOOKUP($A191,'Data shares'!$C:$FM,108)</f>
        <v>-4</v>
      </c>
      <c r="G191" s="50">
        <f t="shared" si="6"/>
        <v>0.90027424582398408</v>
      </c>
    </row>
    <row r="192" spans="1:7" x14ac:dyDescent="0.25">
      <c r="A192" s="49" t="str">
        <f>'Data Vlaue (Cr)'!C187</f>
        <v>SOLARINDS</v>
      </c>
      <c r="B192" s="50">
        <f>VLOOKUP($A192,'Data shares'!$C:$FM,102)</f>
        <v>37.4</v>
      </c>
      <c r="C192" s="50">
        <f>VLOOKUP($A192,'Data shares'!$C:$FM,110)</f>
        <v>37.119999999999997</v>
      </c>
      <c r="D192" s="50">
        <f>VLOOKUP($A192,'Data shares'!$C:$FM,114)</f>
        <v>38.24</v>
      </c>
      <c r="E192" s="50">
        <f>VLOOKUP($A192,'Data shares'!$C:$FM,106)</f>
        <v>41.73</v>
      </c>
      <c r="F192" s="50">
        <f>VLOOKUP($A192,'Data shares'!$C:$FM,108)</f>
        <v>-4.33</v>
      </c>
      <c r="G192" s="50">
        <f t="shared" si="6"/>
        <v>0.89623771866762525</v>
      </c>
    </row>
    <row r="193" spans="1:7" x14ac:dyDescent="0.25">
      <c r="A193" s="49" t="str">
        <f>'Data Vlaue (Cr)'!C188</f>
        <v>SONACOMS</v>
      </c>
      <c r="B193" s="50">
        <f>VLOOKUP($A193,'Data shares'!$C:$FM,102)</f>
        <v>38.56</v>
      </c>
      <c r="C193" s="50">
        <f>VLOOKUP($A193,'Data shares'!$C:$FM,110)</f>
        <v>38.340000000000003</v>
      </c>
      <c r="D193" s="50">
        <f>VLOOKUP($A193,'Data shares'!$C:$FM,114)</f>
        <v>39.04</v>
      </c>
      <c r="E193" s="50">
        <f>VLOOKUP($A193,'Data shares'!$C:$FM,106)</f>
        <v>40.67</v>
      </c>
      <c r="F193" s="50">
        <f>VLOOKUP($A193,'Data shares'!$C:$FM,108)</f>
        <v>-2.11</v>
      </c>
      <c r="G193" s="50">
        <f t="shared" si="6"/>
        <v>0.94811900663880011</v>
      </c>
    </row>
    <row r="194" spans="1:7" x14ac:dyDescent="0.25">
      <c r="A194" s="49" t="str">
        <f>'Data Vlaue (Cr)'!C189</f>
        <v>SRF</v>
      </c>
      <c r="B194" s="50">
        <f>VLOOKUP($A194,'Data shares'!$C:$FM,102)</f>
        <v>36.9</v>
      </c>
      <c r="C194" s="50">
        <f>VLOOKUP($A194,'Data shares'!$C:$FM,110)</f>
        <v>36.729999999999997</v>
      </c>
      <c r="D194" s="50">
        <f>VLOOKUP($A194,'Data shares'!$C:$FM,114)</f>
        <v>37.29</v>
      </c>
      <c r="E194" s="50">
        <f>VLOOKUP($A194,'Data shares'!$C:$FM,106)</f>
        <v>36.67</v>
      </c>
      <c r="F194" s="50">
        <f>VLOOKUP($A194,'Data shares'!$C:$FM,108)</f>
        <v>0.23</v>
      </c>
      <c r="G194" s="50">
        <f t="shared" si="6"/>
        <v>1.0062721570766293</v>
      </c>
    </row>
    <row r="195" spans="1:7" x14ac:dyDescent="0.25">
      <c r="A195" s="49" t="str">
        <f>'Data Vlaue (Cr)'!C190</f>
        <v>SUNPHARMA</v>
      </c>
      <c r="B195" s="50">
        <f>VLOOKUP($A195,'Data shares'!$C:$FM,102)</f>
        <v>21.72</v>
      </c>
      <c r="C195" s="50">
        <f>VLOOKUP($A195,'Data shares'!$C:$FM,110)</f>
        <v>21.32</v>
      </c>
      <c r="D195" s="50">
        <f>VLOOKUP($A195,'Data shares'!$C:$FM,114)</f>
        <v>22.37</v>
      </c>
      <c r="E195" s="50">
        <f>VLOOKUP($A195,'Data shares'!$C:$FM,106)</f>
        <v>23.2</v>
      </c>
      <c r="F195" s="50">
        <f>VLOOKUP($A195,'Data shares'!$C:$FM,108)</f>
        <v>-1.48</v>
      </c>
      <c r="G195" s="50">
        <f t="shared" si="6"/>
        <v>0.93620689655172407</v>
      </c>
    </row>
    <row r="196" spans="1:7" x14ac:dyDescent="0.25">
      <c r="A196" s="49" t="str">
        <f>'Data Vlaue (Cr)'!C191</f>
        <v>SUPREMEIND</v>
      </c>
      <c r="B196" s="50">
        <f>VLOOKUP($A196,'Data shares'!$C:$FM,102)</f>
        <v>39.72</v>
      </c>
      <c r="C196" s="50">
        <f>VLOOKUP($A196,'Data shares'!$C:$FM,110)</f>
        <v>37.58</v>
      </c>
      <c r="D196" s="50">
        <f>VLOOKUP($A196,'Data shares'!$C:$FM,114)</f>
        <v>44.58</v>
      </c>
      <c r="E196" s="50">
        <f>VLOOKUP($A196,'Data shares'!$C:$FM,106)</f>
        <v>38.299999999999997</v>
      </c>
      <c r="F196" s="50">
        <f>VLOOKUP($A196,'Data shares'!$C:$FM,108)</f>
        <v>1.42</v>
      </c>
      <c r="G196" s="50">
        <f t="shared" si="6"/>
        <v>1.0370757180156658</v>
      </c>
    </row>
    <row r="197" spans="1:7" x14ac:dyDescent="0.25">
      <c r="A197" s="49" t="str">
        <f>'Data Vlaue (Cr)'!C192</f>
        <v>SUZLON</v>
      </c>
      <c r="B197" s="50">
        <f>VLOOKUP($A197,'Data shares'!$C:$FM,102)</f>
        <v>37.619999999999997</v>
      </c>
      <c r="C197" s="50">
        <f>VLOOKUP($A197,'Data shares'!$C:$FM,110)</f>
        <v>36.06</v>
      </c>
      <c r="D197" s="50">
        <f>VLOOKUP($A197,'Data shares'!$C:$FM,114)</f>
        <v>41.4</v>
      </c>
      <c r="E197" s="50">
        <f>VLOOKUP($A197,'Data shares'!$C:$FM,106)</f>
        <v>46.48</v>
      </c>
      <c r="F197" s="50">
        <f>VLOOKUP($A197,'Data shares'!$C:$FM,108)</f>
        <v>-8.86</v>
      </c>
      <c r="G197" s="50">
        <f t="shared" si="6"/>
        <v>0.80938037865748713</v>
      </c>
    </row>
    <row r="198" spans="1:7" x14ac:dyDescent="0.25">
      <c r="A198" s="49" t="str">
        <f>'Data Vlaue (Cr)'!C193</f>
        <v>SWIGGY</v>
      </c>
      <c r="B198" s="50">
        <f>VLOOKUP($A198,'Data shares'!$C:$FM,102)</f>
        <v>49.62</v>
      </c>
      <c r="C198" s="50">
        <f>VLOOKUP($A198,'Data shares'!$C:$FM,110)</f>
        <v>49.68</v>
      </c>
      <c r="D198" s="50">
        <f>VLOOKUP($A198,'Data shares'!$C:$FM,114)</f>
        <v>49.5</v>
      </c>
      <c r="E198" s="50">
        <f>VLOOKUP($A198,'Data shares'!$C:$FM,106)</f>
        <v>45.34</v>
      </c>
      <c r="F198" s="50">
        <f>VLOOKUP($A198,'Data shares'!$C:$FM,108)</f>
        <v>4.28</v>
      </c>
      <c r="G198" s="50">
        <f t="shared" si="6"/>
        <v>1.0943978826643139</v>
      </c>
    </row>
    <row r="199" spans="1:7" x14ac:dyDescent="0.25">
      <c r="A199" s="49" t="str">
        <f>'Data Vlaue (Cr)'!C194</f>
        <v>TATACONSUM</v>
      </c>
      <c r="B199" s="50">
        <f>VLOOKUP($A199,'Data shares'!$C:$FM,102)</f>
        <v>28.69</v>
      </c>
      <c r="C199" s="50">
        <f>VLOOKUP($A199,'Data shares'!$C:$FM,110)</f>
        <v>28.41</v>
      </c>
      <c r="D199" s="50">
        <f>VLOOKUP($A199,'Data shares'!$C:$FM,114)</f>
        <v>29.43</v>
      </c>
      <c r="E199" s="50">
        <f>VLOOKUP($A199,'Data shares'!$C:$FM,106)</f>
        <v>27.57</v>
      </c>
      <c r="F199" s="50">
        <f>VLOOKUP($A199,'Data shares'!$C:$FM,108)</f>
        <v>1.1200000000000001</v>
      </c>
      <c r="G199" s="50">
        <f t="shared" si="6"/>
        <v>1.0406238665215815</v>
      </c>
    </row>
    <row r="200" spans="1:7" x14ac:dyDescent="0.25">
      <c r="A200" s="49" t="str">
        <f>'Data Vlaue (Cr)'!C195</f>
        <v>TATAELXSI</v>
      </c>
      <c r="B200" s="50">
        <f>VLOOKUP($A200,'Data shares'!$C:$FM,102)</f>
        <v>43.25</v>
      </c>
      <c r="C200" s="50">
        <f>VLOOKUP($A200,'Data shares'!$C:$FM,110)</f>
        <v>41.97</v>
      </c>
      <c r="D200" s="50">
        <f>VLOOKUP($A200,'Data shares'!$C:$FM,114)</f>
        <v>45.43</v>
      </c>
      <c r="E200" s="50">
        <f>VLOOKUP($A200,'Data shares'!$C:$FM,106)</f>
        <v>39.01</v>
      </c>
      <c r="F200" s="50">
        <f>VLOOKUP($A200,'Data shares'!$C:$FM,108)</f>
        <v>4.24</v>
      </c>
      <c r="G200" s="50">
        <f t="shared" si="6"/>
        <v>1.1086900794668035</v>
      </c>
    </row>
    <row r="201" spans="1:7" x14ac:dyDescent="0.25">
      <c r="A201" s="49" t="str">
        <f>'Data Vlaue (Cr)'!C196</f>
        <v>TATAPOWER</v>
      </c>
      <c r="B201" s="50">
        <f>VLOOKUP($A201,'Data shares'!$C:$FM,102)</f>
        <v>29.08</v>
      </c>
      <c r="C201" s="50">
        <f>VLOOKUP($A201,'Data shares'!$C:$FM,110)</f>
        <v>28.71</v>
      </c>
      <c r="D201" s="50">
        <f>VLOOKUP($A201,'Data shares'!$C:$FM,114)</f>
        <v>30.08</v>
      </c>
      <c r="E201" s="50">
        <f>VLOOKUP($A201,'Data shares'!$C:$FM,106)</f>
        <v>31.5</v>
      </c>
      <c r="F201" s="50">
        <f>VLOOKUP($A201,'Data shares'!$C:$FM,108)</f>
        <v>-2.42</v>
      </c>
      <c r="G201" s="50">
        <f t="shared" si="6"/>
        <v>0.92317460317460309</v>
      </c>
    </row>
    <row r="202" spans="1:7" x14ac:dyDescent="0.25">
      <c r="A202" s="49" t="str">
        <f>'Data Vlaue (Cr)'!C197</f>
        <v>TATASTEEL</v>
      </c>
      <c r="B202" s="50">
        <f>VLOOKUP($A202,'Data shares'!$C:$FM,102)</f>
        <v>31.07</v>
      </c>
      <c r="C202" s="50">
        <f>VLOOKUP($A202,'Data shares'!$C:$FM,110)</f>
        <v>30.15</v>
      </c>
      <c r="D202" s="50">
        <f>VLOOKUP($A202,'Data shares'!$C:$FM,114)</f>
        <v>32.409999999999997</v>
      </c>
      <c r="E202" s="50">
        <f>VLOOKUP($A202,'Data shares'!$C:$FM,106)</f>
        <v>36.53</v>
      </c>
      <c r="F202" s="50">
        <f>VLOOKUP($A202,'Data shares'!$C:$FM,108)</f>
        <v>-5.46</v>
      </c>
      <c r="G202" s="50">
        <f t="shared" si="6"/>
        <v>0.85053380782918142</v>
      </c>
    </row>
    <row r="203" spans="1:7" x14ac:dyDescent="0.25">
      <c r="A203" s="49" t="str">
        <f>'Data Vlaue (Cr)'!C198</f>
        <v>TATATECH</v>
      </c>
      <c r="B203" s="50">
        <f>VLOOKUP($A203,'Data shares'!$C:$FM,102)</f>
        <v>35.83</v>
      </c>
      <c r="C203" s="50">
        <f>VLOOKUP($A203,'Data shares'!$C:$FM,110)</f>
        <v>35.39</v>
      </c>
      <c r="D203" s="50">
        <f>VLOOKUP($A203,'Data shares'!$C:$FM,114)</f>
        <v>37.909999999999997</v>
      </c>
      <c r="E203" s="50">
        <f>VLOOKUP($A203,'Data shares'!$C:$FM,106)</f>
        <v>33.74</v>
      </c>
      <c r="F203" s="50">
        <f>VLOOKUP($A203,'Data shares'!$C:$FM,108)</f>
        <v>2.09</v>
      </c>
      <c r="G203" s="50">
        <f t="shared" si="6"/>
        <v>1.0619442797866032</v>
      </c>
    </row>
    <row r="204" spans="1:7" x14ac:dyDescent="0.25">
      <c r="A204" s="49" t="str">
        <f>'Data Vlaue (Cr)'!C199</f>
        <v>TCS</v>
      </c>
      <c r="B204" s="50">
        <f>VLOOKUP($A204,'Data shares'!$C:$FM,102)</f>
        <v>33.479999999999997</v>
      </c>
      <c r="C204" s="50">
        <f>VLOOKUP($A204,'Data shares'!$C:$FM,110)</f>
        <v>32.69</v>
      </c>
      <c r="D204" s="50">
        <f>VLOOKUP($A204,'Data shares'!$C:$FM,114)</f>
        <v>35.03</v>
      </c>
      <c r="E204" s="50">
        <f>VLOOKUP($A204,'Data shares'!$C:$FM,106)</f>
        <v>26.91</v>
      </c>
      <c r="F204" s="50">
        <f>VLOOKUP($A204,'Data shares'!$C:$FM,108)</f>
        <v>6.57</v>
      </c>
      <c r="G204" s="50">
        <f t="shared" si="6"/>
        <v>1.2441471571906353</v>
      </c>
    </row>
    <row r="205" spans="1:7" x14ac:dyDescent="0.25">
      <c r="A205" s="49" t="str">
        <f>'Data Vlaue (Cr)'!C200</f>
        <v>TECHM</v>
      </c>
      <c r="B205" s="50">
        <f>VLOOKUP($A205,'Data shares'!$C:$FM,102)</f>
        <v>34.99</v>
      </c>
      <c r="C205" s="50">
        <f>VLOOKUP($A205,'Data shares'!$C:$FM,110)</f>
        <v>34.130000000000003</v>
      </c>
      <c r="D205" s="50">
        <f>VLOOKUP($A205,'Data shares'!$C:$FM,114)</f>
        <v>36.450000000000003</v>
      </c>
      <c r="E205" s="50">
        <f>VLOOKUP($A205,'Data shares'!$C:$FM,106)</f>
        <v>31.24</v>
      </c>
      <c r="F205" s="50">
        <f>VLOOKUP($A205,'Data shares'!$C:$FM,108)</f>
        <v>3.75</v>
      </c>
      <c r="G205" s="50">
        <f t="shared" ref="G205:G214" si="7">B205/E205</f>
        <v>1.1200384122919336</v>
      </c>
    </row>
    <row r="206" spans="1:7" x14ac:dyDescent="0.25">
      <c r="A206" s="49" t="str">
        <f>'Data Vlaue (Cr)'!C201</f>
        <v>TIINDIA</v>
      </c>
      <c r="B206" s="50">
        <f>VLOOKUP($A206,'Data shares'!$C:$FM,102)</f>
        <v>36.4</v>
      </c>
      <c r="C206" s="50">
        <f>VLOOKUP($A206,'Data shares'!$C:$FM,110)</f>
        <v>35.479999999999997</v>
      </c>
      <c r="D206" s="50">
        <f>VLOOKUP($A206,'Data shares'!$C:$FM,114)</f>
        <v>40.58</v>
      </c>
      <c r="E206" s="50">
        <f>VLOOKUP($A206,'Data shares'!$C:$FM,106)</f>
        <v>44.56</v>
      </c>
      <c r="F206" s="50">
        <f>VLOOKUP($A206,'Data shares'!$C:$FM,108)</f>
        <v>-8.16</v>
      </c>
      <c r="G206" s="50">
        <f t="shared" si="7"/>
        <v>0.8168761220825852</v>
      </c>
    </row>
    <row r="207" spans="1:7" x14ac:dyDescent="0.25">
      <c r="A207" s="49" t="str">
        <f>'Data Vlaue (Cr)'!C202</f>
        <v>TITAN</v>
      </c>
      <c r="B207" s="50">
        <f>VLOOKUP($A207,'Data shares'!$C:$FM,102)</f>
        <v>25.97</v>
      </c>
      <c r="C207" s="50">
        <f>VLOOKUP($A207,'Data shares'!$C:$FM,110)</f>
        <v>24.49</v>
      </c>
      <c r="D207" s="50">
        <f>VLOOKUP($A207,'Data shares'!$C:$FM,114)</f>
        <v>27.75</v>
      </c>
      <c r="E207" s="50">
        <f>VLOOKUP($A207,'Data shares'!$C:$FM,106)</f>
        <v>27.94</v>
      </c>
      <c r="F207" s="50">
        <f>VLOOKUP($A207,'Data shares'!$C:$FM,108)</f>
        <v>-1.97</v>
      </c>
      <c r="G207" s="50">
        <f t="shared" si="7"/>
        <v>0.92949176807444511</v>
      </c>
    </row>
    <row r="208" spans="1:7" x14ac:dyDescent="0.25">
      <c r="A208" s="49" t="str">
        <f>'Data Vlaue (Cr)'!C203</f>
        <v>TMPV</v>
      </c>
      <c r="B208" s="50">
        <f>VLOOKUP($A208,'Data shares'!$C:$FM,102)</f>
        <v>36.28</v>
      </c>
      <c r="C208" s="50">
        <f>VLOOKUP($A208,'Data shares'!$C:$FM,110)</f>
        <v>34.92</v>
      </c>
      <c r="D208" s="50">
        <f>VLOOKUP($A208,'Data shares'!$C:$FM,114)</f>
        <v>38.4</v>
      </c>
      <c r="E208" s="50">
        <f>VLOOKUP($A208,'Data shares'!$C:$FM,106)</f>
        <v>38.21</v>
      </c>
      <c r="F208" s="50">
        <f>VLOOKUP($A208,'Data shares'!$C:$FM,108)</f>
        <v>-1.93</v>
      </c>
      <c r="G208" s="50">
        <f t="shared" si="7"/>
        <v>0.94948966239204402</v>
      </c>
    </row>
    <row r="209" spans="1:7" x14ac:dyDescent="0.25">
      <c r="A209" s="49" t="str">
        <f>'Data Vlaue (Cr)'!C204</f>
        <v>TORNTPHARM</v>
      </c>
      <c r="B209" s="50">
        <f>VLOOKUP($A209,'Data shares'!$C:$FM,102)</f>
        <v>26.41</v>
      </c>
      <c r="C209" s="50">
        <f>VLOOKUP($A209,'Data shares'!$C:$FM,110)</f>
        <v>25.97</v>
      </c>
      <c r="D209" s="50">
        <f>VLOOKUP($A209,'Data shares'!$C:$FM,114)</f>
        <v>28.35</v>
      </c>
      <c r="E209" s="50">
        <f>VLOOKUP($A209,'Data shares'!$C:$FM,106)</f>
        <v>25.63</v>
      </c>
      <c r="F209" s="50">
        <f>VLOOKUP($A209,'Data shares'!$C:$FM,108)</f>
        <v>0.78</v>
      </c>
      <c r="G209" s="50">
        <f t="shared" si="7"/>
        <v>1.0304330862270776</v>
      </c>
    </row>
    <row r="210" spans="1:7" x14ac:dyDescent="0.25">
      <c r="A210" s="49" t="str">
        <f>'Data Vlaue (Cr)'!C205</f>
        <v>TORNTPOWER</v>
      </c>
      <c r="B210" s="50">
        <f>VLOOKUP($A210,'Data shares'!$C:$FM,102)</f>
        <v>33.96</v>
      </c>
      <c r="C210" s="50">
        <f>VLOOKUP($A210,'Data shares'!$C:$FM,110)</f>
        <v>32.869999999999997</v>
      </c>
      <c r="D210" s="50">
        <f>VLOOKUP($A210,'Data shares'!$C:$FM,114)</f>
        <v>35.950000000000003</v>
      </c>
      <c r="E210" s="50">
        <f>VLOOKUP($A210,'Data shares'!$C:$FM,106)</f>
        <v>41.93</v>
      </c>
      <c r="F210" s="50">
        <f>VLOOKUP($A210,'Data shares'!$C:$FM,108)</f>
        <v>-7.97</v>
      </c>
      <c r="G210" s="50">
        <f t="shared" si="7"/>
        <v>0.80992129740042929</v>
      </c>
    </row>
    <row r="211" spans="1:7" x14ac:dyDescent="0.25">
      <c r="A211" s="49" t="str">
        <f>'Data Vlaue (Cr)'!C206</f>
        <v>TRENT</v>
      </c>
      <c r="B211" s="50">
        <f>VLOOKUP($A211,'Data shares'!$C:$FM,102)</f>
        <v>38.799999999999997</v>
      </c>
      <c r="C211" s="50">
        <f>VLOOKUP($A211,'Data shares'!$C:$FM,110)</f>
        <v>38.25</v>
      </c>
      <c r="D211" s="50">
        <f>VLOOKUP($A211,'Data shares'!$C:$FM,114)</f>
        <v>39.549999999999997</v>
      </c>
      <c r="E211" s="50">
        <f>VLOOKUP($A211,'Data shares'!$C:$FM,106)</f>
        <v>44.31</v>
      </c>
      <c r="F211" s="50">
        <f>VLOOKUP($A211,'Data shares'!$C:$FM,108)</f>
        <v>-5.51</v>
      </c>
      <c r="G211" s="50">
        <f t="shared" si="7"/>
        <v>0.8756488377341457</v>
      </c>
    </row>
    <row r="212" spans="1:7" x14ac:dyDescent="0.25">
      <c r="A212" s="49" t="str">
        <f>'Data Vlaue (Cr)'!C207</f>
        <v>TVSMOTOR</v>
      </c>
      <c r="B212" s="50">
        <f>VLOOKUP($A212,'Data shares'!$C:$FM,102)</f>
        <v>33.1</v>
      </c>
      <c r="C212" s="50">
        <f>VLOOKUP($A212,'Data shares'!$C:$FM,110)</f>
        <v>31.99</v>
      </c>
      <c r="D212" s="50">
        <f>VLOOKUP($A212,'Data shares'!$C:$FM,114)</f>
        <v>35.35</v>
      </c>
      <c r="E212" s="50">
        <f>VLOOKUP($A212,'Data shares'!$C:$FM,106)</f>
        <v>33.47</v>
      </c>
      <c r="F212" s="50">
        <f>VLOOKUP($A212,'Data shares'!$C:$FM,108)</f>
        <v>-0.37</v>
      </c>
      <c r="G212" s="50">
        <f t="shared" si="7"/>
        <v>0.98894532417089942</v>
      </c>
    </row>
    <row r="213" spans="1:7" x14ac:dyDescent="0.25">
      <c r="A213" s="49" t="str">
        <f>'Data Vlaue (Cr)'!C208</f>
        <v>ULTRACEMCO</v>
      </c>
      <c r="B213" s="50">
        <f>VLOOKUP($A213,'Data shares'!$C:$FM,102)</f>
        <v>32.9</v>
      </c>
      <c r="C213" s="50">
        <f>VLOOKUP($A213,'Data shares'!$C:$FM,110)</f>
        <v>30.48</v>
      </c>
      <c r="D213" s="50">
        <f>VLOOKUP($A213,'Data shares'!$C:$FM,114)</f>
        <v>36.21</v>
      </c>
      <c r="E213" s="50">
        <f>VLOOKUP($A213,'Data shares'!$C:$FM,106)</f>
        <v>30.27</v>
      </c>
      <c r="F213" s="50">
        <f>VLOOKUP($A213,'Data shares'!$C:$FM,108)</f>
        <v>2.63</v>
      </c>
      <c r="G213" s="50">
        <f t="shared" si="7"/>
        <v>1.0868847043277172</v>
      </c>
    </row>
    <row r="214" spans="1:7" x14ac:dyDescent="0.25">
      <c r="A214" s="49" t="str">
        <f>'Data Vlaue (Cr)'!C209</f>
        <v>UNIONBANK</v>
      </c>
      <c r="B214" s="50">
        <f>VLOOKUP($A214,'Data shares'!$C:$FM,102)</f>
        <v>41.38</v>
      </c>
      <c r="C214" s="50">
        <f>VLOOKUP($A214,'Data shares'!$C:$FM,110)</f>
        <v>40.39</v>
      </c>
      <c r="D214" s="50">
        <f>VLOOKUP($A214,'Data shares'!$C:$FM,114)</f>
        <v>43.48</v>
      </c>
      <c r="E214" s="50">
        <f>VLOOKUP($A214,'Data shares'!$C:$FM,106)</f>
        <v>44.41</v>
      </c>
      <c r="F214" s="50">
        <f>VLOOKUP($A214,'Data shares'!$C:$FM,108)</f>
        <v>-3.03</v>
      </c>
      <c r="G214" s="50">
        <f t="shared" si="7"/>
        <v>0.93177212339563176</v>
      </c>
    </row>
    <row r="215" spans="1:7" x14ac:dyDescent="0.25">
      <c r="A215" s="49" t="str">
        <f>'Data Vlaue (Cr)'!C210</f>
        <v>UNITDSPR</v>
      </c>
      <c r="B215" s="50">
        <f>VLOOKUP($A215,'Data shares'!$C:$FM,102)</f>
        <v>29.45</v>
      </c>
      <c r="C215" s="50">
        <f>VLOOKUP($A215,'Data shares'!$C:$FM,110)</f>
        <v>29.22</v>
      </c>
      <c r="D215" s="50">
        <f>VLOOKUP($A215,'Data shares'!$C:$FM,114)</f>
        <v>30.28</v>
      </c>
      <c r="E215" s="50">
        <f>VLOOKUP($A215,'Data shares'!$C:$FM,106)</f>
        <v>29.59</v>
      </c>
      <c r="F215" s="50">
        <f>VLOOKUP($A215,'Data shares'!$C:$FM,108)</f>
        <v>-0.14000000000000001</v>
      </c>
      <c r="G215" s="50">
        <f t="shared" ref="G215:G217" si="8">B215/E215</f>
        <v>0.99526867184859746</v>
      </c>
    </row>
    <row r="216" spans="1:7" x14ac:dyDescent="0.25">
      <c r="A216" s="49" t="str">
        <f>'Data Vlaue (Cr)'!C211</f>
        <v>UNOMINDA</v>
      </c>
      <c r="B216" s="50">
        <f>VLOOKUP($A216,'Data shares'!$C:$FM,102)</f>
        <v>43.42</v>
      </c>
      <c r="C216" s="50">
        <f>VLOOKUP($A216,'Data shares'!$C:$FM,110)</f>
        <v>41.4</v>
      </c>
      <c r="D216" s="50">
        <f>VLOOKUP($A216,'Data shares'!$C:$FM,114)</f>
        <v>47.03</v>
      </c>
      <c r="E216" s="50">
        <f>VLOOKUP($A216,'Data shares'!$C:$FM,106)</f>
        <v>43.26</v>
      </c>
      <c r="F216" s="50">
        <f>VLOOKUP($A216,'Data shares'!$C:$FM,108)</f>
        <v>0.16</v>
      </c>
      <c r="G216" s="50">
        <f t="shared" si="8"/>
        <v>1.0036985668053631</v>
      </c>
    </row>
    <row r="217" spans="1:7" x14ac:dyDescent="0.25">
      <c r="A217" s="49" t="str">
        <f>'Data Vlaue (Cr)'!C220</f>
        <v>ZYDUSLIFE</v>
      </c>
      <c r="B217" s="50">
        <f>VLOOKUP($A217,'Data shares'!$C:$FM,102)</f>
        <v>25.13</v>
      </c>
      <c r="C217" s="50">
        <f>VLOOKUP($A217,'Data shares'!$C:$FM,110)</f>
        <v>24.56</v>
      </c>
      <c r="D217" s="50">
        <f>VLOOKUP($A217,'Data shares'!$C:$FM,114)</f>
        <v>26.94</v>
      </c>
      <c r="E217" s="50">
        <f>VLOOKUP($A217,'Data shares'!$C:$FM,106)</f>
        <v>28.35</v>
      </c>
      <c r="F217" s="50">
        <f>VLOOKUP($A217,'Data shares'!$C:$FM,108)</f>
        <v>-3.22</v>
      </c>
      <c r="G217" s="50">
        <f t="shared" si="8"/>
        <v>0.88641975308641963</v>
      </c>
    </row>
    <row r="218" spans="1:7" x14ac:dyDescent="0.25">
      <c r="A218" s="49"/>
      <c r="B218" s="50"/>
      <c r="C218" s="50"/>
      <c r="D218" s="50"/>
      <c r="E218" s="50"/>
      <c r="F218" s="50"/>
      <c r="G218" s="50"/>
    </row>
    <row r="219" spans="1:7" x14ac:dyDescent="0.25">
      <c r="A219" s="49"/>
      <c r="B219" s="50"/>
      <c r="C219" s="50"/>
      <c r="D219" s="50"/>
      <c r="E219" s="50"/>
      <c r="F219" s="50"/>
      <c r="G219" s="50"/>
    </row>
    <row r="220" spans="1:7" x14ac:dyDescent="0.25">
      <c r="A220" s="49"/>
      <c r="B220" s="50"/>
      <c r="C220" s="50"/>
      <c r="D220" s="50"/>
      <c r="E220" s="50"/>
      <c r="F220" s="50"/>
      <c r="G220"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00" activePane="bottomLeft" state="frozen"/>
      <selection pane="bottomLeft" activeCell="A5" sqref="A5:D217"/>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20" t="s">
        <v>416</v>
      </c>
      <c r="B3" s="321"/>
      <c r="C3" s="321"/>
      <c r="D3" s="321"/>
      <c r="E3" s="321"/>
      <c r="F3" s="321"/>
    </row>
    <row r="4" spans="1:6" s="107" customFormat="1" ht="16.5" customHeight="1" x14ac:dyDescent="0.25">
      <c r="A4" s="174" t="s">
        <v>366</v>
      </c>
      <c r="B4" s="76" t="s">
        <v>417</v>
      </c>
      <c r="C4" s="76" t="s">
        <v>412</v>
      </c>
      <c r="D4" s="162" t="s">
        <v>418</v>
      </c>
      <c r="E4" s="162" t="s">
        <v>419</v>
      </c>
      <c r="F4" s="162" t="s">
        <v>419</v>
      </c>
    </row>
    <row r="5" spans="1:6" x14ac:dyDescent="0.25">
      <c r="A5" s="99" t="s">
        <v>680</v>
      </c>
      <c r="B5" s="49">
        <v>37756901</v>
      </c>
      <c r="C5" s="49">
        <v>6476000</v>
      </c>
      <c r="D5" s="49">
        <v>4999015.8984449999</v>
      </c>
      <c r="E5" s="50"/>
      <c r="F5" s="173">
        <f>C5/B5</f>
        <v>0.17151831396332023</v>
      </c>
    </row>
    <row r="6" spans="1:6" x14ac:dyDescent="0.25">
      <c r="A6" s="99" t="s">
        <v>553</v>
      </c>
      <c r="B6" s="49">
        <v>7946564</v>
      </c>
      <c r="C6" s="49">
        <v>3491250</v>
      </c>
      <c r="D6" s="49">
        <v>2068645.01732625</v>
      </c>
      <c r="E6" s="50">
        <f>VLOOKUP($A6,'Data shares'!$C:$FA,154)*100</f>
        <v>44.529999999999994</v>
      </c>
      <c r="F6" s="173">
        <f>C6/B6</f>
        <v>0.43934082705430927</v>
      </c>
    </row>
    <row r="7" spans="1:6" x14ac:dyDescent="0.25">
      <c r="A7" s="99" t="s">
        <v>544</v>
      </c>
      <c r="B7" s="49">
        <v>123369777</v>
      </c>
      <c r="C7" s="49">
        <v>59659500</v>
      </c>
      <c r="D7" s="49">
        <v>42536358.375497997</v>
      </c>
      <c r="E7" s="50">
        <f>VLOOKUP($A7,'Data shares'!$C:$FA,154)*100</f>
        <v>48.77</v>
      </c>
      <c r="F7" s="173">
        <f>C7/B7</f>
        <v>0.48358278219146006</v>
      </c>
    </row>
    <row r="8" spans="1:6" x14ac:dyDescent="0.25">
      <c r="A8" s="99" t="s">
        <v>578</v>
      </c>
      <c r="B8" s="49">
        <v>35196587</v>
      </c>
      <c r="C8" s="49">
        <v>24160950</v>
      </c>
      <c r="D8" s="49">
        <v>16781989.109919701</v>
      </c>
      <c r="E8" s="50">
        <f>VLOOKUP($A8,'Data shares'!$C:$FA,154)*100</f>
        <v>68.930000000000007</v>
      </c>
      <c r="F8" s="173">
        <f>C8/B8</f>
        <v>0.68645718404457801</v>
      </c>
    </row>
    <row r="9" spans="1:6" x14ac:dyDescent="0.25">
      <c r="A9" s="99" t="s">
        <v>159</v>
      </c>
      <c r="B9" s="49">
        <v>33645895</v>
      </c>
      <c r="C9" s="49">
        <v>27367203</v>
      </c>
      <c r="D9" s="49">
        <v>14111964.0851242</v>
      </c>
      <c r="E9" s="50">
        <f>VLOOKUP($A9,'Data shares'!$C:$FA,154)*100</f>
        <v>83.89</v>
      </c>
      <c r="F9" s="173">
        <f>C9/B9</f>
        <v>0.81338906276679512</v>
      </c>
    </row>
    <row r="10" spans="1:6" x14ac:dyDescent="0.25">
      <c r="A10" s="99" t="s">
        <v>605</v>
      </c>
      <c r="B10" s="49">
        <v>64724093</v>
      </c>
      <c r="C10" s="49">
        <v>32065800</v>
      </c>
      <c r="D10" s="49">
        <v>19693537.841340002</v>
      </c>
      <c r="E10" s="50">
        <f>VLOOKUP($A10,'Data shares'!$C:$FA,154)*100</f>
        <v>50.05</v>
      </c>
      <c r="F10" s="173">
        <f>C10/B10</f>
        <v>0.49542293315720931</v>
      </c>
    </row>
    <row r="11" spans="1:6" x14ac:dyDescent="0.25">
      <c r="A11" s="99" t="s">
        <v>160</v>
      </c>
      <c r="B11" s="49">
        <v>88142691</v>
      </c>
      <c r="C11" s="49">
        <v>34894925</v>
      </c>
      <c r="D11" s="49">
        <v>20475330.997586999</v>
      </c>
      <c r="E11" s="50">
        <f>VLOOKUP($A11,'Data shares'!$C:$FA,154)*100</f>
        <v>40.14</v>
      </c>
      <c r="F11" s="173">
        <f>C11/B11</f>
        <v>0.39589130538344919</v>
      </c>
    </row>
    <row r="12" spans="1:6" x14ac:dyDescent="0.25">
      <c r="A12" s="99" t="s">
        <v>696</v>
      </c>
      <c r="B12" s="49">
        <v>482906787</v>
      </c>
      <c r="C12" s="49">
        <v>72817600</v>
      </c>
      <c r="D12" s="49">
        <v>34914197.444415502</v>
      </c>
      <c r="E12" s="50">
        <f>VLOOKUP($A12,'Data shares'!$C:$FA,154)*100</f>
        <v>15.57</v>
      </c>
      <c r="F12" s="173">
        <f>C12/B12</f>
        <v>0.15079017723559143</v>
      </c>
    </row>
    <row r="13" spans="1:6" x14ac:dyDescent="0.25">
      <c r="A13" s="99" t="s">
        <v>497</v>
      </c>
      <c r="B13" s="49">
        <v>5873365</v>
      </c>
      <c r="C13" s="49">
        <v>1434625</v>
      </c>
      <c r="D13" s="49">
        <v>1146622.77430625</v>
      </c>
      <c r="E13" s="50">
        <f>VLOOKUP($A13,'Data shares'!$C:$FA,154)*100</f>
        <v>24.490000000000002</v>
      </c>
      <c r="F13" s="173">
        <f>C13/B13</f>
        <v>0.24425946625145892</v>
      </c>
    </row>
    <row r="14" spans="1:6" x14ac:dyDescent="0.25">
      <c r="A14" s="99" t="s">
        <v>679</v>
      </c>
      <c r="B14" s="49">
        <v>3260820</v>
      </c>
      <c r="C14" s="49">
        <v>1998700</v>
      </c>
      <c r="D14" s="49">
        <v>1074586.8750459999</v>
      </c>
      <c r="E14" s="50">
        <f>VLOOKUP($A14,'Data shares'!$C:$FA,154)*100</f>
        <v>62.73</v>
      </c>
      <c r="F14" s="173">
        <f>C14/B14</f>
        <v>0.61294398341521461</v>
      </c>
    </row>
    <row r="15" spans="1:6" x14ac:dyDescent="0.25">
      <c r="A15" s="99" t="s">
        <v>164</v>
      </c>
      <c r="B15" s="49">
        <v>97233107</v>
      </c>
      <c r="C15" s="49">
        <v>79605750</v>
      </c>
      <c r="D15" s="49">
        <v>55370640.951044999</v>
      </c>
      <c r="E15" s="50">
        <f>VLOOKUP($A15,'Data shares'!$C:$FA,154)*100</f>
        <v>82.65</v>
      </c>
      <c r="F15" s="173">
        <f>C15/B15</f>
        <v>0.81871033906177659</v>
      </c>
    </row>
    <row r="16" spans="1:6" x14ac:dyDescent="0.25">
      <c r="A16" s="99" t="s">
        <v>608</v>
      </c>
      <c r="B16" s="49">
        <v>96940911</v>
      </c>
      <c r="C16" s="49">
        <v>47910000</v>
      </c>
      <c r="D16" s="49">
        <v>23213623.210724998</v>
      </c>
      <c r="E16" s="50">
        <f>VLOOKUP($A16,'Data shares'!$C:$FA,154)*100</f>
        <v>50.480000000000004</v>
      </c>
      <c r="F16" s="173">
        <f>C16/B16</f>
        <v>0.49421858641291289</v>
      </c>
    </row>
    <row r="17" spans="1:6" x14ac:dyDescent="0.25">
      <c r="A17" s="99" t="s">
        <v>597</v>
      </c>
      <c r="B17" s="49">
        <v>29871221</v>
      </c>
      <c r="C17" s="49">
        <v>6400450</v>
      </c>
      <c r="D17" s="49">
        <v>4792125.3794994997</v>
      </c>
      <c r="E17" s="50"/>
      <c r="F17" s="173">
        <f>C17/B17</f>
        <v>0.2142681077549525</v>
      </c>
    </row>
    <row r="18" spans="1:6" x14ac:dyDescent="0.25">
      <c r="A18" s="99" t="s">
        <v>165</v>
      </c>
      <c r="B18" s="49">
        <v>15524629</v>
      </c>
      <c r="C18" s="49">
        <v>3822000</v>
      </c>
      <c r="D18" s="49">
        <v>2514779.5627175001</v>
      </c>
      <c r="E18" s="50">
        <f>VLOOKUP($A18,'Data shares'!$C:$FA,154)*100</f>
        <v>24.82</v>
      </c>
      <c r="F18" s="173">
        <f>C18/B18</f>
        <v>0.24618945805403789</v>
      </c>
    </row>
    <row r="19" spans="1:6" x14ac:dyDescent="0.25">
      <c r="A19" s="99" t="s">
        <v>167</v>
      </c>
      <c r="B19" s="49">
        <v>423779104</v>
      </c>
      <c r="C19" s="49">
        <v>283910000</v>
      </c>
      <c r="D19" s="49">
        <v>141484734.28975001</v>
      </c>
      <c r="E19" s="50">
        <f>VLOOKUP($A19,'Data shares'!$C:$FA,154)*100</f>
        <v>68.569999999999993</v>
      </c>
      <c r="F19" s="173">
        <f>C19/B19</f>
        <v>0.66994808691652719</v>
      </c>
    </row>
    <row r="20" spans="1:6" x14ac:dyDescent="0.25">
      <c r="A20" s="99" t="s">
        <v>169</v>
      </c>
      <c r="B20" s="49">
        <v>62818628</v>
      </c>
      <c r="C20" s="49">
        <v>21725250</v>
      </c>
      <c r="D20" s="49">
        <v>14658835.771615</v>
      </c>
      <c r="E20" s="50">
        <f>VLOOKUP($A20,'Data shares'!$C:$FA,154)*100</f>
        <v>35.020000000000003</v>
      </c>
      <c r="F20" s="173">
        <f>C20/B20</f>
        <v>0.34584088655995482</v>
      </c>
    </row>
    <row r="21" spans="1:6" x14ac:dyDescent="0.25">
      <c r="A21" s="99" t="s">
        <v>503</v>
      </c>
      <c r="B21" s="49">
        <v>17577908</v>
      </c>
      <c r="C21" s="49">
        <v>12036000</v>
      </c>
      <c r="D21" s="49">
        <v>7317589.4887974998</v>
      </c>
      <c r="E21" s="50">
        <f>VLOOKUP($A21,'Data shares'!$C:$FA,154)*100</f>
        <v>69.66</v>
      </c>
      <c r="F21" s="173">
        <f>C21/B21</f>
        <v>0.68472311949749654</v>
      </c>
    </row>
    <row r="22" spans="1:6" x14ac:dyDescent="0.25">
      <c r="A22" s="99" t="s">
        <v>495</v>
      </c>
      <c r="B22" s="49">
        <v>86532345</v>
      </c>
      <c r="C22" s="49">
        <v>35110000</v>
      </c>
      <c r="D22" s="49">
        <v>25149565.875069998</v>
      </c>
      <c r="E22" s="50">
        <f>VLOOKUP($A22,'Data shares'!$C:$FA,154)*100</f>
        <v>40.96</v>
      </c>
      <c r="F22" s="173">
        <f>C22/B22</f>
        <v>0.40574423355798345</v>
      </c>
    </row>
    <row r="23" spans="1:6" x14ac:dyDescent="0.25">
      <c r="A23" s="99" t="s">
        <v>171</v>
      </c>
      <c r="B23" s="49">
        <v>41977935</v>
      </c>
      <c r="C23" s="49">
        <v>27096300</v>
      </c>
      <c r="D23" s="49">
        <v>20786426.607595</v>
      </c>
      <c r="E23" s="50">
        <f>VLOOKUP($A23,'Data shares'!$C:$FA,154)*100</f>
        <v>65.06</v>
      </c>
      <c r="F23" s="173">
        <f>C23/B23</f>
        <v>0.64548911231579165</v>
      </c>
    </row>
    <row r="24" spans="1:6" x14ac:dyDescent="0.25">
      <c r="A24" s="99" t="s">
        <v>173</v>
      </c>
      <c r="B24" s="49">
        <v>331596880</v>
      </c>
      <c r="C24" s="49">
        <v>91107500</v>
      </c>
      <c r="D24" s="49">
        <v>68466921.230100006</v>
      </c>
      <c r="E24" s="50">
        <f>VLOOKUP($A24,'Data shares'!$C:$FA,154)*100</f>
        <v>27.82</v>
      </c>
      <c r="F24" s="173">
        <f>C24/B24</f>
        <v>0.2747537914108239</v>
      </c>
    </row>
    <row r="25" spans="1:6" x14ac:dyDescent="0.25">
      <c r="A25" s="99" t="s">
        <v>174</v>
      </c>
      <c r="B25" s="49">
        <v>12553818</v>
      </c>
      <c r="C25" s="49">
        <v>4849425</v>
      </c>
      <c r="D25" s="49">
        <v>2442780.9805740002</v>
      </c>
      <c r="E25" s="50">
        <f>VLOOKUP($A25,'Data shares'!$C:$FA,154)*100</f>
        <v>39</v>
      </c>
      <c r="F25" s="173">
        <f>C25/B25</f>
        <v>0.386290847931681</v>
      </c>
    </row>
    <row r="26" spans="1:6" x14ac:dyDescent="0.25">
      <c r="A26" s="99" t="s">
        <v>176</v>
      </c>
      <c r="B26" s="49">
        <v>65784745</v>
      </c>
      <c r="C26" s="49">
        <v>18019250</v>
      </c>
      <c r="D26" s="49">
        <v>11313763.950715</v>
      </c>
      <c r="E26" s="50">
        <f>VLOOKUP($A26,'Data shares'!$C:$FA,154)*100</f>
        <v>27.6</v>
      </c>
      <c r="F26" s="173">
        <f>C26/B26</f>
        <v>0.27391228771959214</v>
      </c>
    </row>
    <row r="27" spans="1:6" x14ac:dyDescent="0.25">
      <c r="A27" s="99" t="s">
        <v>689</v>
      </c>
      <c r="B27" s="49">
        <v>5401993</v>
      </c>
      <c r="C27" s="49">
        <v>367850</v>
      </c>
      <c r="D27" s="49">
        <v>272796.20450699999</v>
      </c>
      <c r="E27" s="50">
        <f>VLOOKUP($A27,'Data shares'!$C:$FA,154)*100</f>
        <v>6.83</v>
      </c>
      <c r="F27" s="173">
        <f>C27/B27</f>
        <v>6.8095238183388987E-2</v>
      </c>
    </row>
    <row r="28" spans="1:6" x14ac:dyDescent="0.25">
      <c r="A28" s="99" t="s">
        <v>177</v>
      </c>
      <c r="B28" s="49">
        <v>387962395</v>
      </c>
      <c r="C28" s="49">
        <v>102632250</v>
      </c>
      <c r="D28" s="49">
        <v>72088541.853187501</v>
      </c>
      <c r="E28" s="50">
        <f>VLOOKUP($A28,'Data shares'!$C:$FA,154)*100</f>
        <v>26.96</v>
      </c>
      <c r="F28" s="173">
        <f>C28/B28</f>
        <v>0.26454174766087829</v>
      </c>
    </row>
    <row r="29" spans="1:6" x14ac:dyDescent="0.25">
      <c r="A29" s="99" t="s">
        <v>179</v>
      </c>
      <c r="B29" s="49">
        <v>145616308</v>
      </c>
      <c r="C29" s="49">
        <v>130262400</v>
      </c>
      <c r="D29" s="49">
        <v>83108535.731964007</v>
      </c>
      <c r="E29" s="50">
        <f>VLOOKUP($A29,'Data shares'!$C:$FA,154)*100</f>
        <v>90.259999999999991</v>
      </c>
      <c r="F29" s="173">
        <f>C29/B29</f>
        <v>0.89455914511992707</v>
      </c>
    </row>
    <row r="30" spans="1:6" x14ac:dyDescent="0.25">
      <c r="A30" s="99" t="s">
        <v>180</v>
      </c>
      <c r="B30" s="49">
        <v>279476623</v>
      </c>
      <c r="C30" s="49">
        <v>173350125</v>
      </c>
      <c r="D30" s="49">
        <v>104307557.75118899</v>
      </c>
      <c r="E30" s="50">
        <f>VLOOKUP($A30,'Data shares'!$C:$FA,154)*100</f>
        <v>62.8</v>
      </c>
      <c r="F30" s="173">
        <f>C30/B30</f>
        <v>0.62026699456719858</v>
      </c>
    </row>
    <row r="31" spans="1:6" x14ac:dyDescent="0.25">
      <c r="A31" s="99" t="s">
        <v>601</v>
      </c>
      <c r="B31" s="49">
        <v>181770921</v>
      </c>
      <c r="C31" s="49">
        <v>95513600</v>
      </c>
      <c r="D31" s="49">
        <v>54744036.247784004</v>
      </c>
      <c r="E31" s="50">
        <f>VLOOKUP($A31,'Data shares'!$C:$FA,154)*100</f>
        <v>53.059999999999995</v>
      </c>
      <c r="F31" s="173">
        <f>C31/B31</f>
        <v>0.52546138554252031</v>
      </c>
    </row>
    <row r="32" spans="1:6" x14ac:dyDescent="0.25">
      <c r="A32" s="99" t="s">
        <v>669</v>
      </c>
      <c r="B32" s="49">
        <v>13786716</v>
      </c>
      <c r="C32" s="49">
        <v>8559600</v>
      </c>
      <c r="D32" s="49">
        <v>3286814.8248075</v>
      </c>
      <c r="E32" s="50">
        <f>VLOOKUP($A32,'Data shares'!$C:$FA,154)*100</f>
        <v>63.11</v>
      </c>
      <c r="F32" s="173">
        <f>C32/B32</f>
        <v>0.62085851336895603</v>
      </c>
    </row>
    <row r="33" spans="1:6" x14ac:dyDescent="0.25">
      <c r="A33" s="99" t="s">
        <v>185</v>
      </c>
      <c r="B33" s="49">
        <v>535778534</v>
      </c>
      <c r="C33" s="49">
        <v>164881050</v>
      </c>
      <c r="D33" s="49">
        <v>95225235.410315201</v>
      </c>
      <c r="E33" s="50">
        <f>VLOOKUP($A33,'Data shares'!$C:$FA,154)*100</f>
        <v>31.259999999999998</v>
      </c>
      <c r="F33" s="173">
        <f>C33/B33</f>
        <v>0.3077410525745326</v>
      </c>
    </row>
    <row r="34" spans="1:6" x14ac:dyDescent="0.25">
      <c r="A34" s="99" t="s">
        <v>187</v>
      </c>
      <c r="B34" s="49">
        <v>40107751</v>
      </c>
      <c r="C34" s="49">
        <v>12453500</v>
      </c>
      <c r="D34" s="49">
        <v>8132171.3130799998</v>
      </c>
      <c r="E34" s="50">
        <f>VLOOKUP($A34,'Data shares'!$C:$FA,154)*100</f>
        <v>31.85</v>
      </c>
      <c r="F34" s="173">
        <f>C34/B34</f>
        <v>0.31050107995334869</v>
      </c>
    </row>
    <row r="35" spans="1:6" x14ac:dyDescent="0.25">
      <c r="A35" s="99" t="s">
        <v>189</v>
      </c>
      <c r="B35" s="49">
        <v>342859930</v>
      </c>
      <c r="C35" s="49">
        <v>74744100</v>
      </c>
      <c r="D35" s="49">
        <v>58458154.286132</v>
      </c>
      <c r="E35" s="50">
        <f>VLOOKUP($A35,'Data shares'!$C:$FA,154)*100</f>
        <v>22.009999999999998</v>
      </c>
      <c r="F35" s="173">
        <f>C35/B35</f>
        <v>0.21800185282660473</v>
      </c>
    </row>
    <row r="36" spans="1:6" x14ac:dyDescent="0.25">
      <c r="A36" s="99" t="s">
        <v>190</v>
      </c>
      <c r="B36" s="49">
        <v>192361942</v>
      </c>
      <c r="C36" s="49">
        <v>152575500</v>
      </c>
      <c r="D36" s="49">
        <v>81520480.291687503</v>
      </c>
      <c r="E36" s="50">
        <f>VLOOKUP($A36,'Data shares'!$C:$FA,154)*100</f>
        <v>80.73</v>
      </c>
      <c r="F36" s="173">
        <f>C36/B36</f>
        <v>0.79316884833695434</v>
      </c>
    </row>
    <row r="37" spans="1:6" x14ac:dyDescent="0.25">
      <c r="A37" s="99" t="s">
        <v>191</v>
      </c>
      <c r="B37" s="49">
        <v>108004143</v>
      </c>
      <c r="C37" s="49">
        <v>71465000</v>
      </c>
      <c r="D37" s="49">
        <v>35114770.792199999</v>
      </c>
      <c r="E37" s="50"/>
      <c r="F37" s="173">
        <f>C37/B37</f>
        <v>0.66168757989218985</v>
      </c>
    </row>
    <row r="38" spans="1:6" x14ac:dyDescent="0.25">
      <c r="A38" s="99" t="s">
        <v>677</v>
      </c>
      <c r="B38" s="49">
        <v>15745076</v>
      </c>
      <c r="C38" s="49">
        <v>4396600</v>
      </c>
      <c r="D38" s="49">
        <v>2129766.5304304999</v>
      </c>
      <c r="E38" s="50">
        <f>VLOOKUP($A38,'Data shares'!$C:$FA,154)*100</f>
        <v>28.720000000000002</v>
      </c>
      <c r="F38" s="173">
        <f>C38/B38</f>
        <v>0.27923650543192041</v>
      </c>
    </row>
    <row r="39" spans="1:6" x14ac:dyDescent="0.25">
      <c r="A39" s="99" t="s">
        <v>192</v>
      </c>
      <c r="B39" s="49">
        <v>868841</v>
      </c>
      <c r="C39" s="49">
        <v>802525</v>
      </c>
      <c r="D39" s="49">
        <v>348128.55420125002</v>
      </c>
      <c r="E39" s="50">
        <f>VLOOKUP($A39,'Data shares'!$C:$FA,154)*100</f>
        <v>93.47999999999999</v>
      </c>
      <c r="F39" s="173">
        <f>C39/B39</f>
        <v>0.92367303108393828</v>
      </c>
    </row>
    <row r="40" spans="1:6" x14ac:dyDescent="0.25">
      <c r="A40" s="99" t="s">
        <v>194</v>
      </c>
      <c r="B40" s="49">
        <v>306020745</v>
      </c>
      <c r="C40" s="49">
        <v>86967150</v>
      </c>
      <c r="D40" s="49">
        <v>50267551.788850501</v>
      </c>
      <c r="E40" s="50">
        <f>VLOOKUP($A40,'Data shares'!$C:$FA,154)*100</f>
        <v>28.77</v>
      </c>
      <c r="F40" s="173">
        <f>C40/B40</f>
        <v>0.28418710633489896</v>
      </c>
    </row>
    <row r="41" spans="1:6" x14ac:dyDescent="0.25">
      <c r="A41" s="99" t="s">
        <v>195</v>
      </c>
      <c r="B41" s="49">
        <v>14553559</v>
      </c>
      <c r="C41" s="49">
        <v>3993000</v>
      </c>
      <c r="D41" s="49">
        <v>2907454.6916149999</v>
      </c>
      <c r="E41" s="50">
        <f>VLOOKUP($A41,'Data shares'!$C:$FA,154)*100</f>
        <v>27.74</v>
      </c>
      <c r="F41" s="173">
        <f>C41/B41</f>
        <v>0.27436587847687288</v>
      </c>
    </row>
    <row r="42" spans="1:6" x14ac:dyDescent="0.25">
      <c r="A42" s="99" t="s">
        <v>583</v>
      </c>
      <c r="B42" s="49">
        <v>61182611</v>
      </c>
      <c r="C42" s="49">
        <v>19248000</v>
      </c>
      <c r="D42" s="49">
        <v>9267772.8649237491</v>
      </c>
      <c r="E42" s="50">
        <f>VLOOKUP($A42,'Data shares'!$C:$FA,154)*100</f>
        <v>32.879999999999995</v>
      </c>
      <c r="F42" s="173">
        <f>C42/B42</f>
        <v>0.31459919224434535</v>
      </c>
    </row>
    <row r="43" spans="1:6" x14ac:dyDescent="0.25">
      <c r="A43" s="99" t="s">
        <v>610</v>
      </c>
      <c r="B43" s="49">
        <v>37147595</v>
      </c>
      <c r="C43" s="49">
        <v>10247250</v>
      </c>
      <c r="D43" s="49">
        <v>6021281.8512000004</v>
      </c>
      <c r="E43" s="50">
        <f>VLOOKUP($A43,'Data shares'!$C:$FA,154)*100</f>
        <v>28.34</v>
      </c>
      <c r="F43" s="173">
        <f>C43/B43</f>
        <v>0.27585231291554674</v>
      </c>
    </row>
    <row r="44" spans="1:6" x14ac:dyDescent="0.25">
      <c r="A44" s="99" t="s">
        <v>196</v>
      </c>
      <c r="B44" s="49">
        <v>504315430</v>
      </c>
      <c r="C44" s="49">
        <v>323615250</v>
      </c>
      <c r="D44" s="49">
        <v>193176808.939125</v>
      </c>
      <c r="E44" s="50">
        <f>VLOOKUP($A44,'Data shares'!$C:$FA,154)*100</f>
        <v>65.06</v>
      </c>
      <c r="F44" s="173">
        <f>C44/B44</f>
        <v>0.64169214493397519</v>
      </c>
    </row>
    <row r="45" spans="1:6" x14ac:dyDescent="0.25">
      <c r="A45" s="99" t="s">
        <v>596</v>
      </c>
      <c r="B45" s="49">
        <v>26647500</v>
      </c>
      <c r="C45" s="49">
        <v>19237500</v>
      </c>
      <c r="D45" s="49">
        <v>8194436.4890522501</v>
      </c>
      <c r="E45" s="50">
        <f>VLOOKUP($A45,'Data shares'!$C:$FA,154)*100</f>
        <v>74.61</v>
      </c>
      <c r="F45" s="173">
        <f>C45/B45</f>
        <v>0.72192513368983957</v>
      </c>
    </row>
    <row r="46" spans="1:6" x14ac:dyDescent="0.25">
      <c r="A46" s="99" t="s">
        <v>611</v>
      </c>
      <c r="B46" s="49">
        <v>103080397</v>
      </c>
      <c r="C46" s="49">
        <v>23596000</v>
      </c>
      <c r="D46" s="49">
        <v>18099808.322833501</v>
      </c>
      <c r="E46" s="50">
        <f>VLOOKUP($A46,'Data shares'!$C:$FA,154)*100</f>
        <v>23.1</v>
      </c>
      <c r="F46" s="173">
        <f>C46/B46</f>
        <v>0.2289087031746686</v>
      </c>
    </row>
    <row r="47" spans="1:6" x14ac:dyDescent="0.25">
      <c r="A47" s="99" t="s">
        <v>198</v>
      </c>
      <c r="B47" s="49">
        <v>63646863</v>
      </c>
      <c r="C47" s="49">
        <v>25576250</v>
      </c>
      <c r="D47" s="49">
        <v>19350159.406031199</v>
      </c>
      <c r="E47" s="50"/>
      <c r="F47" s="173">
        <f>C47/B47</f>
        <v>0.40184619939556171</v>
      </c>
    </row>
    <row r="48" spans="1:6" x14ac:dyDescent="0.25">
      <c r="A48" s="99" t="s">
        <v>199</v>
      </c>
      <c r="B48" s="49">
        <v>76385219</v>
      </c>
      <c r="C48" s="49">
        <v>22642125</v>
      </c>
      <c r="D48" s="49">
        <v>15088172.005349999</v>
      </c>
      <c r="E48" s="50">
        <f>VLOOKUP($A48,'Data shares'!$C:$FA,154)*100</f>
        <v>29.95</v>
      </c>
      <c r="F48" s="173">
        <f>C48/B48</f>
        <v>0.29642024067509709</v>
      </c>
    </row>
    <row r="49" spans="1:6" x14ac:dyDescent="0.25">
      <c r="A49" s="99" t="s">
        <v>200</v>
      </c>
      <c r="B49" s="49">
        <v>320531323</v>
      </c>
      <c r="C49" s="49">
        <v>104866650</v>
      </c>
      <c r="D49" s="49">
        <v>58249475.237870999</v>
      </c>
      <c r="E49" s="50">
        <f>VLOOKUP($A49,'Data shares'!$C:$FA,154)*100</f>
        <v>33</v>
      </c>
      <c r="F49" s="173">
        <f>C49/B49</f>
        <v>0.32716506149384972</v>
      </c>
    </row>
    <row r="50" spans="1:6" x14ac:dyDescent="0.25">
      <c r="A50" s="99" t="s">
        <v>697</v>
      </c>
      <c r="B50" s="49">
        <v>12661431</v>
      </c>
      <c r="C50" s="49">
        <v>2196000</v>
      </c>
      <c r="D50" s="49">
        <v>958169.27339999995</v>
      </c>
      <c r="E50" s="50">
        <f>VLOOKUP($A50,'Data shares'!$C:$FA,154)*100</f>
        <v>17.82</v>
      </c>
      <c r="F50" s="173">
        <f>C50/B50</f>
        <v>0.17344011115331276</v>
      </c>
    </row>
    <row r="51" spans="1:6" x14ac:dyDescent="0.25">
      <c r="A51" s="99" t="s">
        <v>470</v>
      </c>
      <c r="B51" s="49">
        <v>50256271</v>
      </c>
      <c r="C51" s="49">
        <v>27623625</v>
      </c>
      <c r="D51" s="49">
        <v>18047369.6334037</v>
      </c>
      <c r="E51" s="50"/>
      <c r="F51" s="173">
        <f>C51/B51</f>
        <v>0.5496552858050292</v>
      </c>
    </row>
    <row r="52" spans="1:6" x14ac:dyDescent="0.25">
      <c r="A52" s="99" t="s">
        <v>201</v>
      </c>
      <c r="B52" s="49">
        <v>19054573</v>
      </c>
      <c r="C52" s="49">
        <v>9323325</v>
      </c>
      <c r="D52" s="49">
        <v>6220633.9078529999</v>
      </c>
      <c r="E52" s="50">
        <f>VLOOKUP($A52,'Data shares'!$C:$FA,154)*100</f>
        <v>49.14</v>
      </c>
      <c r="F52" s="173">
        <f>C52/B52</f>
        <v>0.48929592911895742</v>
      </c>
    </row>
    <row r="53" spans="1:6" x14ac:dyDescent="0.25">
      <c r="A53" s="99" t="s">
        <v>202</v>
      </c>
      <c r="B53" s="49">
        <v>51639257</v>
      </c>
      <c r="C53" s="49">
        <v>35843750</v>
      </c>
      <c r="D53" s="49">
        <v>23503357.169875</v>
      </c>
      <c r="E53" s="50">
        <f>VLOOKUP($A53,'Data shares'!$C:$FA,154)*100</f>
        <v>70</v>
      </c>
      <c r="F53" s="173">
        <f>C53/B53</f>
        <v>0.69411823644170556</v>
      </c>
    </row>
    <row r="54" spans="1:6" x14ac:dyDescent="0.25">
      <c r="A54" s="99" t="s">
        <v>523</v>
      </c>
      <c r="B54" s="49">
        <v>96587231</v>
      </c>
      <c r="C54" s="49">
        <v>59425200</v>
      </c>
      <c r="D54" s="49">
        <v>43839887.129730001</v>
      </c>
      <c r="E54" s="50">
        <f>VLOOKUP($A54,'Data shares'!$C:$FA,154)*100</f>
        <v>61.77</v>
      </c>
      <c r="F54" s="173">
        <f>C54/B54</f>
        <v>0.61524902810393234</v>
      </c>
    </row>
    <row r="55" spans="1:6" x14ac:dyDescent="0.25">
      <c r="A55" s="99" t="s">
        <v>203</v>
      </c>
      <c r="B55" s="49">
        <v>20374200</v>
      </c>
      <c r="C55" s="49">
        <v>4987600</v>
      </c>
      <c r="D55" s="49">
        <v>3545327.6282839999</v>
      </c>
      <c r="E55" s="50">
        <f>VLOOKUP($A55,'Data shares'!$C:$FA,154)*100</f>
        <v>24.81</v>
      </c>
      <c r="F55" s="173">
        <f>C55/B55</f>
        <v>0.24479979582020397</v>
      </c>
    </row>
    <row r="56" spans="1:6" x14ac:dyDescent="0.25">
      <c r="A56" s="99" t="s">
        <v>204</v>
      </c>
      <c r="B56" s="49">
        <v>76827821</v>
      </c>
      <c r="C56" s="49">
        <v>45050000</v>
      </c>
      <c r="D56" s="49">
        <v>30839193.273249999</v>
      </c>
      <c r="E56" s="50">
        <f>VLOOKUP($A56,'Data shares'!$C:$FA,154)*100</f>
        <v>58.879999999999995</v>
      </c>
      <c r="F56" s="173">
        <f>C56/B56</f>
        <v>0.58637612538822359</v>
      </c>
    </row>
    <row r="57" spans="1:6" x14ac:dyDescent="0.25">
      <c r="A57" s="99" t="s">
        <v>524</v>
      </c>
      <c r="B57" s="49">
        <v>12425160</v>
      </c>
      <c r="C57" s="49">
        <v>4096300</v>
      </c>
      <c r="D57" s="49">
        <v>2503887.4669834999</v>
      </c>
      <c r="E57" s="50">
        <f>VLOOKUP($A57,'Data shares'!$C:$FA,154)*100</f>
        <v>33.08</v>
      </c>
      <c r="F57" s="173">
        <f>C57/B57</f>
        <v>0.32967784720679655</v>
      </c>
    </row>
    <row r="58" spans="1:6" x14ac:dyDescent="0.25">
      <c r="A58" s="99" t="s">
        <v>599</v>
      </c>
      <c r="B58" s="49">
        <v>83072620</v>
      </c>
      <c r="C58" s="49">
        <v>40456275</v>
      </c>
      <c r="D58" s="49">
        <v>28867251.708734699</v>
      </c>
      <c r="E58" s="50">
        <f>VLOOKUP($A58,'Data shares'!$C:$FA,154)*100</f>
        <v>48.949999999999996</v>
      </c>
      <c r="F58" s="173">
        <f>C58/B58</f>
        <v>0.48699890529515022</v>
      </c>
    </row>
    <row r="59" spans="1:6" x14ac:dyDescent="0.25">
      <c r="A59" s="99" t="s">
        <v>205</v>
      </c>
      <c r="B59" s="49">
        <v>15815194</v>
      </c>
      <c r="C59" s="49">
        <v>4186300</v>
      </c>
      <c r="D59" s="49">
        <v>2758768.0142379999</v>
      </c>
      <c r="E59" s="50">
        <f>VLOOKUP($A59,'Data shares'!$C:$FA,154)*100</f>
        <v>26.640000000000004</v>
      </c>
      <c r="F59" s="173">
        <f>C59/B59</f>
        <v>0.26470114751674878</v>
      </c>
    </row>
    <row r="60" spans="1:6" x14ac:dyDescent="0.25">
      <c r="A60" s="99" t="s">
        <v>512</v>
      </c>
      <c r="B60" s="49">
        <v>6478285</v>
      </c>
      <c r="C60" s="49">
        <v>5713800</v>
      </c>
      <c r="D60" s="49">
        <v>2233279.525043</v>
      </c>
      <c r="E60" s="50">
        <f>VLOOKUP($A60,'Data shares'!$C:$FA,154)*100</f>
        <v>91.64</v>
      </c>
      <c r="F60" s="173">
        <f>C60/B60</f>
        <v>0.8819926878795854</v>
      </c>
    </row>
    <row r="61" spans="1:6" x14ac:dyDescent="0.25">
      <c r="A61" s="99" t="s">
        <v>207</v>
      </c>
      <c r="B61" s="49">
        <v>96251298</v>
      </c>
      <c r="C61" s="49">
        <v>72774900</v>
      </c>
      <c r="D61" s="49">
        <v>52202347.876404002</v>
      </c>
      <c r="E61" s="50">
        <f>VLOOKUP($A61,'Data shares'!$C:$FA,154)*100</f>
        <v>76.180000000000007</v>
      </c>
      <c r="F61" s="173">
        <f>C61/B61</f>
        <v>0.75609266069326153</v>
      </c>
    </row>
    <row r="62" spans="1:6" x14ac:dyDescent="0.25">
      <c r="A62" s="99" t="s">
        <v>582</v>
      </c>
      <c r="B62" s="49">
        <v>16494391</v>
      </c>
      <c r="C62" s="49">
        <v>7261350</v>
      </c>
      <c r="D62" s="49">
        <v>3682397.9230215</v>
      </c>
      <c r="E62" s="50">
        <f>VLOOKUP($A62,'Data shares'!$C:$FA,154)*100</f>
        <v>44.59</v>
      </c>
      <c r="F62" s="173">
        <f>C62/B62</f>
        <v>0.44023147020099135</v>
      </c>
    </row>
    <row r="63" spans="1:6" x14ac:dyDescent="0.25">
      <c r="A63" s="99" t="s">
        <v>208</v>
      </c>
      <c r="B63" s="49">
        <v>61026255</v>
      </c>
      <c r="C63" s="49">
        <v>23277500</v>
      </c>
      <c r="D63" s="49">
        <v>12848276.903968699</v>
      </c>
      <c r="E63" s="50">
        <f>VLOOKUP($A63,'Data shares'!$C:$FA,154)*100</f>
        <v>38.450000000000003</v>
      </c>
      <c r="F63" s="173">
        <f>C63/B63</f>
        <v>0.38143418762957026</v>
      </c>
    </row>
    <row r="64" spans="1:6" x14ac:dyDescent="0.25">
      <c r="A64" s="99" t="s">
        <v>209</v>
      </c>
      <c r="B64" s="49">
        <v>20960143</v>
      </c>
      <c r="C64" s="49">
        <v>6722100</v>
      </c>
      <c r="D64" s="49">
        <v>4135351.4691619999</v>
      </c>
      <c r="E64" s="50">
        <f>VLOOKUP($A64,'Data shares'!$C:$FA,154)*100</f>
        <v>32.49</v>
      </c>
      <c r="F64" s="173">
        <f>C64/B64</f>
        <v>0.32070868982143874</v>
      </c>
    </row>
    <row r="65" spans="1:6" x14ac:dyDescent="0.25">
      <c r="A65" s="99" t="s">
        <v>665</v>
      </c>
      <c r="B65" s="49">
        <v>1366821859</v>
      </c>
      <c r="C65" s="49">
        <v>295180700</v>
      </c>
      <c r="D65" s="49">
        <v>196337360.38488501</v>
      </c>
      <c r="E65" s="50">
        <f>VLOOKUP($A65,'Data shares'!$C:$FA,154)*100</f>
        <v>21.790000000000003</v>
      </c>
      <c r="F65" s="173">
        <f>C65/B65</f>
        <v>0.21596135447816248</v>
      </c>
    </row>
    <row r="66" spans="1:6" x14ac:dyDescent="0.25">
      <c r="A66" s="99" t="s">
        <v>211</v>
      </c>
      <c r="B66" s="49">
        <v>50211048</v>
      </c>
      <c r="C66" s="49">
        <v>50495400</v>
      </c>
      <c r="D66" s="49">
        <v>23361173.391617998</v>
      </c>
      <c r="E66" s="50">
        <f>VLOOKUP($A66,'Data shares'!$C:$FA,154)*100</f>
        <v>102.38000000000001</v>
      </c>
      <c r="F66" s="173">
        <f>C66/B66</f>
        <v>1.0056631361289252</v>
      </c>
    </row>
    <row r="67" spans="1:6" x14ac:dyDescent="0.25">
      <c r="A67" s="99" t="s">
        <v>212</v>
      </c>
      <c r="B67" s="49">
        <v>359450597</v>
      </c>
      <c r="C67" s="49">
        <v>123150000</v>
      </c>
      <c r="D67" s="49">
        <v>76915304.560849994</v>
      </c>
      <c r="E67" s="50">
        <f>VLOOKUP($A67,'Data shares'!$C:$FA,154)*100</f>
        <v>34.770000000000003</v>
      </c>
      <c r="F67" s="173">
        <f>C67/B67</f>
        <v>0.34260619130366893</v>
      </c>
    </row>
    <row r="68" spans="1:6" x14ac:dyDescent="0.25">
      <c r="A68" s="99" t="s">
        <v>701</v>
      </c>
      <c r="B68" s="49">
        <v>736885</v>
      </c>
      <c r="C68" s="49">
        <v>137775</v>
      </c>
      <c r="D68" s="49">
        <v>69996.12192125</v>
      </c>
      <c r="E68" s="50"/>
      <c r="F68" s="173">
        <f>C68/B68</f>
        <v>0.1869694728485449</v>
      </c>
    </row>
    <row r="69" spans="1:6" x14ac:dyDescent="0.25">
      <c r="A69" s="99" t="s">
        <v>675</v>
      </c>
      <c r="B69" s="49">
        <v>70894446</v>
      </c>
      <c r="C69" s="49">
        <v>14799400</v>
      </c>
      <c r="D69" s="49">
        <v>11901719.584122499</v>
      </c>
      <c r="E69" s="50">
        <f>VLOOKUP($A69,'Data shares'!$C:$FA,154)*100</f>
        <v>21.060000000000002</v>
      </c>
      <c r="F69" s="173">
        <f>C69/B69</f>
        <v>0.20875260101475368</v>
      </c>
    </row>
    <row r="70" spans="1:6" x14ac:dyDescent="0.25">
      <c r="A70" s="99" t="s">
        <v>213</v>
      </c>
      <c r="B70" s="49">
        <v>471255857</v>
      </c>
      <c r="C70" s="49">
        <v>137374650</v>
      </c>
      <c r="D70" s="49">
        <v>81029712.674389496</v>
      </c>
      <c r="E70" s="50">
        <f>VLOOKUP($A70,'Data shares'!$C:$FA,154)*100</f>
        <v>29.29</v>
      </c>
      <c r="F70" s="173">
        <f>C70/B70</f>
        <v>0.29150757058919696</v>
      </c>
    </row>
    <row r="71" spans="1:6" x14ac:dyDescent="0.25">
      <c r="A71" s="99" t="s">
        <v>214</v>
      </c>
      <c r="B71" s="49">
        <v>15844372</v>
      </c>
      <c r="C71" s="49">
        <v>12651375</v>
      </c>
      <c r="D71" s="49">
        <v>10393522.266926199</v>
      </c>
      <c r="E71" s="50">
        <f>VLOOKUP($A71,'Data shares'!$C:$FA,154)*100</f>
        <v>80.179999999999993</v>
      </c>
      <c r="F71" s="173">
        <f>C71/B71</f>
        <v>0.79847752880328737</v>
      </c>
    </row>
    <row r="72" spans="1:6" x14ac:dyDescent="0.25">
      <c r="A72" s="99" t="s">
        <v>630</v>
      </c>
      <c r="B72" s="49">
        <v>534704421</v>
      </c>
      <c r="C72" s="49">
        <v>194463000</v>
      </c>
      <c r="D72" s="49">
        <v>126659261.82831299</v>
      </c>
      <c r="E72" s="50">
        <f>VLOOKUP($A72,'Data shares'!$C:$FA,154)*100</f>
        <v>36.64</v>
      </c>
      <c r="F72" s="173">
        <f>C72/B72</f>
        <v>0.36368317216513157</v>
      </c>
    </row>
    <row r="73" spans="1:6" x14ac:dyDescent="0.25">
      <c r="A73" s="99" t="s">
        <v>700</v>
      </c>
      <c r="B73" s="49">
        <v>6329596</v>
      </c>
      <c r="C73" s="49">
        <v>512325</v>
      </c>
      <c r="D73" s="49">
        <v>259989.58396125</v>
      </c>
      <c r="E73" s="50">
        <f>VLOOKUP($A73,'Data shares'!$C:$FA,154)*100</f>
        <v>8.25</v>
      </c>
      <c r="F73" s="173">
        <f>C73/B73</f>
        <v>8.0941184871830676E-2</v>
      </c>
    </row>
    <row r="74" spans="1:6" x14ac:dyDescent="0.25">
      <c r="A74" s="99" t="s">
        <v>217</v>
      </c>
      <c r="B74" s="49">
        <v>53250524</v>
      </c>
      <c r="C74" s="49">
        <v>14606000</v>
      </c>
      <c r="D74" s="49">
        <v>12308155.451990001</v>
      </c>
      <c r="E74" s="50">
        <f>VLOOKUP($A74,'Data shares'!$C:$FA,154)*100</f>
        <v>27.560000000000002</v>
      </c>
      <c r="F74" s="173">
        <f>C74/B74</f>
        <v>0.27428838071152128</v>
      </c>
    </row>
    <row r="75" spans="1:6" x14ac:dyDescent="0.25">
      <c r="A75" s="99" t="s">
        <v>218</v>
      </c>
      <c r="B75" s="49">
        <v>23870110</v>
      </c>
      <c r="C75" s="49">
        <v>11800800</v>
      </c>
      <c r="D75" s="49">
        <v>7964385.1742702499</v>
      </c>
      <c r="E75" s="50">
        <f>VLOOKUP($A75,'Data shares'!$C:$FA,154)*100</f>
        <v>49.72</v>
      </c>
      <c r="F75" s="173">
        <f>C75/B75</f>
        <v>0.49437560195575136</v>
      </c>
    </row>
    <row r="76" spans="1:6" x14ac:dyDescent="0.25">
      <c r="A76" s="99" t="s">
        <v>219</v>
      </c>
      <c r="B76" s="49">
        <v>38401443</v>
      </c>
      <c r="C76" s="49">
        <v>16868750</v>
      </c>
      <c r="D76" s="49">
        <v>12169846.771090001</v>
      </c>
      <c r="E76" s="50">
        <f>VLOOKUP($A76,'Data shares'!$C:$FA,154)*100</f>
        <v>44.230000000000004</v>
      </c>
      <c r="F76" s="173">
        <f>C76/B76</f>
        <v>0.43927385749540715</v>
      </c>
    </row>
    <row r="77" spans="1:6" x14ac:dyDescent="0.25">
      <c r="A77" s="99" t="s">
        <v>513</v>
      </c>
      <c r="B77" s="49">
        <v>28450886</v>
      </c>
      <c r="C77" s="49">
        <v>13826550</v>
      </c>
      <c r="D77" s="49">
        <v>7213786.1808390003</v>
      </c>
      <c r="E77" s="50">
        <f>VLOOKUP($A77,'Data shares'!$C:$FA,154)*100</f>
        <v>49.18</v>
      </c>
      <c r="F77" s="173">
        <f>C77/B77</f>
        <v>0.48597959304325355</v>
      </c>
    </row>
    <row r="78" spans="1:6" x14ac:dyDescent="0.25">
      <c r="A78" s="99" t="s">
        <v>220</v>
      </c>
      <c r="B78" s="49">
        <v>29751886</v>
      </c>
      <c r="C78" s="49">
        <v>11776000</v>
      </c>
      <c r="D78" s="49">
        <v>8197699.3136600005</v>
      </c>
      <c r="E78" s="50">
        <f>VLOOKUP($A78,'Data shares'!$C:$FA,154)*100</f>
        <v>39.93</v>
      </c>
      <c r="F78" s="173">
        <f>C78/B78</f>
        <v>0.39580684061507898</v>
      </c>
    </row>
    <row r="79" spans="1:6" x14ac:dyDescent="0.25">
      <c r="A79" s="99" t="s">
        <v>222</v>
      </c>
      <c r="B79" s="49">
        <v>145140505</v>
      </c>
      <c r="C79" s="49">
        <v>46421550</v>
      </c>
      <c r="D79" s="49">
        <v>33129233.025710501</v>
      </c>
      <c r="E79" s="50">
        <f>VLOOKUP($A79,'Data shares'!$C:$FA,154)*100</f>
        <v>32.31</v>
      </c>
      <c r="F79" s="173">
        <f>C79/B79</f>
        <v>0.31983869699226969</v>
      </c>
    </row>
    <row r="80" spans="1:6" x14ac:dyDescent="0.25">
      <c r="A80" s="99" t="s">
        <v>475</v>
      </c>
      <c r="B80" s="49">
        <v>30592324</v>
      </c>
      <c r="C80" s="49">
        <v>7431600</v>
      </c>
      <c r="D80" s="49">
        <v>5813731.0825500004</v>
      </c>
      <c r="E80" s="50">
        <f>VLOOKUP($A80,'Data shares'!$C:$FA,154)*100</f>
        <v>24.58</v>
      </c>
      <c r="F80" s="173">
        <f>C80/B80</f>
        <v>0.24292368242438855</v>
      </c>
    </row>
    <row r="81" spans="1:6" x14ac:dyDescent="0.25">
      <c r="A81" s="99" t="s">
        <v>224</v>
      </c>
      <c r="B81" s="49">
        <v>1496665645</v>
      </c>
      <c r="C81" s="49">
        <v>447361750</v>
      </c>
      <c r="D81" s="49">
        <v>327406982.58726698</v>
      </c>
      <c r="E81" s="50">
        <f>VLOOKUP($A81,'Data shares'!$C:$FA,154)*100</f>
        <v>30.159999999999997</v>
      </c>
      <c r="F81" s="173">
        <f>C81/B81</f>
        <v>0.29890560493222251</v>
      </c>
    </row>
    <row r="82" spans="1:6" x14ac:dyDescent="0.25">
      <c r="A82" s="99" t="s">
        <v>225</v>
      </c>
      <c r="B82" s="49">
        <v>156090005</v>
      </c>
      <c r="C82" s="49">
        <v>63189500</v>
      </c>
      <c r="D82" s="49">
        <v>46019195.909665003</v>
      </c>
      <c r="E82" s="50">
        <f>VLOOKUP($A82,'Data shares'!$C:$FA,154)*100</f>
        <v>40.9</v>
      </c>
      <c r="F82" s="173">
        <f>C82/B82</f>
        <v>0.40482733023168266</v>
      </c>
    </row>
    <row r="83" spans="1:6" x14ac:dyDescent="0.25">
      <c r="A83" s="99" t="s">
        <v>226</v>
      </c>
      <c r="B83" s="49">
        <v>19589014</v>
      </c>
      <c r="C83" s="49">
        <v>6113100</v>
      </c>
      <c r="D83" s="49">
        <v>3833820.8419905002</v>
      </c>
      <c r="E83" s="50"/>
      <c r="F83" s="173">
        <f>C83/B83</f>
        <v>0.3120677743147256</v>
      </c>
    </row>
    <row r="84" spans="1:6" x14ac:dyDescent="0.25">
      <c r="A84" s="99" t="s">
        <v>228</v>
      </c>
      <c r="B84" s="49">
        <v>218611634</v>
      </c>
      <c r="C84" s="49">
        <v>58725800</v>
      </c>
      <c r="D84" s="49">
        <v>39380121.874541</v>
      </c>
      <c r="E84" s="50">
        <f>VLOOKUP($A84,'Data shares'!$C:$FA,154)*100</f>
        <v>27.71</v>
      </c>
      <c r="F84" s="173">
        <f>C84/B84</f>
        <v>0.26863071706421626</v>
      </c>
    </row>
    <row r="85" spans="1:6" x14ac:dyDescent="0.25">
      <c r="A85" s="99" t="s">
        <v>229</v>
      </c>
      <c r="B85" s="49">
        <v>143933168</v>
      </c>
      <c r="C85" s="49">
        <v>75990150</v>
      </c>
      <c r="D85" s="49">
        <v>42716915.540176503</v>
      </c>
      <c r="E85" s="50"/>
      <c r="F85" s="173">
        <f>C85/B85</f>
        <v>0.52795440450529096</v>
      </c>
    </row>
    <row r="86" spans="1:6" x14ac:dyDescent="0.25">
      <c r="A86" s="99" t="s">
        <v>230</v>
      </c>
      <c r="B86" s="49">
        <v>89517840</v>
      </c>
      <c r="C86" s="49">
        <v>24435300</v>
      </c>
      <c r="D86" s="49">
        <v>17204992.402167</v>
      </c>
      <c r="E86" s="50"/>
      <c r="F86" s="173">
        <f>C86/B86</f>
        <v>0.27296570158529293</v>
      </c>
    </row>
    <row r="87" spans="1:6" x14ac:dyDescent="0.25">
      <c r="A87" s="99" t="s">
        <v>666</v>
      </c>
      <c r="B87" s="49">
        <v>241870587</v>
      </c>
      <c r="C87" s="49">
        <v>65799650</v>
      </c>
      <c r="D87" s="49">
        <v>35780605.765261002</v>
      </c>
      <c r="E87" s="50">
        <f>VLOOKUP($A87,'Data shares'!$C:$FA,154)*100</f>
        <v>27.57</v>
      </c>
      <c r="F87" s="173">
        <f>C87/B87</f>
        <v>0.27204486008875484</v>
      </c>
    </row>
    <row r="88" spans="1:6" x14ac:dyDescent="0.25">
      <c r="A88" s="99" t="s">
        <v>607</v>
      </c>
      <c r="B88" s="49">
        <v>75071250</v>
      </c>
      <c r="C88" s="49">
        <v>42809925</v>
      </c>
      <c r="D88" s="49">
        <v>26208048.645959999</v>
      </c>
      <c r="E88" s="50">
        <f>VLOOKUP($A88,'Data shares'!$C:$FA,154)*100</f>
        <v>57.89</v>
      </c>
      <c r="F88" s="173">
        <f>C88/B88</f>
        <v>0.57025725560717322</v>
      </c>
    </row>
    <row r="89" spans="1:6" x14ac:dyDescent="0.25">
      <c r="A89" s="99" t="s">
        <v>695</v>
      </c>
      <c r="B89" s="49">
        <v>21329205</v>
      </c>
      <c r="C89" s="49">
        <v>6096475</v>
      </c>
      <c r="D89" s="49">
        <v>4714135.8986480003</v>
      </c>
      <c r="E89" s="50">
        <f>VLOOKUP($A89,'Data shares'!$C:$FA,154)*100</f>
        <v>29.099999999999998</v>
      </c>
      <c r="F89" s="173">
        <f>C89/B89</f>
        <v>0.28582757772734613</v>
      </c>
    </row>
    <row r="90" spans="1:6" x14ac:dyDescent="0.25">
      <c r="A90" s="99" t="s">
        <v>232</v>
      </c>
      <c r="B90" s="49">
        <v>668616020</v>
      </c>
      <c r="C90" s="49">
        <v>150594500</v>
      </c>
      <c r="D90" s="49">
        <v>116812414.697909</v>
      </c>
      <c r="E90" s="50">
        <f>VLOOKUP($A90,'Data shares'!$C:$FA,154)*100</f>
        <v>22.900000000000002</v>
      </c>
      <c r="F90" s="173">
        <f>C90/B90</f>
        <v>0.22523316147884104</v>
      </c>
    </row>
    <row r="91" spans="1:6" x14ac:dyDescent="0.25">
      <c r="A91" s="99" t="s">
        <v>472</v>
      </c>
      <c r="B91" s="49">
        <v>27086521</v>
      </c>
      <c r="C91" s="49">
        <v>6749925</v>
      </c>
      <c r="D91" s="49">
        <v>5229367.3637985</v>
      </c>
      <c r="E91" s="50"/>
      <c r="F91" s="173">
        <f>C91/B91</f>
        <v>0.24919866969995888</v>
      </c>
    </row>
    <row r="92" spans="1:6" x14ac:dyDescent="0.25">
      <c r="A92" s="99" t="s">
        <v>233</v>
      </c>
      <c r="B92" s="49">
        <v>58892926</v>
      </c>
      <c r="C92" s="49">
        <v>21827225</v>
      </c>
      <c r="D92" s="49">
        <v>18213722.372959699</v>
      </c>
      <c r="E92" s="50">
        <f>VLOOKUP($A92,'Data shares'!$C:$FA,154)*100</f>
        <v>37.159999999999997</v>
      </c>
      <c r="F92" s="173">
        <f>C92/B92</f>
        <v>0.37062558243412802</v>
      </c>
    </row>
    <row r="93" spans="1:6" x14ac:dyDescent="0.25">
      <c r="A93" s="99" t="s">
        <v>234</v>
      </c>
      <c r="B93" s="49">
        <v>12096038468</v>
      </c>
      <c r="C93" s="49">
        <v>8642399625</v>
      </c>
      <c r="D93" s="49">
        <v>5958398028.6392803</v>
      </c>
      <c r="E93" s="50">
        <f>VLOOKUP($A93,'Data shares'!$C:$FA,154)*100</f>
        <v>72.209999999999994</v>
      </c>
      <c r="F93" s="173">
        <f>C93/B93</f>
        <v>0.71448182376927938</v>
      </c>
    </row>
    <row r="94" spans="1:6" x14ac:dyDescent="0.25">
      <c r="A94" s="99" t="s">
        <v>235</v>
      </c>
      <c r="B94" s="49">
        <v>1101871266</v>
      </c>
      <c r="C94" s="49">
        <v>619653475</v>
      </c>
      <c r="D94" s="49">
        <v>400378229.37056702</v>
      </c>
      <c r="E94" s="50">
        <f>VLOOKUP($A94,'Data shares'!$C:$FA,154)*100</f>
        <v>56.710000000000008</v>
      </c>
      <c r="F94" s="173">
        <f>C94/B94</f>
        <v>0.56236467373312915</v>
      </c>
    </row>
    <row r="95" spans="1:6" x14ac:dyDescent="0.25">
      <c r="A95" s="99" t="s">
        <v>514</v>
      </c>
      <c r="B95" s="49">
        <v>133395043</v>
      </c>
      <c r="C95" s="49">
        <v>132641250</v>
      </c>
      <c r="D95" s="49">
        <v>62815195.517849997</v>
      </c>
      <c r="E95" s="50">
        <f>VLOOKUP($A95,'Data shares'!$C:$FA,154)*100</f>
        <v>100.28999999999999</v>
      </c>
      <c r="F95" s="173">
        <f>C95/B95</f>
        <v>0.9943491678322709</v>
      </c>
    </row>
    <row r="96" spans="1:6" x14ac:dyDescent="0.25">
      <c r="A96" s="99" t="s">
        <v>501</v>
      </c>
      <c r="B96" s="49">
        <v>123332004</v>
      </c>
      <c r="C96" s="49">
        <v>31989000</v>
      </c>
      <c r="D96" s="49">
        <v>21249181.79445</v>
      </c>
      <c r="E96" s="50">
        <f>VLOOKUP($A96,'Data shares'!$C:$FA,154)*100</f>
        <v>26.150000000000002</v>
      </c>
      <c r="F96" s="173">
        <f>C96/B96</f>
        <v>0.25937306589131559</v>
      </c>
    </row>
    <row r="97" spans="1:6" x14ac:dyDescent="0.25">
      <c r="A97" s="99" t="s">
        <v>577</v>
      </c>
      <c r="B97" s="49">
        <v>52862157</v>
      </c>
      <c r="C97" s="49">
        <v>14579000</v>
      </c>
      <c r="D97" s="49">
        <v>9100687.2775599994</v>
      </c>
      <c r="E97" s="50">
        <f>VLOOKUP($A97,'Data shares'!$C:$FA,154)*100</f>
        <v>28.23</v>
      </c>
      <c r="F97" s="173">
        <f>C97/B97</f>
        <v>0.27579275662171709</v>
      </c>
    </row>
    <row r="98" spans="1:6" x14ac:dyDescent="0.25">
      <c r="A98" s="99" t="s">
        <v>238</v>
      </c>
      <c r="B98" s="49">
        <v>33878797</v>
      </c>
      <c r="C98" s="49">
        <v>16385400</v>
      </c>
      <c r="D98" s="49">
        <v>7836205.2186434995</v>
      </c>
      <c r="E98" s="50">
        <f>VLOOKUP($A98,'Data shares'!$C:$FA,154)*100</f>
        <v>49.07</v>
      </c>
      <c r="F98" s="173">
        <f>C98/B98</f>
        <v>0.48364763365121849</v>
      </c>
    </row>
    <row r="99" spans="1:6" x14ac:dyDescent="0.25">
      <c r="A99" s="99" t="s">
        <v>239</v>
      </c>
      <c r="B99" s="49">
        <v>93808799</v>
      </c>
      <c r="C99" s="49">
        <v>50235500</v>
      </c>
      <c r="D99" s="49">
        <v>36980493.937561996</v>
      </c>
      <c r="E99" s="50">
        <f>VLOOKUP($A99,'Data shares'!$C:$FA,154)*100</f>
        <v>53.94</v>
      </c>
      <c r="F99" s="173">
        <f>C99/B99</f>
        <v>0.53550946750741368</v>
      </c>
    </row>
    <row r="100" spans="1:6" x14ac:dyDescent="0.25">
      <c r="A100" s="99" t="s">
        <v>473</v>
      </c>
      <c r="B100" s="49">
        <v>193625858</v>
      </c>
      <c r="C100" s="49">
        <v>86213800</v>
      </c>
      <c r="D100" s="49">
        <v>56882280.146977998</v>
      </c>
      <c r="E100" s="50">
        <f>VLOOKUP($A100,'Data shares'!$C:$FA,154)*100</f>
        <v>44.83</v>
      </c>
      <c r="F100" s="173">
        <f>C100/B100</f>
        <v>0.44525974418148223</v>
      </c>
    </row>
    <row r="101" spans="1:6" x14ac:dyDescent="0.25">
      <c r="A101" s="99" t="s">
        <v>240</v>
      </c>
      <c r="B101" s="49">
        <v>475237614</v>
      </c>
      <c r="C101" s="49">
        <v>112745600</v>
      </c>
      <c r="D101" s="49">
        <v>72838857.744552001</v>
      </c>
      <c r="E101" s="50">
        <f>VLOOKUP($A101,'Data shares'!$C:$FA,154)*100</f>
        <v>23.95</v>
      </c>
      <c r="F101" s="173">
        <f>C101/B101</f>
        <v>0.23724048071666315</v>
      </c>
    </row>
    <row r="102" spans="1:6" x14ac:dyDescent="0.25">
      <c r="A102" s="99" t="s">
        <v>667</v>
      </c>
      <c r="B102" s="49">
        <v>144708707</v>
      </c>
      <c r="C102" s="49">
        <v>137898475</v>
      </c>
      <c r="D102" s="49">
        <v>86121743.853681207</v>
      </c>
      <c r="E102" s="50">
        <f>VLOOKUP($A102,'Data shares'!$C:$FA,154)*100</f>
        <v>95.66</v>
      </c>
      <c r="F102" s="173">
        <f>C102/B102</f>
        <v>0.9529383397779928</v>
      </c>
    </row>
    <row r="103" spans="1:6" x14ac:dyDescent="0.25">
      <c r="A103" s="99" t="s">
        <v>241</v>
      </c>
      <c r="B103" s="49">
        <v>684903861</v>
      </c>
      <c r="C103" s="49">
        <v>210717000</v>
      </c>
      <c r="D103" s="49">
        <v>108253688.84601299</v>
      </c>
      <c r="E103" s="50"/>
      <c r="F103" s="173">
        <f>C103/B103</f>
        <v>0.30765923803136508</v>
      </c>
    </row>
    <row r="104" spans="1:6" x14ac:dyDescent="0.25">
      <c r="A104" s="99" t="s">
        <v>663</v>
      </c>
      <c r="B104" s="49">
        <v>119011160</v>
      </c>
      <c r="C104" s="49">
        <v>79839900</v>
      </c>
      <c r="D104" s="49">
        <v>34763655.581875503</v>
      </c>
      <c r="E104" s="50">
        <f>VLOOKUP($A104,'Data shares'!$C:$FA,154)*100</f>
        <v>68.25</v>
      </c>
      <c r="F104" s="173">
        <f>C104/B104</f>
        <v>0.67086061508853456</v>
      </c>
    </row>
    <row r="105" spans="1:6" x14ac:dyDescent="0.25">
      <c r="A105" s="99" t="s">
        <v>591</v>
      </c>
      <c r="B105" s="49">
        <v>267310350</v>
      </c>
      <c r="C105" s="49">
        <v>110725250</v>
      </c>
      <c r="D105" s="49">
        <v>43422933.730692498</v>
      </c>
      <c r="E105" s="50">
        <f>VLOOKUP($A105,'Data shares'!$C:$FA,154)*100</f>
        <v>41.94</v>
      </c>
      <c r="F105" s="173">
        <f>C105/B105</f>
        <v>0.4142198384761383</v>
      </c>
    </row>
    <row r="106" spans="1:6" x14ac:dyDescent="0.25">
      <c r="A106" s="99" t="s">
        <v>242</v>
      </c>
      <c r="B106" s="49">
        <v>1317896781</v>
      </c>
      <c r="C106" s="49">
        <v>288902400</v>
      </c>
      <c r="D106" s="49">
        <v>164707018.25827199</v>
      </c>
      <c r="E106" s="50">
        <f>VLOOKUP($A106,'Data shares'!$C:$FA,154)*100</f>
        <v>22.27</v>
      </c>
      <c r="F106" s="173">
        <f>C106/B106</f>
        <v>0.21921473985298398</v>
      </c>
    </row>
    <row r="107" spans="1:6" x14ac:dyDescent="0.25">
      <c r="A107" s="99" t="s">
        <v>243</v>
      </c>
      <c r="B107" s="49">
        <v>45844541</v>
      </c>
      <c r="C107" s="49">
        <v>17827500</v>
      </c>
      <c r="D107" s="49">
        <v>11152375.5691562</v>
      </c>
      <c r="E107" s="50"/>
      <c r="F107" s="173">
        <f>C107/B107</f>
        <v>0.38886854598456988</v>
      </c>
    </row>
    <row r="108" spans="1:6" x14ac:dyDescent="0.25">
      <c r="A108" s="99" t="s">
        <v>569</v>
      </c>
      <c r="B108" s="49">
        <v>490240515</v>
      </c>
      <c r="C108" s="49">
        <v>225111200</v>
      </c>
      <c r="D108" s="49">
        <v>141955331.469771</v>
      </c>
      <c r="E108" s="50">
        <f>VLOOKUP($A108,'Data shares'!$C:$FA,154)*100</f>
        <v>46.35</v>
      </c>
      <c r="F108" s="173">
        <f>C108/B108</f>
        <v>0.45918522258406164</v>
      </c>
    </row>
    <row r="109" spans="1:6" x14ac:dyDescent="0.25">
      <c r="A109" s="99" t="s">
        <v>579</v>
      </c>
      <c r="B109" s="49">
        <v>75294901</v>
      </c>
      <c r="C109" s="49">
        <v>38065000</v>
      </c>
      <c r="D109" s="49">
        <v>26941966.07928</v>
      </c>
      <c r="E109" s="50"/>
      <c r="F109" s="173">
        <f>C109/B109</f>
        <v>0.50554552160178812</v>
      </c>
    </row>
    <row r="110" spans="1:6" x14ac:dyDescent="0.25">
      <c r="A110" s="99" t="s">
        <v>244</v>
      </c>
      <c r="B110" s="49">
        <v>133242960</v>
      </c>
      <c r="C110" s="49">
        <v>63044325</v>
      </c>
      <c r="D110" s="49">
        <v>49522192.662330002</v>
      </c>
      <c r="E110" s="50">
        <f>VLOOKUP($A110,'Data shares'!$C:$FA,154)*100</f>
        <v>47.5</v>
      </c>
      <c r="F110" s="173">
        <f>C110/B110</f>
        <v>0.47315314069876563</v>
      </c>
    </row>
    <row r="111" spans="1:6" x14ac:dyDescent="0.25">
      <c r="A111" s="99" t="s">
        <v>245</v>
      </c>
      <c r="B111" s="49">
        <v>58777851</v>
      </c>
      <c r="C111" s="49">
        <v>64366250</v>
      </c>
      <c r="D111" s="49">
        <v>31589254.896049999</v>
      </c>
      <c r="E111" s="50"/>
      <c r="F111" s="173">
        <f>C111/B111</f>
        <v>1.0950766131276217</v>
      </c>
    </row>
    <row r="112" spans="1:6" x14ac:dyDescent="0.25">
      <c r="A112" s="99" t="s">
        <v>581</v>
      </c>
      <c r="B112" s="49">
        <v>57686748</v>
      </c>
      <c r="C112" s="49">
        <v>35063175</v>
      </c>
      <c r="D112" s="49">
        <v>20440432.957359999</v>
      </c>
      <c r="E112" s="50">
        <f>VLOOKUP($A112,'Data shares'!$C:$FA,154)*100</f>
        <v>61.17</v>
      </c>
      <c r="F112" s="173">
        <f>C112/B112</f>
        <v>0.60782027442420572</v>
      </c>
    </row>
    <row r="113" spans="1:6" x14ac:dyDescent="0.25">
      <c r="A113" s="99" t="s">
        <v>674</v>
      </c>
      <c r="B113" s="49">
        <v>4679418</v>
      </c>
      <c r="C113" s="49">
        <v>5454300</v>
      </c>
      <c r="D113" s="49">
        <v>2881452.0050380002</v>
      </c>
      <c r="E113" s="50">
        <f>VLOOKUP($A113,'Data shares'!$C:$FA,154)*100</f>
        <v>117.93</v>
      </c>
      <c r="F113" s="173">
        <f>C113/B113</f>
        <v>1.1655936699820362</v>
      </c>
    </row>
    <row r="114" spans="1:6" x14ac:dyDescent="0.25">
      <c r="A114" s="99" t="s">
        <v>609</v>
      </c>
      <c r="B114" s="49">
        <v>9320940</v>
      </c>
      <c r="C114" s="49">
        <v>3019450</v>
      </c>
      <c r="D114" s="49">
        <v>1608073.1941120001</v>
      </c>
      <c r="E114" s="50">
        <f>VLOOKUP($A114,'Data shares'!$C:$FA,154)*100</f>
        <v>33.239999999999995</v>
      </c>
      <c r="F114" s="173">
        <f>C114/B114</f>
        <v>0.32394264956109575</v>
      </c>
    </row>
    <row r="115" spans="1:6" x14ac:dyDescent="0.25">
      <c r="A115" s="99" t="s">
        <v>681</v>
      </c>
      <c r="B115" s="49">
        <v>19953342</v>
      </c>
      <c r="C115" s="49">
        <v>5284500</v>
      </c>
      <c r="D115" s="49">
        <v>2681184.5398149998</v>
      </c>
      <c r="E115" s="50">
        <f>VLOOKUP($A115,'Data shares'!$C:$FA,154)*100</f>
        <v>27</v>
      </c>
      <c r="F115" s="173">
        <f>C115/B115</f>
        <v>0.26484285188917223</v>
      </c>
    </row>
    <row r="116" spans="1:6" x14ac:dyDescent="0.25">
      <c r="A116" s="99" t="s">
        <v>246</v>
      </c>
      <c r="B116" s="49">
        <v>882793124</v>
      </c>
      <c r="C116" s="49">
        <v>263306000</v>
      </c>
      <c r="D116" s="49">
        <v>211721312.93786001</v>
      </c>
      <c r="E116" s="50">
        <f>VLOOKUP($A116,'Data shares'!$C:$FA,154)*100</f>
        <v>29.99</v>
      </c>
      <c r="F116" s="173">
        <f>C116/B116</f>
        <v>0.29826467021734526</v>
      </c>
    </row>
    <row r="117" spans="1:6" x14ac:dyDescent="0.25">
      <c r="A117" s="99" t="s">
        <v>576</v>
      </c>
      <c r="B117" s="49">
        <v>24611073</v>
      </c>
      <c r="C117" s="49">
        <v>11829025</v>
      </c>
      <c r="D117" s="49">
        <v>6136157.8618837502</v>
      </c>
      <c r="E117" s="50">
        <f>VLOOKUP($A117,'Data shares'!$C:$FA,154)*100</f>
        <v>48.61</v>
      </c>
      <c r="F117" s="173">
        <f>C117/B117</f>
        <v>0.4806383289342972</v>
      </c>
    </row>
    <row r="118" spans="1:6" x14ac:dyDescent="0.25">
      <c r="A118" s="99" t="s">
        <v>535</v>
      </c>
      <c r="B118" s="49">
        <v>58713729</v>
      </c>
      <c r="C118" s="49">
        <v>25602850</v>
      </c>
      <c r="D118" s="49">
        <v>15199058.609065499</v>
      </c>
      <c r="E118" s="50">
        <f>VLOOKUP($A118,'Data shares'!$C:$FA,154)*100</f>
        <v>44.330000000000005</v>
      </c>
      <c r="F118" s="173">
        <f>C118/B118</f>
        <v>0.43606240714160738</v>
      </c>
    </row>
    <row r="119" spans="1:6" x14ac:dyDescent="0.25">
      <c r="A119" s="99" t="s">
        <v>248</v>
      </c>
      <c r="B119" s="49">
        <v>45183075</v>
      </c>
      <c r="C119" s="49">
        <v>42567000</v>
      </c>
      <c r="D119" s="49">
        <v>31885384.235989999</v>
      </c>
      <c r="E119" s="50">
        <f>VLOOKUP($A119,'Data shares'!$C:$FA,154)*100</f>
        <v>95.14</v>
      </c>
      <c r="F119" s="173">
        <f>C119/B119</f>
        <v>0.94210055424514605</v>
      </c>
    </row>
    <row r="120" spans="1:6" x14ac:dyDescent="0.25">
      <c r="A120" s="99" t="s">
        <v>606</v>
      </c>
      <c r="B120" s="49">
        <v>33206238</v>
      </c>
      <c r="C120" s="49">
        <v>16159500</v>
      </c>
      <c r="D120" s="49">
        <v>7995740.2346780002</v>
      </c>
      <c r="E120" s="50">
        <f>VLOOKUP($A120,'Data shares'!$C:$FA,154)*100</f>
        <v>49.34</v>
      </c>
      <c r="F120" s="173">
        <f>C120/B120</f>
        <v>0.486640492066581</v>
      </c>
    </row>
    <row r="121" spans="1:6" x14ac:dyDescent="0.25">
      <c r="A121" s="99" t="s">
        <v>587</v>
      </c>
      <c r="B121" s="49">
        <v>42165698</v>
      </c>
      <c r="C121" s="49">
        <v>33735150</v>
      </c>
      <c r="D121" s="49">
        <v>20970989.433544502</v>
      </c>
      <c r="E121" s="50">
        <f>VLOOKUP($A121,'Data shares'!$C:$FA,154)*100</f>
        <v>80.36</v>
      </c>
      <c r="F121" s="173">
        <f>C121/B121</f>
        <v>0.8000614622814971</v>
      </c>
    </row>
    <row r="122" spans="1:6" x14ac:dyDescent="0.25">
      <c r="A122" s="99" t="s">
        <v>249</v>
      </c>
      <c r="B122" s="49">
        <v>136099497</v>
      </c>
      <c r="C122" s="49">
        <v>29706075</v>
      </c>
      <c r="D122" s="49">
        <v>16110930.5828817</v>
      </c>
      <c r="E122" s="50">
        <f>VLOOKUP($A122,'Data shares'!$C:$FA,154)*100</f>
        <v>22.13</v>
      </c>
      <c r="F122" s="173">
        <f>C122/B122</f>
        <v>0.21826733863682096</v>
      </c>
    </row>
    <row r="123" spans="1:6" x14ac:dyDescent="0.25">
      <c r="A123" s="99" t="s">
        <v>564</v>
      </c>
      <c r="B123" s="49">
        <v>127514625</v>
      </c>
      <c r="C123" s="49">
        <v>85965750</v>
      </c>
      <c r="D123" s="49">
        <v>43569136.970415004</v>
      </c>
      <c r="E123" s="50">
        <f>VLOOKUP($A123,'Data shares'!$C:$FA,154)*100</f>
        <v>68.56</v>
      </c>
      <c r="F123" s="173">
        <f>C123/B123</f>
        <v>0.67416384591179246</v>
      </c>
    </row>
    <row r="124" spans="1:6" x14ac:dyDescent="0.25">
      <c r="A124" s="99" t="s">
        <v>692</v>
      </c>
      <c r="B124" s="49">
        <v>12564965</v>
      </c>
      <c r="C124" s="49">
        <v>5548800</v>
      </c>
      <c r="D124" s="49">
        <v>3277329.3523364998</v>
      </c>
      <c r="E124" s="50">
        <f>VLOOKUP($A124,'Data shares'!$C:$FA,154)*100</f>
        <v>44.76</v>
      </c>
      <c r="F124" s="173">
        <f>C124/B124</f>
        <v>0.44160887037886698</v>
      </c>
    </row>
    <row r="125" spans="1:6" x14ac:dyDescent="0.25">
      <c r="A125" s="99" t="s">
        <v>250</v>
      </c>
      <c r="B125" s="49">
        <v>32222448</v>
      </c>
      <c r="C125" s="49">
        <v>9922475</v>
      </c>
      <c r="D125" s="49">
        <v>6395580.1485919999</v>
      </c>
      <c r="E125" s="50">
        <f>VLOOKUP($A125,'Data shares'!$C:$FA,154)*100</f>
        <v>31.330000000000002</v>
      </c>
      <c r="F125" s="173">
        <f>C125/B125</f>
        <v>0.3079367216295919</v>
      </c>
    </row>
    <row r="126" spans="1:6" x14ac:dyDescent="0.25">
      <c r="A126" s="99" t="s">
        <v>251</v>
      </c>
      <c r="B126" s="49">
        <v>120808308</v>
      </c>
      <c r="C126" s="49">
        <v>26854800</v>
      </c>
      <c r="D126" s="49">
        <v>19948077.583774</v>
      </c>
      <c r="E126" s="50">
        <f>VLOOKUP($A126,'Data shares'!$C:$FA,154)*100</f>
        <v>22.470000000000002</v>
      </c>
      <c r="F126" s="173">
        <f>C126/B126</f>
        <v>0.22229265887905655</v>
      </c>
    </row>
    <row r="127" spans="1:6" x14ac:dyDescent="0.25">
      <c r="A127" s="99" t="s">
        <v>253</v>
      </c>
      <c r="B127" s="49">
        <v>82205057</v>
      </c>
      <c r="C127" s="49">
        <v>73656000</v>
      </c>
      <c r="D127" s="49">
        <v>47503954.319370002</v>
      </c>
      <c r="E127" s="50">
        <f>VLOOKUP($A127,'Data shares'!$C:$FA,154)*100</f>
        <v>90.29</v>
      </c>
      <c r="F127" s="173">
        <f>C127/B127</f>
        <v>0.89600327142890979</v>
      </c>
    </row>
    <row r="128" spans="1:6" x14ac:dyDescent="0.25">
      <c r="A128" s="99" t="s">
        <v>670</v>
      </c>
      <c r="B128" s="49">
        <v>16926669</v>
      </c>
      <c r="C128" s="49">
        <v>3488400</v>
      </c>
      <c r="D128" s="49">
        <v>2758721.9970510001</v>
      </c>
      <c r="E128" s="50">
        <f>VLOOKUP($A128,'Data shares'!$C:$FA,154)*100</f>
        <v>20.66</v>
      </c>
      <c r="F128" s="173">
        <f>C128/B128</f>
        <v>0.20608898301254666</v>
      </c>
    </row>
    <row r="129" spans="1:6" x14ac:dyDescent="0.25">
      <c r="A129" s="99" t="s">
        <v>254</v>
      </c>
      <c r="B129" s="49">
        <v>77572761</v>
      </c>
      <c r="C129" s="49">
        <v>34304400</v>
      </c>
      <c r="D129" s="49">
        <v>26296825.565724</v>
      </c>
      <c r="E129" s="50">
        <f>VLOOKUP($A129,'Data shares'!$C:$FA,154)*100</f>
        <v>44.73</v>
      </c>
      <c r="F129" s="173">
        <f>C129/B129</f>
        <v>0.44222223829315549</v>
      </c>
    </row>
    <row r="130" spans="1:6" x14ac:dyDescent="0.25">
      <c r="A130" s="99" t="s">
        <v>255</v>
      </c>
      <c r="B130" s="49">
        <v>19673414</v>
      </c>
      <c r="C130" s="49">
        <v>5642850</v>
      </c>
      <c r="D130" s="49">
        <v>3280603.2621490001</v>
      </c>
      <c r="E130" s="50">
        <f>VLOOKUP($A130,'Data shares'!$C:$FA,154)*100</f>
        <v>29.299999999999997</v>
      </c>
      <c r="F130" s="173">
        <f>C130/B130</f>
        <v>0.28682617058737236</v>
      </c>
    </row>
    <row r="131" spans="1:6" x14ac:dyDescent="0.25">
      <c r="A131" s="99" t="s">
        <v>602</v>
      </c>
      <c r="B131" s="49">
        <v>111298748</v>
      </c>
      <c r="C131" s="49">
        <v>18497325</v>
      </c>
      <c r="D131" s="49">
        <v>14437771.258853201</v>
      </c>
      <c r="E131" s="50">
        <f>VLOOKUP($A131,'Data shares'!$C:$FA,154)*100</f>
        <v>16.73</v>
      </c>
      <c r="F131" s="173">
        <f>C131/B131</f>
        <v>0.16619526573650226</v>
      </c>
    </row>
    <row r="132" spans="1:6" x14ac:dyDescent="0.25">
      <c r="A132" s="99" t="s">
        <v>671</v>
      </c>
      <c r="B132" s="49">
        <v>11364224</v>
      </c>
      <c r="C132" s="49">
        <v>9111000</v>
      </c>
      <c r="D132" s="49">
        <v>4284210.2430619998</v>
      </c>
      <c r="E132" s="50"/>
      <c r="F132" s="173">
        <f>C132/B132</f>
        <v>0.80172654111710573</v>
      </c>
    </row>
    <row r="133" spans="1:6" x14ac:dyDescent="0.25">
      <c r="A133" s="99" t="s">
        <v>517</v>
      </c>
      <c r="B133" s="49">
        <v>38177113</v>
      </c>
      <c r="C133" s="49">
        <v>23318125</v>
      </c>
      <c r="D133" s="49">
        <v>13403306.967881201</v>
      </c>
      <c r="E133" s="50">
        <f>VLOOKUP($A133,'Data shares'!$C:$FA,154)*100</f>
        <v>62.92</v>
      </c>
      <c r="F133" s="173">
        <f>C133/B133</f>
        <v>0.61078806561407617</v>
      </c>
    </row>
    <row r="134" spans="1:6" x14ac:dyDescent="0.25">
      <c r="A134" s="99" t="s">
        <v>257</v>
      </c>
      <c r="B134" s="49">
        <v>35051266</v>
      </c>
      <c r="C134" s="49">
        <v>11430400</v>
      </c>
      <c r="D134" s="49">
        <v>10356490.624932</v>
      </c>
      <c r="E134" s="50">
        <f>VLOOKUP($A134,'Data shares'!$C:$FA,154)*100</f>
        <v>32.65</v>
      </c>
      <c r="F134" s="173">
        <f>C134/B134</f>
        <v>0.32610519688504264</v>
      </c>
    </row>
    <row r="135" spans="1:6" x14ac:dyDescent="0.25">
      <c r="A135" s="99" t="s">
        <v>558</v>
      </c>
      <c r="B135" s="49">
        <v>588447385</v>
      </c>
      <c r="C135" s="49">
        <v>197199750</v>
      </c>
      <c r="D135" s="49">
        <v>142208819.08971599</v>
      </c>
      <c r="E135" s="50">
        <f>VLOOKUP($A135,'Data shares'!$C:$FA,154)*100</f>
        <v>33.93</v>
      </c>
      <c r="F135" s="173">
        <f>C135/B135</f>
        <v>0.33511874642794104</v>
      </c>
    </row>
    <row r="136" spans="1:6" x14ac:dyDescent="0.25">
      <c r="A136" s="99" t="s">
        <v>699</v>
      </c>
      <c r="B136" s="49">
        <v>29196111</v>
      </c>
      <c r="C136" s="49">
        <v>2741175</v>
      </c>
      <c r="D136" s="49">
        <v>994358.25839650002</v>
      </c>
      <c r="E136" s="50">
        <f>VLOOKUP($A136,'Data shares'!$C:$FA,154)*100</f>
        <v>9.8000000000000007</v>
      </c>
      <c r="F136" s="173">
        <f>C136/B136</f>
        <v>9.3888360679269922E-2</v>
      </c>
    </row>
    <row r="137" spans="1:6" x14ac:dyDescent="0.25">
      <c r="A137" s="99" t="s">
        <v>487</v>
      </c>
      <c r="B137" s="49">
        <v>19838356</v>
      </c>
      <c r="C137" s="49">
        <v>6561775</v>
      </c>
      <c r="D137" s="49">
        <v>4819050.5841142498</v>
      </c>
      <c r="E137" s="50">
        <f>VLOOKUP($A137,'Data shares'!$C:$FA,154)*100</f>
        <v>33.239999999999995</v>
      </c>
      <c r="F137" s="173">
        <f>C137/B137</f>
        <v>0.33076203491861927</v>
      </c>
    </row>
    <row r="138" spans="1:6" x14ac:dyDescent="0.25">
      <c r="A138" s="99" t="s">
        <v>262</v>
      </c>
      <c r="B138" s="49">
        <v>16050690</v>
      </c>
      <c r="C138" s="49">
        <v>6579100</v>
      </c>
      <c r="D138" s="49">
        <v>3605642.78648475</v>
      </c>
      <c r="E138" s="50">
        <f>VLOOKUP($A138,'Data shares'!$C:$FA,154)*100</f>
        <v>41.49</v>
      </c>
      <c r="F138" s="173">
        <f>C138/B138</f>
        <v>0.4098951509249758</v>
      </c>
    </row>
    <row r="139" spans="1:6" x14ac:dyDescent="0.25">
      <c r="A139" s="99" t="s">
        <v>486</v>
      </c>
      <c r="B139" s="49">
        <v>26709548</v>
      </c>
      <c r="C139" s="49">
        <v>2154375</v>
      </c>
      <c r="D139" s="49">
        <v>1587873.44248125</v>
      </c>
      <c r="E139" s="50">
        <f>VLOOKUP($A139,'Data shares'!$C:$FA,154)*100</f>
        <v>8.2900000000000009</v>
      </c>
      <c r="F139" s="173">
        <f>C139/B139</f>
        <v>8.0659358219015917E-2</v>
      </c>
    </row>
    <row r="140" spans="1:6" x14ac:dyDescent="0.25">
      <c r="A140" s="99" t="s">
        <v>263</v>
      </c>
      <c r="B140" s="49">
        <v>134225816</v>
      </c>
      <c r="C140" s="49">
        <v>112807500</v>
      </c>
      <c r="D140" s="49">
        <v>53156733.231600001</v>
      </c>
      <c r="E140" s="50">
        <f>VLOOKUP($A140,'Data shares'!$C:$FA,154)*100</f>
        <v>85.850000000000009</v>
      </c>
      <c r="F140" s="173">
        <f>C140/B140</f>
        <v>0.84043072608327452</v>
      </c>
    </row>
    <row r="141" spans="1:6" x14ac:dyDescent="0.25">
      <c r="A141" s="99" t="s">
        <v>264</v>
      </c>
      <c r="B141" s="49">
        <v>60562281</v>
      </c>
      <c r="C141" s="49">
        <v>13271625</v>
      </c>
      <c r="D141" s="49">
        <v>10021219.410225</v>
      </c>
      <c r="E141" s="50">
        <f>VLOOKUP($A141,'Data shares'!$C:$FA,154)*100</f>
        <v>22.07</v>
      </c>
      <c r="F141" s="173">
        <f>C141/B141</f>
        <v>0.21914011131780192</v>
      </c>
    </row>
    <row r="142" spans="1:6" x14ac:dyDescent="0.25">
      <c r="A142" s="99" t="s">
        <v>550</v>
      </c>
      <c r="B142" s="49">
        <v>154894704</v>
      </c>
      <c r="C142" s="49">
        <v>105430000</v>
      </c>
      <c r="D142" s="49">
        <v>72231903.581304997</v>
      </c>
      <c r="E142" s="50">
        <f>VLOOKUP($A142,'Data shares'!$C:$FA,154)*100</f>
        <v>68.66</v>
      </c>
      <c r="F142" s="173">
        <f>C142/B142</f>
        <v>0.68065593772657329</v>
      </c>
    </row>
    <row r="143" spans="1:6" x14ac:dyDescent="0.25">
      <c r="A143" s="99" t="s">
        <v>265</v>
      </c>
      <c r="B143" s="49">
        <v>71801274</v>
      </c>
      <c r="C143" s="49">
        <v>22046500</v>
      </c>
      <c r="D143" s="49">
        <v>18131342.486345001</v>
      </c>
      <c r="E143" s="50">
        <f>VLOOKUP($A143,'Data shares'!$C:$FA,154)*100</f>
        <v>30.869999999999997</v>
      </c>
      <c r="F143" s="173">
        <f>C143/B143</f>
        <v>0.30704886935571646</v>
      </c>
    </row>
    <row r="144" spans="1:6" x14ac:dyDescent="0.25">
      <c r="A144" s="99" t="s">
        <v>584</v>
      </c>
      <c r="B144" s="49">
        <v>491233252</v>
      </c>
      <c r="C144" s="49">
        <v>137760000</v>
      </c>
      <c r="D144" s="49">
        <v>72050981.644544005</v>
      </c>
      <c r="E144" s="50">
        <f>VLOOKUP($A144,'Data shares'!$C:$FA,154)*100</f>
        <v>28.299999999999997</v>
      </c>
      <c r="F144" s="173">
        <f>C144/B144</f>
        <v>0.28043704174977147</v>
      </c>
    </row>
    <row r="145" spans="1:6" x14ac:dyDescent="0.25">
      <c r="A145" s="99" t="s">
        <v>267</v>
      </c>
      <c r="B145" s="49">
        <v>517037525</v>
      </c>
      <c r="C145" s="49">
        <v>435962250</v>
      </c>
      <c r="D145" s="49">
        <v>288973251.97868198</v>
      </c>
      <c r="E145" s="50">
        <f>VLOOKUP($A145,'Data shares'!$C:$FA,154)*100</f>
        <v>85.06</v>
      </c>
      <c r="F145" s="173">
        <f>C145/B145</f>
        <v>0.84319266768886847</v>
      </c>
    </row>
    <row r="146" spans="1:6" x14ac:dyDescent="0.25">
      <c r="A146" s="99" t="s">
        <v>268</v>
      </c>
      <c r="B146" s="49">
        <v>550512361</v>
      </c>
      <c r="C146" s="49">
        <v>138309000</v>
      </c>
      <c r="D146" s="49">
        <v>91979974.938284993</v>
      </c>
      <c r="E146" s="50">
        <f>VLOOKUP($A146,'Data shares'!$C:$FA,154)*100</f>
        <v>25.650000000000002</v>
      </c>
      <c r="F146" s="173">
        <f>C146/B146</f>
        <v>0.25123686550609531</v>
      </c>
    </row>
    <row r="147" spans="1:6" x14ac:dyDescent="0.25">
      <c r="A147" s="99" t="s">
        <v>683</v>
      </c>
      <c r="B147" s="49">
        <v>12490416</v>
      </c>
      <c r="C147" s="49">
        <v>3209500</v>
      </c>
      <c r="D147" s="49">
        <v>1811691.371335</v>
      </c>
      <c r="E147" s="50"/>
      <c r="F147" s="173">
        <f>C147/B147</f>
        <v>0.2569570140818368</v>
      </c>
    </row>
    <row r="148" spans="1:6" x14ac:dyDescent="0.25">
      <c r="A148" s="99" t="s">
        <v>612</v>
      </c>
      <c r="B148" s="49">
        <v>205669742</v>
      </c>
      <c r="C148" s="49">
        <v>57468750</v>
      </c>
      <c r="D148" s="49">
        <v>44703180.862093702</v>
      </c>
      <c r="E148" s="50">
        <f>VLOOKUP($A148,'Data shares'!$C:$FA,154)*100</f>
        <v>28.189999999999998</v>
      </c>
      <c r="F148" s="173">
        <f>C148/B148</f>
        <v>0.2794224830602452</v>
      </c>
    </row>
    <row r="149" spans="1:6" x14ac:dyDescent="0.25">
      <c r="A149" s="99" t="s">
        <v>528</v>
      </c>
      <c r="B149" s="49">
        <v>17614093</v>
      </c>
      <c r="C149" s="49">
        <v>10830750</v>
      </c>
      <c r="D149" s="49">
        <v>8173738.4978130003</v>
      </c>
      <c r="E149" s="50">
        <f>VLOOKUP($A149,'Data shares'!$C:$FA,154)*100</f>
        <v>62.43</v>
      </c>
      <c r="F149" s="173">
        <f>C149/B149</f>
        <v>0.61489115562180807</v>
      </c>
    </row>
    <row r="150" spans="1:6" x14ac:dyDescent="0.25">
      <c r="A150" s="99" t="s">
        <v>518</v>
      </c>
      <c r="B150" s="49">
        <v>3594855</v>
      </c>
      <c r="C150" s="49">
        <v>2270475</v>
      </c>
      <c r="D150" s="49">
        <v>1433148.1032277499</v>
      </c>
      <c r="E150" s="50">
        <f>VLOOKUP($A150,'Data shares'!$C:$FA,154)*100</f>
        <v>63.859999999999992</v>
      </c>
      <c r="F150" s="173">
        <f>C150/B150</f>
        <v>0.63159014758592491</v>
      </c>
    </row>
    <row r="151" spans="1:6" x14ac:dyDescent="0.25">
      <c r="A151" s="99" t="s">
        <v>586</v>
      </c>
      <c r="B151" s="49">
        <v>105756420</v>
      </c>
      <c r="C151" s="49">
        <v>34444200</v>
      </c>
      <c r="D151" s="49">
        <v>20653316.731446002</v>
      </c>
      <c r="E151" s="50">
        <f>VLOOKUP($A151,'Data shares'!$C:$FA,154)*100</f>
        <v>33</v>
      </c>
      <c r="F151" s="173">
        <f>C151/B151</f>
        <v>0.32569370256670943</v>
      </c>
    </row>
    <row r="152" spans="1:6" x14ac:dyDescent="0.25">
      <c r="A152" s="99" t="s">
        <v>269</v>
      </c>
      <c r="B152" s="49">
        <v>711370982</v>
      </c>
      <c r="C152" s="49">
        <v>197043750</v>
      </c>
      <c r="D152" s="49">
        <v>103555568.9043</v>
      </c>
      <c r="E152" s="50">
        <f>VLOOKUP($A152,'Data shares'!$C:$FA,154)*100</f>
        <v>28.050000000000004</v>
      </c>
      <c r="F152" s="173">
        <f>C152/B152</f>
        <v>0.27699154869378689</v>
      </c>
    </row>
    <row r="153" spans="1:6" x14ac:dyDescent="0.25">
      <c r="A153" s="99" t="s">
        <v>270</v>
      </c>
      <c r="B153" s="49">
        <v>955549</v>
      </c>
      <c r="C153" s="49">
        <v>475485</v>
      </c>
      <c r="D153" s="49">
        <v>355424.72956484999</v>
      </c>
      <c r="E153" s="50">
        <f>VLOOKUP($A153,'Data shares'!$C:$FA,154)*100</f>
        <v>49.89</v>
      </c>
      <c r="F153" s="173">
        <f>C153/B153</f>
        <v>0.49760399519019954</v>
      </c>
    </row>
    <row r="154" spans="1:6" x14ac:dyDescent="0.25">
      <c r="A154" s="99" t="s">
        <v>664</v>
      </c>
      <c r="B154" s="49">
        <v>51786533</v>
      </c>
      <c r="C154" s="49">
        <v>39286800</v>
      </c>
      <c r="D154" s="49">
        <v>20120161.913019001</v>
      </c>
      <c r="E154" s="50">
        <f>VLOOKUP($A154,'Data shares'!$C:$FA,154)*100</f>
        <v>76.09</v>
      </c>
      <c r="F154" s="173">
        <f>C154/B154</f>
        <v>0.75862966149906197</v>
      </c>
    </row>
    <row r="155" spans="1:6" x14ac:dyDescent="0.25">
      <c r="A155" s="99" t="s">
        <v>574</v>
      </c>
      <c r="B155" s="49">
        <v>95930888</v>
      </c>
      <c r="C155" s="49">
        <v>27170825</v>
      </c>
      <c r="D155" s="49">
        <v>15909707.771823499</v>
      </c>
      <c r="E155" s="50">
        <f>VLOOKUP($A155,'Data shares'!$C:$FA,154)*100</f>
        <v>28.62</v>
      </c>
      <c r="F155" s="173">
        <f>C155/B155</f>
        <v>0.28323333147922075</v>
      </c>
    </row>
    <row r="156" spans="1:6" x14ac:dyDescent="0.25">
      <c r="A156" s="99" t="s">
        <v>529</v>
      </c>
      <c r="B156" s="49">
        <v>16286398</v>
      </c>
      <c r="C156" s="49">
        <v>7215600</v>
      </c>
      <c r="D156" s="49">
        <v>4626682.5500090001</v>
      </c>
      <c r="E156" s="50">
        <f>VLOOKUP($A156,'Data shares'!$C:$FA,154)*100</f>
        <v>44.98</v>
      </c>
      <c r="F156" s="173">
        <f>C156/B156</f>
        <v>0.44304455779602098</v>
      </c>
    </row>
    <row r="157" spans="1:6" x14ac:dyDescent="0.25">
      <c r="A157" s="99" t="s">
        <v>272</v>
      </c>
      <c r="B157" s="49">
        <v>112500013</v>
      </c>
      <c r="C157" s="49">
        <v>59036800</v>
      </c>
      <c r="D157" s="49">
        <v>31695327.547557998</v>
      </c>
      <c r="E157" s="50">
        <f>VLOOKUP($A157,'Data shares'!$C:$FA,154)*100</f>
        <v>53.180000000000007</v>
      </c>
      <c r="F157" s="173">
        <f>C157/B157</f>
        <v>0.52477149491529396</v>
      </c>
    </row>
    <row r="158" spans="1:6" x14ac:dyDescent="0.25">
      <c r="A158" s="99" t="s">
        <v>273</v>
      </c>
      <c r="B158" s="49">
        <v>217835555</v>
      </c>
      <c r="C158" s="49">
        <v>88374000</v>
      </c>
      <c r="D158" s="49">
        <v>55040735.015460998</v>
      </c>
      <c r="E158" s="50">
        <f>VLOOKUP($A158,'Data shares'!$C:$FA,154)*100</f>
        <v>41.089999999999996</v>
      </c>
      <c r="F158" s="173">
        <f>C158/B158</f>
        <v>0.40569134822825409</v>
      </c>
    </row>
    <row r="159" spans="1:6" x14ac:dyDescent="0.25">
      <c r="A159" s="99" t="s">
        <v>678</v>
      </c>
      <c r="B159" s="49">
        <v>24101986</v>
      </c>
      <c r="C159" s="49">
        <v>31842100</v>
      </c>
      <c r="D159" s="49">
        <v>14769682.738671999</v>
      </c>
      <c r="E159" s="50">
        <f>VLOOKUP($A159,'Data shares'!$C:$FA,154)*100</f>
        <v>134.32999999999998</v>
      </c>
      <c r="F159" s="173">
        <f>C159/B159</f>
        <v>1.3211400919409713</v>
      </c>
    </row>
    <row r="160" spans="1:6" x14ac:dyDescent="0.25">
      <c r="A160" s="99" t="s">
        <v>644</v>
      </c>
      <c r="B160" s="49">
        <v>21502901</v>
      </c>
      <c r="C160" s="49">
        <v>4798150</v>
      </c>
      <c r="D160" s="49">
        <v>3647671.6630549999</v>
      </c>
      <c r="E160" s="50">
        <f>VLOOKUP($A160,'Data shares'!$C:$FA,154)*100</f>
        <v>22.38</v>
      </c>
      <c r="F160" s="173">
        <f>C160/B160</f>
        <v>0.22313965915575765</v>
      </c>
    </row>
    <row r="161" spans="1:6" x14ac:dyDescent="0.25">
      <c r="A161" s="99" t="s">
        <v>274</v>
      </c>
      <c r="B161" s="49">
        <v>31214205</v>
      </c>
      <c r="C161" s="49">
        <v>9586000</v>
      </c>
      <c r="D161" s="49">
        <v>7723471.2002100004</v>
      </c>
      <c r="E161" s="50">
        <f>VLOOKUP($A161,'Data shares'!$C:$FA,154)*100</f>
        <v>30.759999999999998</v>
      </c>
      <c r="F161" s="173">
        <f>C161/B161</f>
        <v>0.30710376894109587</v>
      </c>
    </row>
    <row r="162" spans="1:6" x14ac:dyDescent="0.25">
      <c r="A162" s="99" t="s">
        <v>483</v>
      </c>
      <c r="B162" s="49">
        <v>8178275</v>
      </c>
      <c r="C162" s="49">
        <v>3550225</v>
      </c>
      <c r="D162" s="49">
        <v>2442737.2852732502</v>
      </c>
      <c r="E162" s="50">
        <f>VLOOKUP($A162,'Data shares'!$C:$FA,154)*100</f>
        <v>43.78</v>
      </c>
      <c r="F162" s="173">
        <f>C162/B162</f>
        <v>0.43410438020242653</v>
      </c>
    </row>
    <row r="163" spans="1:6" x14ac:dyDescent="0.25">
      <c r="A163" s="99" t="s">
        <v>275</v>
      </c>
      <c r="B163" s="49">
        <v>515822637</v>
      </c>
      <c r="C163" s="49">
        <v>428336000</v>
      </c>
      <c r="D163" s="49">
        <v>267157114.94016001</v>
      </c>
      <c r="E163" s="50">
        <f>VLOOKUP($A163,'Data shares'!$C:$FA,154)*100</f>
        <v>83.740000000000009</v>
      </c>
      <c r="F163" s="173">
        <f>C163/B163</f>
        <v>0.83039395574258212</v>
      </c>
    </row>
    <row r="164" spans="1:6" x14ac:dyDescent="0.25">
      <c r="A164" s="99" t="s">
        <v>668</v>
      </c>
      <c r="B164" s="49">
        <v>28118603</v>
      </c>
      <c r="C164" s="49">
        <v>15700750</v>
      </c>
      <c r="D164" s="49">
        <v>12989966.767940501</v>
      </c>
      <c r="E164" s="50"/>
      <c r="F164" s="173">
        <f>C164/B164</f>
        <v>0.5583758908648484</v>
      </c>
    </row>
    <row r="165" spans="1:6" x14ac:dyDescent="0.25">
      <c r="A165" s="99" t="s">
        <v>572</v>
      </c>
      <c r="B165" s="49">
        <v>69300607</v>
      </c>
      <c r="C165" s="49">
        <v>9688000</v>
      </c>
      <c r="D165" s="49">
        <v>7375677.7132569999</v>
      </c>
      <c r="E165" s="50">
        <f>VLOOKUP($A165,'Data shares'!$C:$FA,154)*100</f>
        <v>14.12</v>
      </c>
      <c r="F165" s="173">
        <f>C165/B165</f>
        <v>0.13979675531557753</v>
      </c>
    </row>
    <row r="166" spans="1:6" x14ac:dyDescent="0.25">
      <c r="A166" s="99" t="s">
        <v>519</v>
      </c>
      <c r="B166" s="49">
        <v>8693344</v>
      </c>
      <c r="C166" s="49">
        <v>3595250</v>
      </c>
      <c r="D166" s="49">
        <v>1989953.3233737501</v>
      </c>
      <c r="E166" s="50">
        <f>VLOOKUP($A166,'Data shares'!$C:$FA,154)*100</f>
        <v>41.94</v>
      </c>
      <c r="F166" s="173">
        <f>C166/B166</f>
        <v>0.41356352630242171</v>
      </c>
    </row>
    <row r="167" spans="1:6" x14ac:dyDescent="0.25">
      <c r="A167" s="99" t="s">
        <v>276</v>
      </c>
      <c r="B167" s="49">
        <v>660840864</v>
      </c>
      <c r="C167" s="49">
        <v>122899600</v>
      </c>
      <c r="D167" s="49">
        <v>81555181.746331006</v>
      </c>
      <c r="E167" s="50">
        <f>VLOOKUP($A167,'Data shares'!$C:$FA,154)*100</f>
        <v>18.8</v>
      </c>
      <c r="F167" s="173">
        <f>C167/B167</f>
        <v>0.18597457677798812</v>
      </c>
    </row>
    <row r="168" spans="1:6" x14ac:dyDescent="0.25">
      <c r="A168" s="99" t="s">
        <v>685</v>
      </c>
      <c r="B168" s="49">
        <v>1917916</v>
      </c>
      <c r="C168" s="49">
        <v>658050</v>
      </c>
      <c r="D168" s="49">
        <v>372829.0302025</v>
      </c>
      <c r="E168" s="50">
        <f>VLOOKUP($A168,'Data shares'!$C:$FA,154)*100</f>
        <v>35.21</v>
      </c>
      <c r="F168" s="173">
        <f>C168/B168</f>
        <v>0.34310678882703932</v>
      </c>
    </row>
    <row r="169" spans="1:6" x14ac:dyDescent="0.25">
      <c r="A169" s="99" t="s">
        <v>676</v>
      </c>
      <c r="B169" s="49">
        <v>92833839</v>
      </c>
      <c r="C169" s="49">
        <v>19703250</v>
      </c>
      <c r="D169" s="49">
        <v>10484531.803987499</v>
      </c>
      <c r="E169" s="50">
        <f>VLOOKUP($A169,'Data shares'!$C:$FA,154)*100</f>
        <v>21.48</v>
      </c>
      <c r="F169" s="173">
        <f>C169/B169</f>
        <v>0.21224211141370553</v>
      </c>
    </row>
    <row r="170" spans="1:6" x14ac:dyDescent="0.25">
      <c r="A170" s="99" t="s">
        <v>688</v>
      </c>
      <c r="B170" s="49">
        <v>23961540</v>
      </c>
      <c r="C170" s="49">
        <v>14274375</v>
      </c>
      <c r="D170" s="49">
        <v>7799300.5059827501</v>
      </c>
      <c r="E170" s="50">
        <f>VLOOKUP($A170,'Data shares'!$C:$FA,154)*100</f>
        <v>60.07</v>
      </c>
      <c r="F170" s="173">
        <f>C170/B170</f>
        <v>0.59572026672743073</v>
      </c>
    </row>
    <row r="171" spans="1:6" x14ac:dyDescent="0.25">
      <c r="A171" s="99" t="s">
        <v>604</v>
      </c>
      <c r="B171" s="49">
        <v>25234534</v>
      </c>
      <c r="C171" s="49">
        <v>9535050</v>
      </c>
      <c r="D171" s="49">
        <v>6570434.1572460001</v>
      </c>
      <c r="E171" s="50">
        <f>VLOOKUP($A171,'Data shares'!$C:$FA,154)*100</f>
        <v>37.99</v>
      </c>
      <c r="F171" s="173">
        <f>C171/B171</f>
        <v>0.37785718571224658</v>
      </c>
    </row>
    <row r="172" spans="1:6" x14ac:dyDescent="0.25">
      <c r="A172" s="99" t="s">
        <v>279</v>
      </c>
      <c r="B172" s="49">
        <v>92573471</v>
      </c>
      <c r="C172" s="49">
        <v>118837075</v>
      </c>
      <c r="D172" s="49">
        <v>54541484.570800498</v>
      </c>
      <c r="E172" s="50">
        <f>VLOOKUP($A172,'Data shares'!$C:$FA,154)*100</f>
        <v>130.96</v>
      </c>
      <c r="F172" s="173">
        <f>C172/B172</f>
        <v>1.2837055121331682</v>
      </c>
    </row>
    <row r="173" spans="1:6" x14ac:dyDescent="0.25">
      <c r="A173" s="99" t="s">
        <v>280</v>
      </c>
      <c r="B173" s="49">
        <v>187084550</v>
      </c>
      <c r="C173" s="49">
        <v>108154200</v>
      </c>
      <c r="D173" s="49">
        <v>64719891.335259996</v>
      </c>
      <c r="E173" s="50">
        <f>VLOOKUP($A173,'Data shares'!$C:$FA,154)*100</f>
        <v>58.41</v>
      </c>
      <c r="F173" s="173">
        <f>C173/B173</f>
        <v>0.57810332280244414</v>
      </c>
    </row>
    <row r="174" spans="1:6" x14ac:dyDescent="0.25">
      <c r="A174" s="99" t="s">
        <v>281</v>
      </c>
      <c r="B174" s="49">
        <v>664381721</v>
      </c>
      <c r="C174" s="49">
        <v>204934000</v>
      </c>
      <c r="D174" s="49">
        <v>103095388.40764999</v>
      </c>
      <c r="E174" s="50">
        <f>VLOOKUP($A174,'Data shares'!$C:$FA,154)*100</f>
        <v>31.45</v>
      </c>
      <c r="F174" s="173">
        <f>C174/B174</f>
        <v>0.3084582153939181</v>
      </c>
    </row>
    <row r="175" spans="1:6" x14ac:dyDescent="0.25">
      <c r="A175" s="99" t="s">
        <v>673</v>
      </c>
      <c r="B175" s="49">
        <v>84941460</v>
      </c>
      <c r="C175" s="49">
        <v>74561825</v>
      </c>
      <c r="D175" s="49">
        <v>35422235.920112997</v>
      </c>
      <c r="E175" s="50">
        <f>VLOOKUP($A175,'Data shares'!$C:$FA,154)*100</f>
        <v>89.68</v>
      </c>
      <c r="F175" s="173">
        <f>C175/B175</f>
        <v>0.87780248891412982</v>
      </c>
    </row>
    <row r="176" spans="1:6" x14ac:dyDescent="0.25">
      <c r="A176" s="99" t="s">
        <v>282</v>
      </c>
      <c r="B176" s="49">
        <v>216861410</v>
      </c>
      <c r="C176" s="49">
        <v>224631800</v>
      </c>
      <c r="D176" s="49">
        <v>185418310.793129</v>
      </c>
      <c r="E176" s="50">
        <f>VLOOKUP($A176,'Data shares'!$C:$FA,154)*100</f>
        <v>105.47</v>
      </c>
      <c r="F176" s="173">
        <f>C176/B176</f>
        <v>1.0358311328880505</v>
      </c>
    </row>
    <row r="177" spans="1:6" x14ac:dyDescent="0.25">
      <c r="A177" s="99" t="s">
        <v>684</v>
      </c>
      <c r="B177" s="49">
        <v>122372064</v>
      </c>
      <c r="C177" s="49">
        <v>142011800</v>
      </c>
      <c r="D177" s="49">
        <v>89709592.354433998</v>
      </c>
      <c r="E177" s="50">
        <f>VLOOKUP($A177,'Data shares'!$C:$FA,154)*100</f>
        <v>120.57</v>
      </c>
      <c r="F177" s="173">
        <f>C177/B177</f>
        <v>1.1604919894135315</v>
      </c>
    </row>
    <row r="178" spans="1:6" x14ac:dyDescent="0.25">
      <c r="A178" s="99" t="s">
        <v>536</v>
      </c>
      <c r="B178" s="49">
        <v>44841373</v>
      </c>
      <c r="C178" s="49">
        <v>35287200</v>
      </c>
      <c r="D178" s="49">
        <v>21730908.055831999</v>
      </c>
      <c r="E178" s="50">
        <f>VLOOKUP($A178,'Data shares'!$C:$FA,154)*100</f>
        <v>79.3</v>
      </c>
      <c r="F178" s="173">
        <f>C178/B178</f>
        <v>0.78693397724463077</v>
      </c>
    </row>
    <row r="179" spans="1:6" x14ac:dyDescent="0.25">
      <c r="A179" s="99" t="s">
        <v>462</v>
      </c>
      <c r="B179" s="49">
        <v>45527821</v>
      </c>
      <c r="C179" s="49">
        <v>12618750</v>
      </c>
      <c r="D179" s="49">
        <v>10586272.299956201</v>
      </c>
      <c r="E179" s="50"/>
      <c r="F179" s="173">
        <f>C179/B179</f>
        <v>0.2771656917206734</v>
      </c>
    </row>
    <row r="180" spans="1:6" x14ac:dyDescent="0.25">
      <c r="A180" s="99" t="s">
        <v>283</v>
      </c>
      <c r="B180" s="49">
        <v>580324288</v>
      </c>
      <c r="C180" s="49">
        <v>148682250</v>
      </c>
      <c r="D180" s="49">
        <v>82400557.888522506</v>
      </c>
      <c r="E180" s="50">
        <f>VLOOKUP($A180,'Data shares'!$C:$FA,154)*100</f>
        <v>26.150000000000002</v>
      </c>
      <c r="F180" s="173">
        <f>C180/B180</f>
        <v>0.25620545800764416</v>
      </c>
    </row>
    <row r="181" spans="1:6" x14ac:dyDescent="0.25">
      <c r="A181" s="99" t="s">
        <v>284</v>
      </c>
      <c r="B181" s="49">
        <v>1655049</v>
      </c>
      <c r="C181" s="49">
        <v>480200</v>
      </c>
      <c r="D181" s="49">
        <v>321882.84701949998</v>
      </c>
      <c r="E181" s="50">
        <f>VLOOKUP($A181,'Data shares'!$C:$FA,154)*100</f>
        <v>29.12</v>
      </c>
      <c r="F181" s="173">
        <f>C181/B181</f>
        <v>0.29014246708103508</v>
      </c>
    </row>
    <row r="182" spans="1:6" x14ac:dyDescent="0.25">
      <c r="A182" s="99" t="s">
        <v>561</v>
      </c>
      <c r="B182" s="49">
        <v>210567108</v>
      </c>
      <c r="C182" s="49">
        <v>61670400</v>
      </c>
      <c r="D182" s="49">
        <v>40747056.143936999</v>
      </c>
      <c r="E182" s="50">
        <f>VLOOKUP($A182,'Data shares'!$C:$FA,154)*100</f>
        <v>29.759999999999998</v>
      </c>
      <c r="F182" s="173">
        <f>C182/B182</f>
        <v>0.29287765114768066</v>
      </c>
    </row>
    <row r="183" spans="1:6" x14ac:dyDescent="0.25">
      <c r="A183" s="99" t="s">
        <v>285</v>
      </c>
      <c r="B183" s="49">
        <v>10374894</v>
      </c>
      <c r="C183" s="49">
        <v>3494225</v>
      </c>
      <c r="D183" s="49">
        <v>2552866.2056782502</v>
      </c>
      <c r="E183" s="50">
        <f>VLOOKUP($A183,'Data shares'!$C:$FA,154)*100</f>
        <v>33.97</v>
      </c>
      <c r="F183" s="173">
        <f>C183/B183</f>
        <v>0.3367962120866006</v>
      </c>
    </row>
    <row r="184" spans="1:6" x14ac:dyDescent="0.25">
      <c r="A184" s="99" t="s">
        <v>645</v>
      </c>
      <c r="B184" s="49">
        <v>3644817</v>
      </c>
      <c r="C184" s="49">
        <v>1162950</v>
      </c>
      <c r="D184" s="49">
        <v>698404.27305149997</v>
      </c>
      <c r="E184" s="50">
        <f>VLOOKUP($A184,'Data shares'!$C:$FA,154)*100</f>
        <v>32.22</v>
      </c>
      <c r="F184" s="173">
        <f>C184/B184</f>
        <v>0.31906951707040437</v>
      </c>
    </row>
    <row r="185" spans="1:6" x14ac:dyDescent="0.25">
      <c r="A185" s="99" t="s">
        <v>613</v>
      </c>
      <c r="B185" s="49">
        <v>61283708</v>
      </c>
      <c r="C185" s="49">
        <v>18300275</v>
      </c>
      <c r="D185" s="49">
        <v>11620383.278974701</v>
      </c>
      <c r="E185" s="50">
        <f>VLOOKUP($A185,'Data shares'!$C:$FA,154)*100</f>
        <v>29.970000000000002</v>
      </c>
      <c r="F185" s="173">
        <f>C185/B185</f>
        <v>0.29861566144137364</v>
      </c>
    </row>
    <row r="186" spans="1:6" x14ac:dyDescent="0.25">
      <c r="A186" s="99" t="s">
        <v>286</v>
      </c>
      <c r="B186" s="49">
        <v>19721628</v>
      </c>
      <c r="C186" s="49">
        <v>6816600</v>
      </c>
      <c r="D186" s="49">
        <v>4272001.3453200003</v>
      </c>
      <c r="E186" s="50">
        <f>VLOOKUP($A186,'Data shares'!$C:$FA,154)*100</f>
        <v>35.260000000000005</v>
      </c>
      <c r="F186" s="173">
        <f>C186/B186</f>
        <v>0.345640836547571</v>
      </c>
    </row>
    <row r="187" spans="1:6" x14ac:dyDescent="0.25">
      <c r="A187" s="99" t="s">
        <v>288</v>
      </c>
      <c r="B187" s="49">
        <v>121755902</v>
      </c>
      <c r="C187" s="49">
        <v>27633900</v>
      </c>
      <c r="D187" s="49">
        <v>19415473.233600501</v>
      </c>
      <c r="E187" s="50">
        <f>VLOOKUP($A187,'Data shares'!$C:$FA,154)*100</f>
        <v>22.84</v>
      </c>
      <c r="F187" s="173">
        <f>C187/B187</f>
        <v>0.22696148232715652</v>
      </c>
    </row>
    <row r="188" spans="1:6" x14ac:dyDescent="0.25">
      <c r="A188" s="99" t="s">
        <v>573</v>
      </c>
      <c r="B188" s="49">
        <v>9724371</v>
      </c>
      <c r="C188" s="49">
        <v>2814700</v>
      </c>
      <c r="D188" s="49">
        <v>1845925.4206592501</v>
      </c>
      <c r="E188" s="50">
        <f>VLOOKUP($A188,'Data shares'!$C:$FA,154)*100</f>
        <v>29.12</v>
      </c>
      <c r="F188" s="173">
        <f>C188/B188</f>
        <v>0.28944802702406153</v>
      </c>
    </row>
    <row r="189" spans="1:6" x14ac:dyDescent="0.25">
      <c r="A189" s="99" t="s">
        <v>682</v>
      </c>
      <c r="B189" s="49">
        <v>1815546735</v>
      </c>
      <c r="C189" s="49">
        <v>461412150</v>
      </c>
      <c r="D189" s="49">
        <v>241624550.36452201</v>
      </c>
      <c r="E189" s="50">
        <f>VLOOKUP($A189,'Data shares'!$C:$FA,154)*100</f>
        <v>26.029999999999998</v>
      </c>
      <c r="F189" s="173">
        <f>C189/B189</f>
        <v>0.25414501378836718</v>
      </c>
    </row>
    <row r="190" spans="1:6" x14ac:dyDescent="0.25">
      <c r="A190" s="99" t="s">
        <v>691</v>
      </c>
      <c r="B190" s="49">
        <v>389472858</v>
      </c>
      <c r="C190" s="49">
        <v>61673300</v>
      </c>
      <c r="D190" s="49">
        <v>49125602.352202997</v>
      </c>
      <c r="E190" s="50">
        <f>VLOOKUP($A190,'Data shares'!$C:$FA,154)*100</f>
        <v>16.079999999999998</v>
      </c>
      <c r="F190" s="173">
        <f>C190/B190</f>
        <v>0.15835070078233796</v>
      </c>
    </row>
    <row r="191" spans="1:6" x14ac:dyDescent="0.25">
      <c r="A191" s="99" t="s">
        <v>291</v>
      </c>
      <c r="B191" s="49">
        <v>65472757</v>
      </c>
      <c r="C191" s="49">
        <v>17132500</v>
      </c>
      <c r="D191" s="49">
        <v>13571162.076290499</v>
      </c>
      <c r="E191" s="50"/>
      <c r="F191" s="173">
        <f>C191/B191</f>
        <v>0.26167372178935433</v>
      </c>
    </row>
    <row r="192" spans="1:6" x14ac:dyDescent="0.25">
      <c r="A192" s="99" t="s">
        <v>603</v>
      </c>
      <c r="B192" s="49">
        <v>5241946</v>
      </c>
      <c r="C192" s="49">
        <v>2700100</v>
      </c>
      <c r="D192" s="49">
        <v>1227313.006878</v>
      </c>
      <c r="E192" s="50">
        <f>VLOOKUP($A192,'Data shares'!$C:$FA,154)*100</f>
        <v>51.859999999999992</v>
      </c>
      <c r="F192" s="173">
        <f>C192/B192</f>
        <v>0.51509496664025156</v>
      </c>
    </row>
    <row r="193" spans="1:6" x14ac:dyDescent="0.25">
      <c r="A193" s="99" t="s">
        <v>293</v>
      </c>
      <c r="B193" s="49">
        <v>169808198</v>
      </c>
      <c r="C193" s="49">
        <v>105651350</v>
      </c>
      <c r="D193" s="49">
        <v>54696102.623627</v>
      </c>
      <c r="E193" s="50">
        <f>VLOOKUP($A193,'Data shares'!$C:$FA,154)*100</f>
        <v>62.960000000000008</v>
      </c>
      <c r="F193" s="173">
        <f>C193/B193</f>
        <v>0.62218050273403169</v>
      </c>
    </row>
    <row r="194" spans="1:6" x14ac:dyDescent="0.25">
      <c r="A194" s="99" t="s">
        <v>294</v>
      </c>
      <c r="B194" s="49">
        <v>1049350971</v>
      </c>
      <c r="C194" s="49">
        <v>372487500</v>
      </c>
      <c r="D194" s="49">
        <v>197140780.53174999</v>
      </c>
      <c r="E194" s="50">
        <f>VLOOKUP($A194,'Data shares'!$C:$FA,154)*100</f>
        <v>36.090000000000003</v>
      </c>
      <c r="F194" s="173">
        <f>C194/B194</f>
        <v>0.35496941470881815</v>
      </c>
    </row>
    <row r="195" spans="1:6" x14ac:dyDescent="0.25">
      <c r="A195" s="99" t="s">
        <v>662</v>
      </c>
      <c r="B195" s="49">
        <v>27144562</v>
      </c>
      <c r="C195" s="49">
        <v>10486400</v>
      </c>
      <c r="D195" s="49">
        <v>6422909.3229759997</v>
      </c>
      <c r="E195" s="50">
        <f>VLOOKUP($A195,'Data shares'!$C:$FA,154)*100</f>
        <v>38.93</v>
      </c>
      <c r="F195" s="173">
        <f>C195/B195</f>
        <v>0.38631678787080814</v>
      </c>
    </row>
    <row r="196" spans="1:6" x14ac:dyDescent="0.25">
      <c r="A196" s="99" t="s">
        <v>295</v>
      </c>
      <c r="B196" s="49">
        <v>153229333</v>
      </c>
      <c r="C196" s="49">
        <v>58783900</v>
      </c>
      <c r="D196" s="49">
        <v>31865556.282714002</v>
      </c>
      <c r="E196" s="50">
        <f>VLOOKUP($A196,'Data shares'!$C:$FA,154)*100</f>
        <v>39.229999999999997</v>
      </c>
      <c r="F196" s="173">
        <f>C196/B196</f>
        <v>0.38363346527130027</v>
      </c>
    </row>
    <row r="197" spans="1:6" x14ac:dyDescent="0.25">
      <c r="A197" s="99" t="s">
        <v>296</v>
      </c>
      <c r="B197" s="49">
        <v>95553300</v>
      </c>
      <c r="C197" s="49">
        <v>27094200</v>
      </c>
      <c r="D197" s="49">
        <v>17907929.474879999</v>
      </c>
      <c r="E197" s="50"/>
      <c r="F197" s="173">
        <f>C197/B197</f>
        <v>0.28355064660247215</v>
      </c>
    </row>
    <row r="198" spans="1:6" x14ac:dyDescent="0.25">
      <c r="A198" s="99" t="s">
        <v>594</v>
      </c>
      <c r="B198" s="49">
        <v>16239060</v>
      </c>
      <c r="C198" s="49">
        <v>3067800</v>
      </c>
      <c r="D198" s="49">
        <v>2486199.13234</v>
      </c>
      <c r="E198" s="50">
        <f>VLOOKUP($A198,'Data shares'!$C:$FA,154)*100</f>
        <v>18.920000000000002</v>
      </c>
      <c r="F198" s="173">
        <f>C198/B198</f>
        <v>0.18891487561472153</v>
      </c>
    </row>
    <row r="199" spans="1:6" x14ac:dyDescent="0.25">
      <c r="A199" s="99" t="s">
        <v>297</v>
      </c>
      <c r="B199" s="49">
        <v>41744334</v>
      </c>
      <c r="C199" s="49">
        <v>15253000</v>
      </c>
      <c r="D199" s="49">
        <v>9985211.7583505008</v>
      </c>
      <c r="E199" s="50">
        <f>VLOOKUP($A199,'Data shares'!$C:$FA,154)*100</f>
        <v>37.200000000000003</v>
      </c>
      <c r="F199" s="173">
        <f>C199/B199</f>
        <v>0.36539090550588255</v>
      </c>
    </row>
    <row r="200" spans="1:6" x14ac:dyDescent="0.25">
      <c r="A200" s="99" t="s">
        <v>687</v>
      </c>
      <c r="B200" s="49">
        <v>317244234</v>
      </c>
      <c r="C200" s="49">
        <v>107249600</v>
      </c>
      <c r="D200" s="49">
        <v>56807778.654544003</v>
      </c>
      <c r="E200" s="50">
        <f>VLOOKUP($A200,'Data shares'!$C:$FA,154)*100</f>
        <v>34.339999999999996</v>
      </c>
      <c r="F200" s="173">
        <f>C200/B200</f>
        <v>0.33806634922165363</v>
      </c>
    </row>
    <row r="201" spans="1:6" x14ac:dyDescent="0.25">
      <c r="A201" s="99" t="s">
        <v>298</v>
      </c>
      <c r="B201" s="49">
        <v>10726004</v>
      </c>
      <c r="C201" s="49">
        <v>4190500</v>
      </c>
      <c r="D201" s="49">
        <v>3238564.905915</v>
      </c>
      <c r="E201" s="50">
        <f>VLOOKUP($A201,'Data shares'!$C:$FA,154)*100</f>
        <v>39.739999999999995</v>
      </c>
      <c r="F201" s="173">
        <f>C201/B201</f>
        <v>0.3906860374096448</v>
      </c>
    </row>
    <row r="202" spans="1:6" x14ac:dyDescent="0.25">
      <c r="A202" s="99" t="s">
        <v>299</v>
      </c>
      <c r="B202" s="49">
        <v>24646022</v>
      </c>
      <c r="C202" s="49">
        <v>4777000</v>
      </c>
      <c r="D202" s="49">
        <v>3469064.2146284999</v>
      </c>
      <c r="E202" s="50">
        <f>VLOOKUP($A202,'Data shares'!$C:$FA,154)*100</f>
        <v>19.7</v>
      </c>
      <c r="F202" s="173">
        <f>C202/B202</f>
        <v>0.19382438269348296</v>
      </c>
    </row>
    <row r="203" spans="1:6" x14ac:dyDescent="0.25">
      <c r="A203" s="99" t="s">
        <v>482</v>
      </c>
      <c r="B203" s="49">
        <v>33590487</v>
      </c>
      <c r="C203" s="49">
        <v>12216300</v>
      </c>
      <c r="D203" s="49">
        <v>7285385.9253810002</v>
      </c>
      <c r="E203" s="50">
        <f>VLOOKUP($A203,'Data shares'!$C:$FA,154)*100</f>
        <v>36.840000000000003</v>
      </c>
      <c r="F203" s="173">
        <f>C203/B203</f>
        <v>0.36368332498424333</v>
      </c>
    </row>
    <row r="204" spans="1:6" x14ac:dyDescent="0.25">
      <c r="A204" s="99" t="s">
        <v>300</v>
      </c>
      <c r="B204" s="49">
        <v>32253708</v>
      </c>
      <c r="C204" s="49">
        <v>10459925</v>
      </c>
      <c r="D204" s="49">
        <v>8563423.0579975005</v>
      </c>
      <c r="E204" s="50">
        <f>VLOOKUP($A204,'Data shares'!$C:$FA,154)*100</f>
        <v>32.840000000000003</v>
      </c>
      <c r="F204" s="173">
        <f>C204/B204</f>
        <v>0.32430147256247249</v>
      </c>
    </row>
    <row r="205" spans="1:6" x14ac:dyDescent="0.25">
      <c r="A205" s="99" t="s">
        <v>302</v>
      </c>
      <c r="B205" s="49">
        <v>12994504</v>
      </c>
      <c r="C205" s="49">
        <v>3239650</v>
      </c>
      <c r="D205" s="49">
        <v>2474525.4663240002</v>
      </c>
      <c r="E205" s="50">
        <f>VLOOKUP($A205,'Data shares'!$C:$FA,154)*100</f>
        <v>25.080000000000002</v>
      </c>
      <c r="F205" s="173">
        <f>C205/B205</f>
        <v>0.24930924643218394</v>
      </c>
    </row>
    <row r="206" spans="1:6" x14ac:dyDescent="0.25">
      <c r="A206" s="99" t="s">
        <v>592</v>
      </c>
      <c r="B206" s="49">
        <v>289041713</v>
      </c>
      <c r="C206" s="49">
        <v>143754975</v>
      </c>
      <c r="D206" s="49">
        <v>95333350.867673203</v>
      </c>
      <c r="E206" s="50">
        <f>VLOOKUP($A206,'Data shares'!$C:$FA,154)*100</f>
        <v>50.51</v>
      </c>
      <c r="F206" s="173">
        <f>C206/B206</f>
        <v>0.49735027345343752</v>
      </c>
    </row>
    <row r="207" spans="1:6" x14ac:dyDescent="0.25">
      <c r="A207" s="99" t="s">
        <v>568</v>
      </c>
      <c r="B207" s="49">
        <v>38847259</v>
      </c>
      <c r="C207" s="49">
        <v>18548800</v>
      </c>
      <c r="D207" s="49">
        <v>12295709.429843999</v>
      </c>
      <c r="E207" s="50">
        <f>VLOOKUP($A207,'Data shares'!$C:$FA,154)*100</f>
        <v>48.010000000000005</v>
      </c>
      <c r="F207" s="173">
        <f>C207/B207</f>
        <v>0.47748027730862558</v>
      </c>
    </row>
    <row r="208" spans="1:6" x14ac:dyDescent="0.25">
      <c r="A208" s="99" t="s">
        <v>672</v>
      </c>
      <c r="B208" s="49">
        <v>27343613</v>
      </c>
      <c r="C208" s="49">
        <v>6836500</v>
      </c>
      <c r="D208" s="49">
        <v>4941680.9983254997</v>
      </c>
      <c r="E208" s="50">
        <f>VLOOKUP($A208,'Data shares'!$C:$FA,154)*100</f>
        <v>25.169999999999998</v>
      </c>
      <c r="F208" s="173">
        <f>C208/B208</f>
        <v>0.25002182410934504</v>
      </c>
    </row>
    <row r="209" spans="1:6" x14ac:dyDescent="0.25">
      <c r="A209" s="99" t="s">
        <v>303</v>
      </c>
      <c r="B209" s="49">
        <v>84189026</v>
      </c>
      <c r="C209" s="49">
        <v>44603890</v>
      </c>
      <c r="D209" s="49">
        <v>26873704.900791999</v>
      </c>
      <c r="E209" s="50">
        <f>VLOOKUP($A209,'Data shares'!$C:$FA,154)*100</f>
        <v>53.55</v>
      </c>
      <c r="F209" s="173">
        <f>C209/B209</f>
        <v>0.52980646194909065</v>
      </c>
    </row>
    <row r="210" spans="1:6" x14ac:dyDescent="0.25">
      <c r="A210" s="99" t="s">
        <v>585</v>
      </c>
      <c r="B210" s="49">
        <v>205765243</v>
      </c>
      <c r="C210" s="49">
        <v>62561250</v>
      </c>
      <c r="D210" s="49">
        <v>42561708.718747497</v>
      </c>
      <c r="E210" s="50">
        <f>VLOOKUP($A210,'Data shares'!$C:$FA,154)*100</f>
        <v>30.630000000000003</v>
      </c>
      <c r="F210" s="173">
        <f>C210/B210</f>
        <v>0.30404187358309098</v>
      </c>
    </row>
    <row r="211" spans="1:6" x14ac:dyDescent="0.25">
      <c r="A211" s="99" t="s">
        <v>304</v>
      </c>
      <c r="B211" s="49">
        <v>255495438</v>
      </c>
      <c r="C211" s="49">
        <v>96915100</v>
      </c>
      <c r="D211" s="49">
        <v>51519172.67712</v>
      </c>
      <c r="E211" s="50">
        <f>VLOOKUP($A211,'Data shares'!$C:$FA,154)*100</f>
        <v>39.04</v>
      </c>
      <c r="F211" s="173">
        <f>C211/B211</f>
        <v>0.37932223275156873</v>
      </c>
    </row>
    <row r="212" spans="1:6" x14ac:dyDescent="0.25">
      <c r="A212" s="99" t="s">
        <v>698</v>
      </c>
      <c r="B212" s="49">
        <v>321828727</v>
      </c>
      <c r="C212" s="49">
        <v>27829300</v>
      </c>
      <c r="D212" s="49">
        <v>19464082.982099999</v>
      </c>
      <c r="E212" s="50">
        <f>VLOOKUP($A212,'Data shares'!$C:$FA,154)*100</f>
        <v>8.6999999999999993</v>
      </c>
      <c r="F212" s="173">
        <f>C212/B212</f>
        <v>8.6472392503357851E-2</v>
      </c>
    </row>
    <row r="213" spans="1:6" x14ac:dyDescent="0.25">
      <c r="A213" s="99" t="s">
        <v>305</v>
      </c>
      <c r="B213" s="49">
        <v>25134629</v>
      </c>
      <c r="C213" s="49">
        <v>20360250</v>
      </c>
      <c r="D213" s="49">
        <v>10756138.852833699</v>
      </c>
      <c r="E213" s="50">
        <f>VLOOKUP($A213,'Data shares'!$C:$FA,154)*100</f>
        <v>82.289999999999992</v>
      </c>
      <c r="F213" s="173">
        <f>C213/B213</f>
        <v>0.81004776318759275</v>
      </c>
    </row>
    <row r="214" spans="1:6" x14ac:dyDescent="0.25">
      <c r="A214" s="99" t="s">
        <v>690</v>
      </c>
      <c r="B214" s="49">
        <v>15436318</v>
      </c>
      <c r="C214" s="49">
        <v>6360025</v>
      </c>
      <c r="D214" s="49">
        <v>3401498.2635812499</v>
      </c>
      <c r="E214" s="50">
        <f>VLOOKUP($A214,'Data shares'!$C:$FA,154)*100</f>
        <v>42.08</v>
      </c>
      <c r="F214" s="173">
        <f>C214/B214</f>
        <v>0.41201697192296766</v>
      </c>
    </row>
    <row r="215" spans="1:6" x14ac:dyDescent="0.25">
      <c r="A215" s="99" t="s">
        <v>306</v>
      </c>
      <c r="B215" s="49">
        <v>428710078</v>
      </c>
      <c r="C215" s="49">
        <v>311511000</v>
      </c>
      <c r="D215" s="49">
        <v>168193405.13334</v>
      </c>
      <c r="E215" s="50">
        <f>VLOOKUP($A215,'Data shares'!$C:$FA,154)*100</f>
        <v>73.790000000000006</v>
      </c>
      <c r="F215" s="173">
        <f>C215/B215</f>
        <v>0.72662392601836623</v>
      </c>
    </row>
    <row r="216" spans="1:6" x14ac:dyDescent="0.25">
      <c r="A216" s="99" t="s">
        <v>589</v>
      </c>
      <c r="B216" s="49">
        <v>3425130022</v>
      </c>
      <c r="C216" s="49">
        <v>1655235300</v>
      </c>
      <c r="D216" s="49">
        <v>1079269715.3754799</v>
      </c>
      <c r="E216" s="50"/>
      <c r="F216" s="173">
        <f>C216/B216</f>
        <v>0.48326203366536025</v>
      </c>
    </row>
    <row r="217" spans="1:6" x14ac:dyDescent="0.25">
      <c r="A217" s="99" t="s">
        <v>556</v>
      </c>
      <c r="B217" s="49">
        <v>25160867</v>
      </c>
      <c r="C217" s="49">
        <v>13573800</v>
      </c>
      <c r="D217" s="49">
        <v>8534413.5343559999</v>
      </c>
      <c r="E217" s="50">
        <f>VLOOKUP($A217,'Data shares'!$C:$FA,154)*100</f>
        <v>54.410000000000004</v>
      </c>
      <c r="F217" s="173">
        <f>C217/B217</f>
        <v>0.53948061487706289</v>
      </c>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7">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25"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2" t="s">
        <v>420</v>
      </c>
      <c r="B4" s="323"/>
      <c r="C4" s="323"/>
      <c r="D4" s="323"/>
      <c r="E4" s="323"/>
      <c r="F4" s="323"/>
      <c r="G4" s="323"/>
      <c r="H4" s="323"/>
      <c r="I4" s="323"/>
      <c r="J4" s="323"/>
      <c r="K4" s="323"/>
      <c r="L4" s="323"/>
      <c r="M4" s="323"/>
      <c r="N4" s="324"/>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5" t="s">
        <v>380</v>
      </c>
      <c r="B3" s="326"/>
      <c r="C3" s="326"/>
      <c r="D3" s="326"/>
      <c r="E3" s="326"/>
      <c r="F3" s="326"/>
      <c r="G3" s="327"/>
    </row>
    <row r="4" spans="1:7" s="72" customFormat="1" x14ac:dyDescent="0.25">
      <c r="A4" s="108" t="s">
        <v>330</v>
      </c>
      <c r="B4" s="328" t="s">
        <v>380</v>
      </c>
      <c r="C4" s="328"/>
      <c r="D4" s="328"/>
      <c r="E4" s="328"/>
      <c r="F4" s="328"/>
      <c r="G4" s="328"/>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7.7200000000000006</v>
      </c>
      <c r="F6" s="49">
        <f>VLOOKUP($A6,'Data shares'!$C:$FA,129)</f>
        <v>1128500</v>
      </c>
      <c r="G6" s="17"/>
    </row>
    <row r="7" spans="1:7" x14ac:dyDescent="0.25">
      <c r="A7" s="101" t="s">
        <v>228</v>
      </c>
      <c r="B7" s="17">
        <v>292206563</v>
      </c>
      <c r="C7" s="17">
        <v>71903525</v>
      </c>
      <c r="D7" s="17">
        <f t="shared" ref="D7:D70" si="0">C7</f>
        <v>71903525</v>
      </c>
      <c r="E7" s="49">
        <f>VLOOKUP($A7,'Data shares'!$C:$FA,128)*100</f>
        <v>8.42</v>
      </c>
      <c r="F7" s="49">
        <f>VLOOKUP($A7,'Data shares'!$C:$FA,129)</f>
        <v>2788800</v>
      </c>
      <c r="G7" s="17"/>
    </row>
    <row r="8" spans="1:7" x14ac:dyDescent="0.25">
      <c r="A8" s="101" t="s">
        <v>200</v>
      </c>
      <c r="B8" s="17">
        <v>417418754</v>
      </c>
      <c r="C8" s="17">
        <v>109662000</v>
      </c>
      <c r="D8" s="17">
        <f t="shared" si="0"/>
        <v>109662000</v>
      </c>
      <c r="E8" s="49">
        <f>VLOOKUP($A8,'Data shares'!$C:$FA,128)*100</f>
        <v>3.51</v>
      </c>
      <c r="F8" s="49">
        <f>VLOOKUP($A8,'Data shares'!$C:$FA,129)</f>
        <v>1908900</v>
      </c>
      <c r="G8" s="17"/>
    </row>
    <row r="9" spans="1:7" x14ac:dyDescent="0.25">
      <c r="A9" s="101" t="s">
        <v>214</v>
      </c>
      <c r="B9" s="17">
        <v>30110093</v>
      </c>
      <c r="C9" s="17">
        <v>10703050</v>
      </c>
      <c r="D9" s="17">
        <f t="shared" si="0"/>
        <v>10703050</v>
      </c>
      <c r="E9" s="49">
        <f>VLOOKUP($A9,'Data shares'!$C:$FA,128)*100</f>
        <v>0.61</v>
      </c>
      <c r="F9" s="49">
        <f>VLOOKUP($A9,'Data shares'!$C:$FA,129)</f>
        <v>62625</v>
      </c>
      <c r="G9" s="17"/>
    </row>
    <row r="10" spans="1:7" x14ac:dyDescent="0.25">
      <c r="A10" s="101" t="s">
        <v>243</v>
      </c>
      <c r="B10" s="17">
        <v>80699820</v>
      </c>
      <c r="C10" s="17">
        <v>65367500</v>
      </c>
      <c r="D10" s="17">
        <f t="shared" si="0"/>
        <v>65367500</v>
      </c>
      <c r="E10" s="49">
        <f>VLOOKUP($A10,'Data shares'!$C:$FA,128)*100</f>
        <v>9.7199999999999989</v>
      </c>
      <c r="F10" s="49">
        <f>VLOOKUP($A10,'Data shares'!$C:$FA,129)</f>
        <v>1165625</v>
      </c>
      <c r="G10" s="17"/>
    </row>
    <row r="11" spans="1:7" x14ac:dyDescent="0.25">
      <c r="A11" s="101" t="s">
        <v>231</v>
      </c>
      <c r="B11" s="17">
        <v>80556813</v>
      </c>
      <c r="C11" s="17">
        <v>62967200</v>
      </c>
      <c r="D11" s="17">
        <f t="shared" si="0"/>
        <v>62967200</v>
      </c>
      <c r="E11" s="49">
        <f>VLOOKUP($A11,'Data shares'!$C:$FA,128)*100</f>
        <v>5.5100000000000007</v>
      </c>
      <c r="F11" s="49">
        <f>VLOOKUP($A11,'Data shares'!$C:$FA,129)</f>
        <v>85250</v>
      </c>
      <c r="G11" s="17"/>
    </row>
    <row r="12" spans="1:7" x14ac:dyDescent="0.25">
      <c r="A12" s="101" t="s">
        <v>195</v>
      </c>
      <c r="B12" s="17">
        <v>23823080</v>
      </c>
      <c r="C12" s="17">
        <v>2862400</v>
      </c>
      <c r="D12" s="17">
        <f t="shared" si="0"/>
        <v>2862400</v>
      </c>
      <c r="E12" s="49">
        <f>VLOOKUP($A12,'Data shares'!$C:$FA,128)*100</f>
        <v>2.0099999999999998</v>
      </c>
      <c r="F12" s="49">
        <f>VLOOKUP($A12,'Data shares'!$C:$FA,129)</f>
        <v>47500</v>
      </c>
      <c r="G12" s="17"/>
    </row>
    <row r="13" spans="1:7" x14ac:dyDescent="0.25">
      <c r="A13" s="101" t="s">
        <v>304</v>
      </c>
      <c r="B13" s="17">
        <v>223492679</v>
      </c>
      <c r="C13" s="17">
        <v>98465300</v>
      </c>
      <c r="D13" s="17">
        <f t="shared" si="0"/>
        <v>98465300</v>
      </c>
      <c r="E13" s="49">
        <f>VLOOKUP($A13,'Data shares'!$C:$FA,128)*100</f>
        <v>3.7800000000000002</v>
      </c>
      <c r="F13" s="49">
        <f>VLOOKUP($A13,'Data shares'!$C:$FA,129)</f>
        <v>1818150</v>
      </c>
      <c r="G13" s="17"/>
    </row>
    <row r="14" spans="1:7" x14ac:dyDescent="0.25">
      <c r="A14" s="101" t="s">
        <v>167</v>
      </c>
      <c r="B14" s="17">
        <v>282181803</v>
      </c>
      <c r="C14" s="17">
        <v>95526000</v>
      </c>
      <c r="D14" s="17">
        <f t="shared" si="0"/>
        <v>95526000</v>
      </c>
      <c r="E14" s="49">
        <f>VLOOKUP($A14,'Data shares'!$C:$FA,128)*100</f>
        <v>4.82</v>
      </c>
      <c r="F14" s="49">
        <f>VLOOKUP($A14,'Data shares'!$C:$FA,129)</f>
        <v>6080000</v>
      </c>
      <c r="G14" s="17"/>
    </row>
    <row r="15" spans="1:7" x14ac:dyDescent="0.25">
      <c r="A15" s="101" t="s">
        <v>222</v>
      </c>
      <c r="B15" s="17">
        <v>214194964</v>
      </c>
      <c r="C15" s="17">
        <v>37437400</v>
      </c>
      <c r="D15" s="17">
        <f t="shared" si="0"/>
        <v>37437400</v>
      </c>
      <c r="E15" s="49">
        <f>VLOOKUP($A15,'Data shares'!$C:$FA,128)*100</f>
        <v>5.33</v>
      </c>
      <c r="F15" s="49">
        <f>VLOOKUP($A15,'Data shares'!$C:$FA,129)</f>
        <v>1869350</v>
      </c>
      <c r="G15" s="17"/>
    </row>
    <row r="16" spans="1:7" x14ac:dyDescent="0.25">
      <c r="A16" s="101" t="s">
        <v>290</v>
      </c>
      <c r="B16" s="17">
        <v>31601465</v>
      </c>
      <c r="C16" s="17">
        <v>13192000</v>
      </c>
      <c r="D16" s="17">
        <f t="shared" si="0"/>
        <v>13192000</v>
      </c>
      <c r="E16" s="49">
        <f>VLOOKUP($A16,'Data shares'!$C:$FA,128)*100</f>
        <v>2.0099999999999998</v>
      </c>
      <c r="F16" s="49">
        <f>VLOOKUP($A16,'Data shares'!$C:$FA,129)</f>
        <v>908700</v>
      </c>
      <c r="G16" s="17"/>
    </row>
    <row r="17" spans="1:7" x14ac:dyDescent="0.25">
      <c r="A17" s="101" t="s">
        <v>500</v>
      </c>
      <c r="B17" s="17">
        <v>24930381</v>
      </c>
      <c r="C17" s="17">
        <v>1925625</v>
      </c>
      <c r="D17" s="17">
        <f t="shared" si="0"/>
        <v>1925625</v>
      </c>
      <c r="E17" s="49">
        <f>VLOOKUP($A17,'Data shares'!$C:$FA,128)*100</f>
        <v>3.19</v>
      </c>
      <c r="F17" s="49">
        <f>VLOOKUP($A17,'Data shares'!$C:$FA,129)</f>
        <v>831250</v>
      </c>
      <c r="G17" s="17"/>
    </row>
    <row r="18" spans="1:7" x14ac:dyDescent="0.25">
      <c r="A18" s="101" t="s">
        <v>491</v>
      </c>
      <c r="B18" s="17">
        <v>53841317</v>
      </c>
      <c r="C18" s="17">
        <v>9268750</v>
      </c>
      <c r="D18" s="17">
        <f t="shared" si="0"/>
        <v>9268750</v>
      </c>
      <c r="E18" s="49">
        <f>VLOOKUP($A18,'Data shares'!$C:$FA,128)*100</f>
        <v>2.1</v>
      </c>
      <c r="F18" s="49">
        <f>VLOOKUP($A18,'Data shares'!$C:$FA,129)</f>
        <v>286750</v>
      </c>
      <c r="G18" s="17"/>
    </row>
    <row r="19" spans="1:7" x14ac:dyDescent="0.25">
      <c r="A19" s="101" t="s">
        <v>257</v>
      </c>
      <c r="B19" s="17">
        <v>43771086</v>
      </c>
      <c r="C19" s="17">
        <v>2865850</v>
      </c>
      <c r="D19" s="17">
        <f t="shared" si="0"/>
        <v>2865850</v>
      </c>
      <c r="E19" s="49">
        <f>VLOOKUP($A19,'Data shares'!$C:$FA,128)*100</f>
        <v>0.12</v>
      </c>
      <c r="F19" s="49">
        <f>VLOOKUP($A19,'Data shares'!$C:$FA,129)</f>
        <v>12000</v>
      </c>
      <c r="G19" s="17"/>
    </row>
    <row r="20" spans="1:7" x14ac:dyDescent="0.25">
      <c r="A20" s="101" t="s">
        <v>259</v>
      </c>
      <c r="B20" s="17">
        <v>12838406</v>
      </c>
      <c r="C20" s="17">
        <v>3561800</v>
      </c>
      <c r="D20" s="17">
        <f t="shared" si="0"/>
        <v>3561800</v>
      </c>
      <c r="E20" s="49">
        <f>VLOOKUP($A20,'Data shares'!$C:$FA,128)*100</f>
        <v>3.5999999999999996</v>
      </c>
      <c r="F20" s="49">
        <f>VLOOKUP($A20,'Data shares'!$C:$FA,129)</f>
        <v>94200</v>
      </c>
      <c r="G20" s="17"/>
    </row>
    <row r="21" spans="1:7" x14ac:dyDescent="0.25">
      <c r="A21" s="101" t="s">
        <v>212</v>
      </c>
      <c r="B21" s="17">
        <v>393764205</v>
      </c>
      <c r="C21" s="17">
        <v>124730000</v>
      </c>
      <c r="D21" s="17">
        <f t="shared" si="0"/>
        <v>124730000</v>
      </c>
      <c r="E21" s="49">
        <f>VLOOKUP($A21,'Data shares'!$C:$FA,128)*100</f>
        <v>3.2</v>
      </c>
      <c r="F21" s="49">
        <f>VLOOKUP($A21,'Data shares'!$C:$FA,129)</f>
        <v>2050000</v>
      </c>
      <c r="G21" s="17"/>
    </row>
    <row r="22" spans="1:7" x14ac:dyDescent="0.25">
      <c r="A22" s="101" t="s">
        <v>209</v>
      </c>
      <c r="B22" s="17">
        <v>27768950</v>
      </c>
      <c r="C22" s="17">
        <v>5371100</v>
      </c>
      <c r="D22" s="17">
        <f t="shared" si="0"/>
        <v>5371100</v>
      </c>
      <c r="E22" s="49">
        <f>VLOOKUP($A22,'Data shares'!$C:$FA,128)*100</f>
        <v>9.09</v>
      </c>
      <c r="F22" s="49">
        <f>VLOOKUP($A22,'Data shares'!$C:$FA,129)</f>
        <v>324800</v>
      </c>
      <c r="G22" s="17"/>
    </row>
    <row r="23" spans="1:7" x14ac:dyDescent="0.25">
      <c r="A23" s="101" t="s">
        <v>501</v>
      </c>
      <c r="B23" s="17">
        <v>155792872</v>
      </c>
      <c r="C23" s="17">
        <v>50166406</v>
      </c>
      <c r="D23" s="17">
        <f t="shared" si="0"/>
        <v>50166406</v>
      </c>
      <c r="E23" s="49">
        <f>VLOOKUP($A23,'Data shares'!$C:$FA,128)*100</f>
        <v>3.19</v>
      </c>
      <c r="F23" s="49">
        <f>VLOOKUP($A23,'Data shares'!$C:$FA,129)</f>
        <v>678000</v>
      </c>
      <c r="G23" s="17"/>
    </row>
    <row r="24" spans="1:7" x14ac:dyDescent="0.25">
      <c r="A24" s="101" t="s">
        <v>276</v>
      </c>
      <c r="B24" s="17">
        <v>678857930</v>
      </c>
      <c r="C24" s="17">
        <v>84677374</v>
      </c>
      <c r="D24" s="17">
        <f t="shared" si="0"/>
        <v>84677374</v>
      </c>
      <c r="E24" s="49">
        <f>VLOOKUP($A24,'Data shares'!$C:$FA,128)*100</f>
        <v>6.1</v>
      </c>
      <c r="F24" s="49">
        <f>VLOOKUP($A24,'Data shares'!$C:$FA,129)</f>
        <v>4328200</v>
      </c>
      <c r="G24" s="17"/>
    </row>
    <row r="25" spans="1:7" x14ac:dyDescent="0.25">
      <c r="A25" s="101" t="s">
        <v>210</v>
      </c>
      <c r="B25" s="17">
        <v>14114257</v>
      </c>
      <c r="C25" s="17">
        <v>11000000</v>
      </c>
      <c r="D25" s="17">
        <f t="shared" si="0"/>
        <v>11000000</v>
      </c>
      <c r="E25" s="49">
        <f>VLOOKUP($A25,'Data shares'!$C:$FA,128)*100</f>
        <v>9.09</v>
      </c>
      <c r="F25" s="49">
        <f>VLOOKUP($A25,'Data shares'!$C:$FA,129)</f>
        <v>324800</v>
      </c>
      <c r="G25" s="17"/>
    </row>
    <row r="26" spans="1:7" x14ac:dyDescent="0.25">
      <c r="A26" s="101" t="s">
        <v>267</v>
      </c>
      <c r="B26" s="17">
        <v>229794455</v>
      </c>
      <c r="C26" s="17">
        <v>133289800</v>
      </c>
      <c r="D26" s="17">
        <f t="shared" si="0"/>
        <v>133289800</v>
      </c>
      <c r="E26" s="49">
        <f>VLOOKUP($A26,'Data shares'!$C:$FA,128)*100</f>
        <v>2.2200000000000002</v>
      </c>
      <c r="F26" s="49">
        <f>VLOOKUP($A26,'Data shares'!$C:$FA,129)</f>
        <v>5994000</v>
      </c>
      <c r="G26" s="17"/>
    </row>
    <row r="27" spans="1:7" x14ac:dyDescent="0.25">
      <c r="A27" s="101" t="s">
        <v>533</v>
      </c>
      <c r="B27" s="17">
        <v>61337685</v>
      </c>
      <c r="C27" s="17">
        <v>24741600</v>
      </c>
      <c r="D27" s="17">
        <f t="shared" si="0"/>
        <v>24741600</v>
      </c>
      <c r="E27" s="49">
        <f>VLOOKUP($A27,'Data shares'!$C:$FA,128)*100</f>
        <v>1.27</v>
      </c>
      <c r="F27" s="49">
        <f>VLOOKUP($A27,'Data shares'!$C:$FA,129)</f>
        <v>129425</v>
      </c>
      <c r="G27" s="17"/>
    </row>
    <row r="28" spans="1:7" x14ac:dyDescent="0.25">
      <c r="A28" s="101" t="s">
        <v>502</v>
      </c>
      <c r="B28" s="17">
        <v>5165920</v>
      </c>
      <c r="C28" s="17">
        <v>1179400</v>
      </c>
      <c r="D28" s="17">
        <f t="shared" si="0"/>
        <v>1179400</v>
      </c>
      <c r="E28" s="49">
        <f>VLOOKUP($A28,'Data shares'!$C:$FA,128)*100</f>
        <v>2.75</v>
      </c>
      <c r="F28" s="49">
        <f>VLOOKUP($A28,'Data shares'!$C:$FA,129)</f>
        <v>336875</v>
      </c>
      <c r="G28" s="17"/>
    </row>
    <row r="29" spans="1:7" x14ac:dyDescent="0.25">
      <c r="A29" s="101" t="s">
        <v>474</v>
      </c>
      <c r="B29" s="17">
        <v>7339737</v>
      </c>
      <c r="C29" s="17">
        <v>979625</v>
      </c>
      <c r="D29" s="17">
        <f t="shared" si="0"/>
        <v>979625</v>
      </c>
      <c r="E29" s="49">
        <f>VLOOKUP($A29,'Data shares'!$C:$FA,128)*100</f>
        <v>4.87</v>
      </c>
      <c r="F29" s="49">
        <f>VLOOKUP($A29,'Data shares'!$C:$FA,129)</f>
        <v>334900</v>
      </c>
      <c r="G29" s="17"/>
    </row>
    <row r="30" spans="1:7" x14ac:dyDescent="0.25">
      <c r="A30" s="101" t="s">
        <v>158</v>
      </c>
      <c r="B30" s="17">
        <v>17078428</v>
      </c>
      <c r="C30" s="17">
        <v>3648750</v>
      </c>
      <c r="D30" s="17">
        <f t="shared" si="0"/>
        <v>3648750</v>
      </c>
      <c r="E30" s="49">
        <f>VLOOKUP($A30,'Data shares'!$C:$FA,128)*100</f>
        <v>1.4200000000000002</v>
      </c>
      <c r="F30" s="49">
        <f>VLOOKUP($A30,'Data shares'!$C:$FA,129)</f>
        <v>520800</v>
      </c>
      <c r="G30" s="17"/>
    </row>
    <row r="31" spans="1:7" x14ac:dyDescent="0.25">
      <c r="A31" s="101" t="s">
        <v>268</v>
      </c>
      <c r="B31" s="17">
        <v>948263976</v>
      </c>
      <c r="C31" s="17">
        <v>170042400</v>
      </c>
      <c r="D31" s="17">
        <f t="shared" si="0"/>
        <v>170042400</v>
      </c>
      <c r="E31" s="49">
        <f>VLOOKUP($A31,'Data shares'!$C:$FA,128)*100</f>
        <v>11.29</v>
      </c>
      <c r="F31" s="49">
        <f>VLOOKUP($A31,'Data shares'!$C:$FA,129)</f>
        <v>9727500</v>
      </c>
      <c r="G31" s="17"/>
    </row>
    <row r="32" spans="1:7" x14ac:dyDescent="0.25">
      <c r="A32" s="101" t="s">
        <v>556</v>
      </c>
      <c r="B32" s="17">
        <v>51441633</v>
      </c>
      <c r="C32" s="17">
        <v>26329600</v>
      </c>
      <c r="D32" s="17">
        <f t="shared" si="0"/>
        <v>26329600</v>
      </c>
      <c r="E32" s="49">
        <f>VLOOKUP($A32,'Data shares'!$C:$FA,128)*100</f>
        <v>1.68</v>
      </c>
      <c r="F32" s="49">
        <f>VLOOKUP($A32,'Data shares'!$C:$FA,129)</f>
        <v>144900</v>
      </c>
      <c r="G32" s="17"/>
    </row>
    <row r="33" spans="1:7" x14ac:dyDescent="0.25">
      <c r="A33" s="101" t="s">
        <v>549</v>
      </c>
      <c r="B33" s="17">
        <v>319287188</v>
      </c>
      <c r="C33" s="17">
        <v>149780000</v>
      </c>
      <c r="D33" s="17">
        <f t="shared" si="0"/>
        <v>149780000</v>
      </c>
      <c r="E33" s="49">
        <f>VLOOKUP($A33,'Data shares'!$C:$FA,128)*100</f>
        <v>4.51</v>
      </c>
      <c r="F33" s="49">
        <f>VLOOKUP($A33,'Data shares'!$C:$FA,129)</f>
        <v>270961725</v>
      </c>
      <c r="G33" s="17"/>
    </row>
    <row r="34" spans="1:7" x14ac:dyDescent="0.25">
      <c r="A34" s="101" t="s">
        <v>536</v>
      </c>
      <c r="B34" s="17">
        <v>57585215</v>
      </c>
      <c r="C34" s="17">
        <v>5314000</v>
      </c>
      <c r="D34" s="17">
        <f t="shared" si="0"/>
        <v>5314000</v>
      </c>
      <c r="E34" s="49">
        <f>VLOOKUP($A34,'Data shares'!$C:$FA,128)*100</f>
        <v>7.85</v>
      </c>
      <c r="F34" s="49">
        <f>VLOOKUP($A34,'Data shares'!$C:$FA,129)</f>
        <v>1678400</v>
      </c>
      <c r="G34" s="17"/>
    </row>
    <row r="35" spans="1:7" x14ac:dyDescent="0.25">
      <c r="A35" s="101" t="s">
        <v>270</v>
      </c>
      <c r="B35" s="17">
        <v>1178038</v>
      </c>
      <c r="C35" s="17">
        <v>100890</v>
      </c>
      <c r="D35" s="17">
        <f t="shared" si="0"/>
        <v>100890</v>
      </c>
      <c r="E35" s="49">
        <f>VLOOKUP($A35,'Data shares'!$C:$FA,128)*100</f>
        <v>1.63</v>
      </c>
      <c r="F35" s="49">
        <f>VLOOKUP($A35,'Data shares'!$C:$FA,129)</f>
        <v>5850</v>
      </c>
      <c r="G35" s="17"/>
    </row>
    <row r="36" spans="1:7" x14ac:dyDescent="0.25">
      <c r="A36" s="101" t="s">
        <v>258</v>
      </c>
      <c r="B36" s="17">
        <v>13335005</v>
      </c>
      <c r="C36" s="17">
        <v>5970600</v>
      </c>
      <c r="D36" s="17">
        <f t="shared" si="0"/>
        <v>5970600</v>
      </c>
      <c r="E36" s="49">
        <f>VLOOKUP($A36,'Data shares'!$C:$FA,128)*100</f>
        <v>0.12</v>
      </c>
      <c r="F36" s="49">
        <f>VLOOKUP($A36,'Data shares'!$C:$FA,129)</f>
        <v>12000</v>
      </c>
      <c r="G36" s="17"/>
    </row>
    <row r="37" spans="1:7" x14ac:dyDescent="0.25">
      <c r="A37" s="101" t="s">
        <v>301</v>
      </c>
      <c r="B37" s="17">
        <v>14428803</v>
      </c>
      <c r="C37" s="17">
        <v>2171400</v>
      </c>
      <c r="D37" s="17">
        <f t="shared" si="0"/>
        <v>2171400</v>
      </c>
      <c r="E37" s="49">
        <f>VLOOKUP($A37,'Data shares'!$C:$FA,128)*100</f>
        <v>1.6500000000000001</v>
      </c>
      <c r="F37" s="49">
        <f>VLOOKUP($A37,'Data shares'!$C:$FA,129)</f>
        <v>111825</v>
      </c>
      <c r="G37" s="17"/>
    </row>
    <row r="38" spans="1:7" x14ac:dyDescent="0.25">
      <c r="A38" s="101" t="s">
        <v>283</v>
      </c>
      <c r="B38" s="17">
        <v>747713393</v>
      </c>
      <c r="C38" s="17">
        <v>158166000</v>
      </c>
      <c r="D38" s="17">
        <f t="shared" si="0"/>
        <v>158166000</v>
      </c>
      <c r="E38" s="49">
        <f>VLOOKUP($A38,'Data shares'!$C:$FA,128)*100</f>
        <v>6.1899999999999995</v>
      </c>
      <c r="F38" s="49">
        <f>VLOOKUP($A38,'Data shares'!$C:$FA,129)</f>
        <v>4300500</v>
      </c>
      <c r="G38" s="17"/>
    </row>
    <row r="39" spans="1:7" x14ac:dyDescent="0.25">
      <c r="A39" s="101" t="s">
        <v>281</v>
      </c>
      <c r="B39" s="17">
        <v>648405756</v>
      </c>
      <c r="C39" s="17">
        <v>61815500</v>
      </c>
      <c r="D39" s="17">
        <f t="shared" si="0"/>
        <v>61815500</v>
      </c>
      <c r="E39" s="49">
        <f>VLOOKUP($A39,'Data shares'!$C:$FA,128)*100</f>
        <v>15.35</v>
      </c>
      <c r="F39" s="49">
        <f>VLOOKUP($A39,'Data shares'!$C:$FA,129)</f>
        <v>13341500</v>
      </c>
      <c r="G39" s="17"/>
    </row>
    <row r="40" spans="1:7" x14ac:dyDescent="0.25">
      <c r="A40" s="101" t="s">
        <v>198</v>
      </c>
      <c r="B40" s="17">
        <v>79546680</v>
      </c>
      <c r="C40" s="17">
        <v>13283750</v>
      </c>
      <c r="D40" s="17">
        <f t="shared" si="0"/>
        <v>13283750</v>
      </c>
      <c r="E40" s="49">
        <f>VLOOKUP($A40,'Data shares'!$C:$FA,128)*100</f>
        <v>2.5299999999999998</v>
      </c>
      <c r="F40" s="49">
        <f>VLOOKUP($A40,'Data shares'!$C:$FA,129)</f>
        <v>479375</v>
      </c>
      <c r="G40" s="17"/>
    </row>
    <row r="41" spans="1:7" x14ac:dyDescent="0.25">
      <c r="A41" s="101" t="s">
        <v>299</v>
      </c>
      <c r="B41" s="17">
        <v>44634693</v>
      </c>
      <c r="C41" s="17">
        <v>3805500</v>
      </c>
      <c r="D41" s="17">
        <f t="shared" si="0"/>
        <v>3805500</v>
      </c>
      <c r="E41" s="49">
        <f>VLOOKUP($A41,'Data shares'!$C:$FA,128)*100</f>
        <v>0</v>
      </c>
      <c r="F41" s="49">
        <f>VLOOKUP($A41,'Data shares'!$C:$FA,129)</f>
        <v>0</v>
      </c>
      <c r="G41" s="17"/>
    </row>
    <row r="42" spans="1:7" x14ac:dyDescent="0.25">
      <c r="A42" s="101" t="s">
        <v>273</v>
      </c>
      <c r="B42" s="17">
        <v>232357926</v>
      </c>
      <c r="C42" s="17">
        <v>67053000</v>
      </c>
      <c r="D42" s="17">
        <f t="shared" si="0"/>
        <v>67053000</v>
      </c>
      <c r="E42" s="49">
        <f>VLOOKUP($A42,'Data shares'!$C:$FA,128)*100</f>
        <v>10.61</v>
      </c>
      <c r="F42" s="49">
        <f>VLOOKUP($A42,'Data shares'!$C:$FA,129)</f>
        <v>5564000</v>
      </c>
      <c r="G42" s="17"/>
    </row>
    <row r="43" spans="1:7" x14ac:dyDescent="0.25">
      <c r="A43" s="101" t="s">
        <v>207</v>
      </c>
      <c r="B43" s="17">
        <v>124016568</v>
      </c>
      <c r="C43" s="17">
        <v>57530550</v>
      </c>
      <c r="D43" s="17">
        <f t="shared" si="0"/>
        <v>57530550</v>
      </c>
      <c r="E43" s="49">
        <f>VLOOKUP($A43,'Data shares'!$C:$FA,128)*100</f>
        <v>5.55</v>
      </c>
      <c r="F43" s="49">
        <f>VLOOKUP($A43,'Data shares'!$C:$FA,129)</f>
        <v>2900700</v>
      </c>
      <c r="G43" s="17"/>
    </row>
    <row r="44" spans="1:7" x14ac:dyDescent="0.25">
      <c r="A44" s="101" t="s">
        <v>191</v>
      </c>
      <c r="B44" s="17">
        <v>92946457</v>
      </c>
      <c r="C44" s="17">
        <v>36478000</v>
      </c>
      <c r="D44" s="17">
        <f t="shared" si="0"/>
        <v>36478000</v>
      </c>
      <c r="E44" s="49">
        <f>VLOOKUP($A44,'Data shares'!$C:$FA,128)*100</f>
        <v>4.8899999999999997</v>
      </c>
      <c r="F44" s="49">
        <f>VLOOKUP($A44,'Data shares'!$C:$FA,129)</f>
        <v>1537500</v>
      </c>
      <c r="G44" s="17"/>
    </row>
    <row r="45" spans="1:7" x14ac:dyDescent="0.25">
      <c r="A45" s="101" t="s">
        <v>288</v>
      </c>
      <c r="B45" s="17">
        <v>218440087</v>
      </c>
      <c r="C45" s="17">
        <v>44080400</v>
      </c>
      <c r="D45" s="17">
        <f t="shared" si="0"/>
        <v>44080400</v>
      </c>
      <c r="E45" s="49">
        <f>VLOOKUP($A45,'Data shares'!$C:$FA,128)*100</f>
        <v>13.33</v>
      </c>
      <c r="F45" s="49">
        <f>VLOOKUP($A45,'Data shares'!$C:$FA,129)</f>
        <v>2290400</v>
      </c>
      <c r="G45" s="17"/>
    </row>
    <row r="46" spans="1:7" x14ac:dyDescent="0.25">
      <c r="A46" s="101" t="s">
        <v>275</v>
      </c>
      <c r="B46" s="17">
        <v>591377974</v>
      </c>
      <c r="C46" s="17">
        <v>493488000</v>
      </c>
      <c r="D46" s="17">
        <f t="shared" si="0"/>
        <v>493488000</v>
      </c>
      <c r="E46" s="49">
        <f>VLOOKUP($A46,'Data shares'!$C:$FA,128)*100</f>
        <v>5.7799999999999994</v>
      </c>
      <c r="F46" s="49">
        <f>VLOOKUP($A46,'Data shares'!$C:$FA,129)</f>
        <v>14408000</v>
      </c>
      <c r="G46" s="17"/>
    </row>
    <row r="47" spans="1:7" x14ac:dyDescent="0.25">
      <c r="A47" s="101" t="s">
        <v>277</v>
      </c>
      <c r="B47" s="17">
        <v>10116165</v>
      </c>
      <c r="C47" s="17">
        <v>7378910</v>
      </c>
      <c r="D47" s="17">
        <f t="shared" si="0"/>
        <v>7378910</v>
      </c>
      <c r="E47" s="49">
        <f>VLOOKUP($A47,'Data shares'!$C:$FA,128)*100</f>
        <v>1.1499999999999999</v>
      </c>
      <c r="F47" s="49">
        <f>VLOOKUP($A47,'Data shares'!$C:$FA,129)</f>
        <v>81000</v>
      </c>
      <c r="G47" s="17"/>
    </row>
    <row r="48" spans="1:7" x14ac:dyDescent="0.25">
      <c r="A48" s="101" t="s">
        <v>196</v>
      </c>
      <c r="B48" s="17">
        <v>134484114</v>
      </c>
      <c r="C48" s="17">
        <v>73278000</v>
      </c>
      <c r="D48" s="17">
        <f t="shared" si="0"/>
        <v>73278000</v>
      </c>
      <c r="E48" s="49">
        <f>VLOOKUP($A48,'Data shares'!$C:$FA,128)*100</f>
        <v>4.37</v>
      </c>
      <c r="F48" s="49">
        <f>VLOOKUP($A48,'Data shares'!$C:$FA,129)</f>
        <v>7580250</v>
      </c>
      <c r="G48" s="17"/>
    </row>
    <row r="49" spans="1:7" x14ac:dyDescent="0.25">
      <c r="A49" s="101" t="s">
        <v>287</v>
      </c>
      <c r="B49" s="17">
        <v>40005132</v>
      </c>
      <c r="C49" s="17">
        <v>6264400</v>
      </c>
      <c r="D49" s="17">
        <f t="shared" si="0"/>
        <v>6264400</v>
      </c>
      <c r="E49" s="49">
        <f>VLOOKUP($A49,'Data shares'!$C:$FA,128)*100</f>
        <v>2.2599999999999998</v>
      </c>
      <c r="F49" s="49">
        <f>VLOOKUP($A49,'Data shares'!$C:$FA,129)</f>
        <v>74400</v>
      </c>
      <c r="G49" s="17"/>
    </row>
    <row r="50" spans="1:7" x14ac:dyDescent="0.25">
      <c r="A50" s="101" t="s">
        <v>553</v>
      </c>
      <c r="B50" s="17">
        <v>10595418</v>
      </c>
      <c r="C50" s="17">
        <v>250250</v>
      </c>
      <c r="D50" s="17">
        <f t="shared" si="0"/>
        <v>250250</v>
      </c>
      <c r="E50" s="49">
        <f>VLOOKUP($A50,'Data shares'!$C:$FA,128)*100</f>
        <v>3.4299999999999997</v>
      </c>
      <c r="F50" s="49">
        <f>VLOOKUP($A50,'Data shares'!$C:$FA,129)</f>
        <v>67750</v>
      </c>
      <c r="G50" s="17"/>
    </row>
    <row r="51" spans="1:7" x14ac:dyDescent="0.25">
      <c r="A51" s="101" t="s">
        <v>519</v>
      </c>
      <c r="B51" s="17">
        <v>9516271</v>
      </c>
      <c r="C51" s="17">
        <v>1000800</v>
      </c>
      <c r="D51" s="17">
        <f t="shared" si="0"/>
        <v>1000800</v>
      </c>
      <c r="E51" s="49">
        <f>VLOOKUP($A51,'Data shares'!$C:$FA,128)*100</f>
        <v>2.44</v>
      </c>
      <c r="F51" s="49">
        <f>VLOOKUP($A51,'Data shares'!$C:$FA,129)</f>
        <v>45375</v>
      </c>
      <c r="G51" s="17"/>
    </row>
    <row r="52" spans="1:7" x14ac:dyDescent="0.25">
      <c r="A52" s="101" t="s">
        <v>550</v>
      </c>
      <c r="B52" s="17">
        <v>137684181</v>
      </c>
      <c r="C52" s="17">
        <v>42696000</v>
      </c>
      <c r="D52" s="17">
        <f t="shared" si="0"/>
        <v>42696000</v>
      </c>
      <c r="E52" s="49">
        <f>VLOOKUP($A52,'Data shares'!$C:$FA,128)*100</f>
        <v>3.44</v>
      </c>
      <c r="F52" s="49">
        <f>VLOOKUP($A52,'Data shares'!$C:$FA,129)</f>
        <v>2717000</v>
      </c>
      <c r="G52" s="17"/>
    </row>
    <row r="53" spans="1:7" x14ac:dyDescent="0.25">
      <c r="A53" s="101" t="s">
        <v>284</v>
      </c>
      <c r="B53" s="17">
        <v>2702190</v>
      </c>
      <c r="C53" s="17">
        <v>250575</v>
      </c>
      <c r="D53" s="17">
        <f t="shared" si="0"/>
        <v>250575</v>
      </c>
      <c r="E53" s="49">
        <f>VLOOKUP($A53,'Data shares'!$C:$FA,128)*100</f>
        <v>2.83</v>
      </c>
      <c r="F53" s="49">
        <f>VLOOKUP($A53,'Data shares'!$C:$FA,129)</f>
        <v>9900</v>
      </c>
      <c r="G53" s="17"/>
    </row>
    <row r="54" spans="1:7" x14ac:dyDescent="0.25">
      <c r="A54" s="101" t="s">
        <v>488</v>
      </c>
      <c r="B54" s="17">
        <v>5499709</v>
      </c>
      <c r="C54" s="17">
        <v>1097600</v>
      </c>
      <c r="D54" s="17">
        <f t="shared" si="0"/>
        <v>1097600</v>
      </c>
      <c r="E54" s="49">
        <f>VLOOKUP($A54,'Data shares'!$C:$FA,128)*100</f>
        <v>4.2700000000000005</v>
      </c>
      <c r="F54" s="49">
        <f>VLOOKUP($A54,'Data shares'!$C:$FA,129)</f>
        <v>144450</v>
      </c>
      <c r="G54" s="17"/>
    </row>
    <row r="55" spans="1:7" x14ac:dyDescent="0.25">
      <c r="A55" s="101" t="s">
        <v>523</v>
      </c>
      <c r="B55" s="17">
        <v>118085392</v>
      </c>
      <c r="C55" s="17">
        <v>6549400</v>
      </c>
      <c r="D55" s="17">
        <f t="shared" si="0"/>
        <v>6549400</v>
      </c>
      <c r="E55" s="49">
        <f>VLOOKUP($A55,'Data shares'!$C:$FA,128)*100</f>
        <v>2.08</v>
      </c>
      <c r="F55" s="49">
        <f>VLOOKUP($A55,'Data shares'!$C:$FA,129)</f>
        <v>820800</v>
      </c>
      <c r="G55" s="17"/>
    </row>
    <row r="56" spans="1:7" x14ac:dyDescent="0.25">
      <c r="A56" s="101" t="s">
        <v>485</v>
      </c>
      <c r="B56" s="17">
        <v>6917069</v>
      </c>
      <c r="C56" s="17">
        <v>762075</v>
      </c>
      <c r="D56" s="17">
        <f t="shared" si="0"/>
        <v>762075</v>
      </c>
      <c r="E56" s="49">
        <f>VLOOKUP($A56,'Data shares'!$C:$FA,128)*100</f>
        <v>1.7999999999999998</v>
      </c>
      <c r="F56" s="49">
        <f>VLOOKUP($A56,'Data shares'!$C:$FA,129)</f>
        <v>126375</v>
      </c>
      <c r="G56" s="17"/>
    </row>
    <row r="57" spans="1:7" x14ac:dyDescent="0.25">
      <c r="A57" s="101" t="s">
        <v>178</v>
      </c>
      <c r="B57" s="17">
        <v>16125398</v>
      </c>
      <c r="C57" s="17">
        <v>1552600</v>
      </c>
      <c r="D57" s="17">
        <f t="shared" si="0"/>
        <v>1552600</v>
      </c>
      <c r="E57" s="49">
        <f>VLOOKUP($A57,'Data shares'!$C:$FA,128)*100</f>
        <v>5.58</v>
      </c>
      <c r="F57" s="49">
        <f>VLOOKUP($A57,'Data shares'!$C:$FA,129)</f>
        <v>3893250</v>
      </c>
      <c r="G57" s="17"/>
    </row>
    <row r="58" spans="1:7" x14ac:dyDescent="0.25">
      <c r="A58" s="101" t="s">
        <v>240</v>
      </c>
      <c r="B58" s="17">
        <v>727896180</v>
      </c>
      <c r="C58" s="17">
        <v>46526100</v>
      </c>
      <c r="D58" s="17">
        <f t="shared" si="0"/>
        <v>46526100</v>
      </c>
      <c r="E58" s="49">
        <f>VLOOKUP($A58,'Data shares'!$C:$FA,128)*100</f>
        <v>3.64</v>
      </c>
      <c r="F58" s="49">
        <f>VLOOKUP($A58,'Data shares'!$C:$FA,129)</f>
        <v>2516400</v>
      </c>
      <c r="G58" s="17"/>
    </row>
    <row r="59" spans="1:7" x14ac:dyDescent="0.25">
      <c r="A59" s="101" t="s">
        <v>202</v>
      </c>
      <c r="B59" s="17">
        <v>55081874</v>
      </c>
      <c r="C59" s="17">
        <v>10856000</v>
      </c>
      <c r="D59" s="17">
        <f t="shared" si="0"/>
        <v>10856000</v>
      </c>
      <c r="E59" s="49">
        <f>VLOOKUP($A59,'Data shares'!$C:$FA,128)*100</f>
        <v>3.19</v>
      </c>
      <c r="F59" s="49">
        <f>VLOOKUP($A59,'Data shares'!$C:$FA,129)</f>
        <v>831250</v>
      </c>
      <c r="G59" s="17"/>
    </row>
    <row r="60" spans="1:7" x14ac:dyDescent="0.25">
      <c r="A60" s="101" t="s">
        <v>245</v>
      </c>
      <c r="B60" s="17">
        <v>15273675</v>
      </c>
      <c r="C60" s="17">
        <v>5077125</v>
      </c>
      <c r="D60" s="17">
        <f t="shared" si="0"/>
        <v>5077125</v>
      </c>
      <c r="E60" s="49">
        <f>VLOOKUP($A60,'Data shares'!$C:$FA,128)*100</f>
        <v>16.939999999999998</v>
      </c>
      <c r="F60" s="49">
        <f>VLOOKUP($A60,'Data shares'!$C:$FA,129)</f>
        <v>6010000</v>
      </c>
      <c r="G60" s="17"/>
    </row>
    <row r="61" spans="1:7" x14ac:dyDescent="0.25">
      <c r="A61" s="101" t="s">
        <v>173</v>
      </c>
      <c r="B61" s="17">
        <v>541823383</v>
      </c>
      <c r="C61" s="17">
        <v>95378400</v>
      </c>
      <c r="D61" s="17">
        <f t="shared" si="0"/>
        <v>95378400</v>
      </c>
      <c r="E61" s="49">
        <f>VLOOKUP($A61,'Data shares'!$C:$FA,128)*100</f>
        <v>20.74</v>
      </c>
      <c r="F61" s="49">
        <f>VLOOKUP($A61,'Data shares'!$C:$FA,129)</f>
        <v>14040000</v>
      </c>
      <c r="G61" s="17"/>
    </row>
    <row r="62" spans="1:7" x14ac:dyDescent="0.25">
      <c r="A62" s="101" t="s">
        <v>234</v>
      </c>
      <c r="B62" s="17">
        <v>1606294231</v>
      </c>
      <c r="C62" s="17">
        <v>1302000000</v>
      </c>
      <c r="D62" s="17">
        <f t="shared" si="0"/>
        <v>1302000000</v>
      </c>
      <c r="E62" s="49">
        <f>VLOOKUP($A62,'Data shares'!$C:$FA,128)*100</f>
        <v>4.51</v>
      </c>
      <c r="F62" s="49">
        <f>VLOOKUP($A62,'Data shares'!$C:$FA,129)</f>
        <v>270961725</v>
      </c>
      <c r="G62" s="17"/>
    </row>
    <row r="63" spans="1:7" x14ac:dyDescent="0.25">
      <c r="A63" s="101" t="s">
        <v>235</v>
      </c>
      <c r="B63" s="17">
        <v>789260827</v>
      </c>
      <c r="C63" s="17">
        <v>462303900</v>
      </c>
      <c r="D63" s="17">
        <f t="shared" si="0"/>
        <v>462303900</v>
      </c>
      <c r="E63" s="49">
        <f>VLOOKUP($A63,'Data shares'!$C:$FA,128)*100</f>
        <v>8.14</v>
      </c>
      <c r="F63" s="49">
        <f>VLOOKUP($A63,'Data shares'!$C:$FA,129)</f>
        <v>31145450</v>
      </c>
      <c r="G63" s="17"/>
    </row>
    <row r="64" spans="1:7" x14ac:dyDescent="0.25">
      <c r="A64" s="101" t="s">
        <v>482</v>
      </c>
      <c r="B64" s="17">
        <v>44785930</v>
      </c>
      <c r="C64" s="17">
        <v>4025925</v>
      </c>
      <c r="D64" s="17">
        <f t="shared" si="0"/>
        <v>4025925</v>
      </c>
      <c r="E64" s="49">
        <f>VLOOKUP($A64,'Data shares'!$C:$FA,128)*100</f>
        <v>10.48</v>
      </c>
      <c r="F64" s="49">
        <f>VLOOKUP($A64,'Data shares'!$C:$FA,129)</f>
        <v>753300</v>
      </c>
      <c r="G64" s="17"/>
    </row>
    <row r="65" spans="1:7" x14ac:dyDescent="0.25">
      <c r="A65" s="101" t="s">
        <v>475</v>
      </c>
      <c r="B65" s="17">
        <v>13287700</v>
      </c>
      <c r="C65" s="17">
        <v>3968400</v>
      </c>
      <c r="D65" s="17">
        <f t="shared" si="0"/>
        <v>3968400</v>
      </c>
      <c r="E65" s="49">
        <f>VLOOKUP($A65,'Data shares'!$C:$FA,128)*100</f>
        <v>1.58</v>
      </c>
      <c r="F65" s="49">
        <f>VLOOKUP($A65,'Data shares'!$C:$FA,129)</f>
        <v>89400</v>
      </c>
      <c r="G65" s="17"/>
    </row>
    <row r="66" spans="1:7" x14ac:dyDescent="0.25">
      <c r="A66" s="101" t="s">
        <v>306</v>
      </c>
      <c r="B66" s="17">
        <v>292716179</v>
      </c>
      <c r="C66" s="17">
        <v>57797600</v>
      </c>
      <c r="D66" s="17">
        <f t="shared" si="0"/>
        <v>57797600</v>
      </c>
      <c r="E66" s="49">
        <f>VLOOKUP($A66,'Data shares'!$C:$FA,128)*100</f>
        <v>7.13</v>
      </c>
      <c r="F66" s="49">
        <f>VLOOKUP($A66,'Data shares'!$C:$FA,129)</f>
        <v>14838000</v>
      </c>
      <c r="G66" s="17"/>
    </row>
    <row r="67" spans="1:7" x14ac:dyDescent="0.25">
      <c r="A67" s="101" t="s">
        <v>262</v>
      </c>
      <c r="B67" s="17">
        <v>21376133</v>
      </c>
      <c r="C67" s="17">
        <v>5958375</v>
      </c>
      <c r="D67" s="17">
        <f t="shared" si="0"/>
        <v>5958375</v>
      </c>
      <c r="E67" s="49">
        <f>VLOOKUP($A67,'Data shares'!$C:$FA,128)*100</f>
        <v>2.65</v>
      </c>
      <c r="F67" s="49">
        <f>VLOOKUP($A67,'Data shares'!$C:$FA,129)</f>
        <v>92125</v>
      </c>
      <c r="G67" s="17"/>
    </row>
    <row r="68" spans="1:7" x14ac:dyDescent="0.25">
      <c r="A68" s="101" t="s">
        <v>174</v>
      </c>
      <c r="B68" s="17">
        <v>26775498</v>
      </c>
      <c r="C68" s="17">
        <v>3494750</v>
      </c>
      <c r="D68" s="17">
        <f t="shared" si="0"/>
        <v>3494750</v>
      </c>
      <c r="E68" s="49">
        <f>VLOOKUP($A68,'Data shares'!$C:$FA,128)*100</f>
        <v>2.23</v>
      </c>
      <c r="F68" s="49">
        <f>VLOOKUP($A68,'Data shares'!$C:$FA,129)</f>
        <v>55650</v>
      </c>
      <c r="G68" s="17"/>
    </row>
    <row r="69" spans="1:7" x14ac:dyDescent="0.25">
      <c r="A69" s="101" t="s">
        <v>286</v>
      </c>
      <c r="B69" s="17">
        <v>29168705</v>
      </c>
      <c r="C69" s="17">
        <v>6373125</v>
      </c>
      <c r="D69" s="17">
        <f t="shared" si="0"/>
        <v>6373125</v>
      </c>
      <c r="E69" s="49">
        <f>VLOOKUP($A69,'Data shares'!$C:$FA,128)*100</f>
        <v>2.2599999999999998</v>
      </c>
      <c r="F69" s="49">
        <f>VLOOKUP($A69,'Data shares'!$C:$FA,129)</f>
        <v>74400</v>
      </c>
      <c r="G69" s="17"/>
    </row>
    <row r="70" spans="1:7" x14ac:dyDescent="0.25">
      <c r="A70" s="101" t="s">
        <v>297</v>
      </c>
      <c r="B70" s="17">
        <v>83636848</v>
      </c>
      <c r="C70" s="17">
        <v>13455750</v>
      </c>
      <c r="D70" s="17">
        <f t="shared" si="0"/>
        <v>13455750</v>
      </c>
      <c r="E70" s="49">
        <f>VLOOKUP($A70,'Data shares'!$C:$FA,128)*100</f>
        <v>3.88</v>
      </c>
      <c r="F70" s="49">
        <f>VLOOKUP($A70,'Data shares'!$C:$FA,129)</f>
        <v>356825</v>
      </c>
      <c r="G70" s="17"/>
    </row>
    <row r="71" spans="1:7" x14ac:dyDescent="0.25">
      <c r="A71" s="101" t="s">
        <v>302</v>
      </c>
      <c r="B71" s="17">
        <v>23058222</v>
      </c>
      <c r="C71" s="17">
        <v>3980500</v>
      </c>
      <c r="D71" s="17">
        <f t="shared" ref="D71:D134" si="1">C71</f>
        <v>3980500</v>
      </c>
      <c r="E71" s="49">
        <f>VLOOKUP($A71,'Data shares'!$C:$FA,128)*100</f>
        <v>11.19</v>
      </c>
      <c r="F71" s="49">
        <f>VLOOKUP($A71,'Data shares'!$C:$FA,129)</f>
        <v>273850</v>
      </c>
      <c r="G71" s="17"/>
    </row>
    <row r="72" spans="1:7" x14ac:dyDescent="0.25">
      <c r="A72" s="101" t="s">
        <v>307</v>
      </c>
      <c r="B72" s="17">
        <v>184439886</v>
      </c>
      <c r="C72" s="17">
        <v>122460000</v>
      </c>
      <c r="D72" s="17">
        <f t="shared" si="1"/>
        <v>122460000</v>
      </c>
      <c r="E72" s="49">
        <f>VLOOKUP($A72,'Data shares'!$C:$FA,128)*100</f>
        <v>7.7</v>
      </c>
      <c r="F72" s="49">
        <f>VLOOKUP($A72,'Data shares'!$C:$FA,129)</f>
        <v>85991500</v>
      </c>
      <c r="G72" s="17"/>
    </row>
    <row r="73" spans="1:7" x14ac:dyDescent="0.25">
      <c r="A73" s="101" t="s">
        <v>177</v>
      </c>
      <c r="B73" s="17">
        <v>52956314</v>
      </c>
      <c r="C73" s="17">
        <v>7784625</v>
      </c>
      <c r="D73" s="17">
        <f t="shared" si="1"/>
        <v>7784625</v>
      </c>
      <c r="E73" s="49">
        <f>VLOOKUP($A73,'Data shares'!$C:$FA,128)*100</f>
        <v>5.58</v>
      </c>
      <c r="F73" s="49">
        <f>VLOOKUP($A73,'Data shares'!$C:$FA,129)</f>
        <v>3893250</v>
      </c>
      <c r="G73" s="17"/>
    </row>
    <row r="74" spans="1:7" x14ac:dyDescent="0.25">
      <c r="A74" s="101" t="s">
        <v>545</v>
      </c>
      <c r="B74" s="17">
        <v>23498849</v>
      </c>
      <c r="C74" s="17">
        <v>15745600</v>
      </c>
      <c r="D74" s="17">
        <f t="shared" si="1"/>
        <v>15745600</v>
      </c>
      <c r="E74" s="49">
        <f>VLOOKUP($A74,'Data shares'!$C:$FA,128)*100</f>
        <v>5.58</v>
      </c>
      <c r="F74" s="49">
        <f>VLOOKUP($A74,'Data shares'!$C:$FA,129)</f>
        <v>3893250</v>
      </c>
      <c r="G74" s="17"/>
    </row>
    <row r="75" spans="1:7" x14ac:dyDescent="0.25">
      <c r="A75" s="101" t="s">
        <v>185</v>
      </c>
      <c r="B75" s="17">
        <v>238123793</v>
      </c>
      <c r="C75" s="17">
        <v>59926000</v>
      </c>
      <c r="D75" s="17">
        <f t="shared" si="1"/>
        <v>59926000</v>
      </c>
      <c r="E75" s="49">
        <f>VLOOKUP($A75,'Data shares'!$C:$FA,128)*100</f>
        <v>8.5</v>
      </c>
      <c r="F75" s="49">
        <f>VLOOKUP($A75,'Data shares'!$C:$FA,129)</f>
        <v>8159550</v>
      </c>
      <c r="G75" s="17"/>
    </row>
    <row r="76" spans="1:7" x14ac:dyDescent="0.25">
      <c r="A76" s="101" t="s">
        <v>219</v>
      </c>
      <c r="B76" s="17">
        <v>75317259</v>
      </c>
      <c r="C76" s="17">
        <v>12188500</v>
      </c>
      <c r="D76" s="17">
        <f t="shared" si="1"/>
        <v>12188500</v>
      </c>
      <c r="E76" s="49">
        <f>VLOOKUP($A76,'Data shares'!$C:$FA,128)*100</f>
        <v>2.1</v>
      </c>
      <c r="F76" s="49">
        <f>VLOOKUP($A76,'Data shares'!$C:$FA,129)</f>
        <v>286750</v>
      </c>
      <c r="G76" s="17"/>
    </row>
    <row r="77" spans="1:7" x14ac:dyDescent="0.25">
      <c r="A77" s="101" t="s">
        <v>534</v>
      </c>
      <c r="B77" s="17">
        <v>70381221</v>
      </c>
      <c r="C77" s="17">
        <v>3354100</v>
      </c>
      <c r="D77" s="17">
        <f t="shared" si="1"/>
        <v>3354100</v>
      </c>
      <c r="E77" s="49">
        <f>VLOOKUP($A77,'Data shares'!$C:$FA,128)*100</f>
        <v>2.1</v>
      </c>
      <c r="F77" s="49">
        <f>VLOOKUP($A77,'Data shares'!$C:$FA,129)</f>
        <v>286750</v>
      </c>
      <c r="G77" s="17"/>
    </row>
    <row r="78" spans="1:7" x14ac:dyDescent="0.25">
      <c r="A78" s="101" t="s">
        <v>516</v>
      </c>
      <c r="B78" s="17">
        <v>27254349</v>
      </c>
      <c r="C78" s="17">
        <v>1133550</v>
      </c>
      <c r="D78" s="17">
        <f t="shared" si="1"/>
        <v>1133550</v>
      </c>
      <c r="E78" s="49">
        <f>VLOOKUP($A78,'Data shares'!$C:$FA,128)*100</f>
        <v>3.66</v>
      </c>
      <c r="F78" s="49">
        <f>VLOOKUP($A78,'Data shares'!$C:$FA,129)</f>
        <v>3783000</v>
      </c>
      <c r="G78" s="17"/>
    </row>
    <row r="79" spans="1:7" x14ac:dyDescent="0.25">
      <c r="A79" s="101" t="s">
        <v>271</v>
      </c>
      <c r="B79" s="17">
        <v>26746179</v>
      </c>
      <c r="C79" s="17">
        <v>5445825</v>
      </c>
      <c r="D79" s="17">
        <f t="shared" si="1"/>
        <v>5445825</v>
      </c>
      <c r="E79" s="49">
        <f>VLOOKUP($A79,'Data shares'!$C:$FA,128)*100</f>
        <v>3.8600000000000003</v>
      </c>
      <c r="F79" s="49">
        <f>VLOOKUP($A79,'Data shares'!$C:$FA,129)</f>
        <v>612625</v>
      </c>
      <c r="G79" s="17"/>
    </row>
    <row r="80" spans="1:7" x14ac:dyDescent="0.25">
      <c r="A80" s="101" t="s">
        <v>264</v>
      </c>
      <c r="B80" s="17">
        <v>15844192</v>
      </c>
      <c r="C80" s="17">
        <v>2354125</v>
      </c>
      <c r="D80" s="17">
        <f t="shared" si="1"/>
        <v>2354125</v>
      </c>
      <c r="E80" s="49">
        <f>VLOOKUP($A80,'Data shares'!$C:$FA,128)*100</f>
        <v>1.7999999999999998</v>
      </c>
      <c r="F80" s="49">
        <f>VLOOKUP($A80,'Data shares'!$C:$FA,129)</f>
        <v>126375</v>
      </c>
      <c r="G80" s="17"/>
    </row>
    <row r="81" spans="1:7" x14ac:dyDescent="0.25">
      <c r="A81" s="101" t="s">
        <v>208</v>
      </c>
      <c r="B81" s="17">
        <v>24296838</v>
      </c>
      <c r="C81" s="17">
        <v>5125750</v>
      </c>
      <c r="D81" s="17">
        <f t="shared" si="1"/>
        <v>5125750</v>
      </c>
      <c r="E81" s="49">
        <f>VLOOKUP($A81,'Data shares'!$C:$FA,128)*100</f>
        <v>3.16</v>
      </c>
      <c r="F81" s="49">
        <f>VLOOKUP($A81,'Data shares'!$C:$FA,129)</f>
        <v>449375</v>
      </c>
      <c r="G81" s="17"/>
    </row>
    <row r="82" spans="1:7" x14ac:dyDescent="0.25">
      <c r="A82" s="101" t="s">
        <v>552</v>
      </c>
      <c r="B82" s="17">
        <v>23447901</v>
      </c>
      <c r="C82" s="17">
        <v>3785600</v>
      </c>
      <c r="D82" s="17">
        <f t="shared" si="1"/>
        <v>3785600</v>
      </c>
      <c r="E82" s="49">
        <f>VLOOKUP($A82,'Data shares'!$C:$FA,128)*100</f>
        <v>2.0099999999999998</v>
      </c>
      <c r="F82" s="49">
        <f>VLOOKUP($A82,'Data shares'!$C:$FA,129)</f>
        <v>908700</v>
      </c>
      <c r="G82" s="17"/>
    </row>
    <row r="83" spans="1:7" x14ac:dyDescent="0.25">
      <c r="A83" s="101" t="s">
        <v>204</v>
      </c>
      <c r="B83" s="17">
        <v>115362060</v>
      </c>
      <c r="C83" s="17">
        <v>19043750</v>
      </c>
      <c r="D83" s="17">
        <f t="shared" si="1"/>
        <v>19043750</v>
      </c>
      <c r="E83" s="49">
        <f>VLOOKUP($A83,'Data shares'!$C:$FA,128)*100</f>
        <v>2.41</v>
      </c>
      <c r="F83" s="49">
        <f>VLOOKUP($A83,'Data shares'!$C:$FA,129)</f>
        <v>735000</v>
      </c>
      <c r="G83" s="17"/>
    </row>
    <row r="84" spans="1:7" x14ac:dyDescent="0.25">
      <c r="A84" s="101" t="s">
        <v>528</v>
      </c>
      <c r="B84" s="17">
        <v>23485458</v>
      </c>
      <c r="C84" s="17">
        <v>4272800</v>
      </c>
      <c r="D84" s="17">
        <f t="shared" si="1"/>
        <v>4272800</v>
      </c>
      <c r="E84" s="49">
        <f>VLOOKUP($A84,'Data shares'!$C:$FA,128)*100</f>
        <v>4.5999999999999996</v>
      </c>
      <c r="F84" s="49">
        <f>VLOOKUP($A84,'Data shares'!$C:$FA,129)</f>
        <v>136850</v>
      </c>
      <c r="G84" s="17"/>
    </row>
    <row r="85" spans="1:7" x14ac:dyDescent="0.25">
      <c r="A85" s="101" t="s">
        <v>551</v>
      </c>
      <c r="B85" s="17">
        <v>39593365</v>
      </c>
      <c r="C85" s="17">
        <v>12215000</v>
      </c>
      <c r="D85" s="17">
        <f t="shared" si="1"/>
        <v>12215000</v>
      </c>
      <c r="E85" s="49">
        <f>VLOOKUP($A85,'Data shares'!$C:$FA,128)*100</f>
        <v>1.1499999999999999</v>
      </c>
      <c r="F85" s="49">
        <f>VLOOKUP($A85,'Data shares'!$C:$FA,129)</f>
        <v>81000</v>
      </c>
      <c r="G85" s="17"/>
    </row>
    <row r="86" spans="1:7" x14ac:dyDescent="0.25">
      <c r="A86" s="101" t="s">
        <v>292</v>
      </c>
      <c r="B86" s="17">
        <v>355933451</v>
      </c>
      <c r="C86" s="17">
        <v>204117000</v>
      </c>
      <c r="D86" s="17">
        <f t="shared" si="1"/>
        <v>204117000</v>
      </c>
      <c r="E86" s="49">
        <f>VLOOKUP($A86,'Data shares'!$C:$FA,128)*100</f>
        <v>7.2900000000000009</v>
      </c>
      <c r="F86" s="49">
        <f>VLOOKUP($A86,'Data shares'!$C:$FA,129)</f>
        <v>103700</v>
      </c>
      <c r="G86" s="17"/>
    </row>
    <row r="87" spans="1:7" x14ac:dyDescent="0.25">
      <c r="A87" s="101" t="s">
        <v>239</v>
      </c>
      <c r="B87" s="17">
        <v>117569462</v>
      </c>
      <c r="C87" s="17">
        <v>39785400</v>
      </c>
      <c r="D87" s="17">
        <f t="shared" si="1"/>
        <v>39785400</v>
      </c>
      <c r="E87" s="49">
        <f>VLOOKUP($A87,'Data shares'!$C:$FA,128)*100</f>
        <v>3.9</v>
      </c>
      <c r="F87" s="49">
        <f>VLOOKUP($A87,'Data shares'!$C:$FA,129)</f>
        <v>1301300</v>
      </c>
      <c r="G87" s="17"/>
    </row>
    <row r="88" spans="1:7" x14ac:dyDescent="0.25">
      <c r="A88" s="101" t="s">
        <v>513</v>
      </c>
      <c r="B88" s="17">
        <v>16619018</v>
      </c>
      <c r="C88" s="17">
        <v>3155425</v>
      </c>
      <c r="D88" s="17">
        <f t="shared" si="1"/>
        <v>3155425</v>
      </c>
      <c r="E88" s="49">
        <f>VLOOKUP($A88,'Data shares'!$C:$FA,128)*100</f>
        <v>6.23</v>
      </c>
      <c r="F88" s="49">
        <f>VLOOKUP($A88,'Data shares'!$C:$FA,129)</f>
        <v>454650</v>
      </c>
      <c r="G88" s="17"/>
    </row>
    <row r="89" spans="1:7" x14ac:dyDescent="0.25">
      <c r="A89" s="101" t="s">
        <v>224</v>
      </c>
      <c r="B89" s="17">
        <v>669931623</v>
      </c>
      <c r="C89" s="17">
        <v>82663350</v>
      </c>
      <c r="D89" s="17">
        <f t="shared" si="1"/>
        <v>82663350</v>
      </c>
      <c r="E89" s="49">
        <f>VLOOKUP($A89,'Data shares'!$C:$FA,128)*100</f>
        <v>8.0500000000000007</v>
      </c>
      <c r="F89" s="49">
        <f>VLOOKUP($A89,'Data shares'!$C:$FA,129)</f>
        <v>16045700</v>
      </c>
      <c r="G89" s="17"/>
    </row>
    <row r="90" spans="1:7" x14ac:dyDescent="0.25">
      <c r="A90" s="101" t="s">
        <v>232</v>
      </c>
      <c r="B90" s="17">
        <v>1110506052</v>
      </c>
      <c r="C90" s="17">
        <v>174065375</v>
      </c>
      <c r="D90" s="17">
        <f t="shared" si="1"/>
        <v>174065375</v>
      </c>
      <c r="E90" s="49">
        <f>VLOOKUP($A90,'Data shares'!$C:$FA,128)*100</f>
        <v>19.68</v>
      </c>
      <c r="F90" s="49">
        <f>VLOOKUP($A90,'Data shares'!$C:$FA,129)</f>
        <v>23070600</v>
      </c>
      <c r="G90" s="17"/>
    </row>
    <row r="91" spans="1:7" x14ac:dyDescent="0.25">
      <c r="A91" s="101" t="s">
        <v>223</v>
      </c>
      <c r="B91" s="17">
        <v>362202362</v>
      </c>
      <c r="C91" s="17">
        <v>34249800</v>
      </c>
      <c r="D91" s="17">
        <f t="shared" si="1"/>
        <v>34249800</v>
      </c>
      <c r="E91" s="49">
        <f>VLOOKUP($A91,'Data shares'!$C:$FA,128)*100</f>
        <v>5.33</v>
      </c>
      <c r="F91" s="49">
        <f>VLOOKUP($A91,'Data shares'!$C:$FA,129)</f>
        <v>1869350</v>
      </c>
      <c r="G91" s="17"/>
    </row>
    <row r="92" spans="1:7" x14ac:dyDescent="0.25">
      <c r="A92" s="101" t="s">
        <v>218</v>
      </c>
      <c r="B92" s="17">
        <v>23110810</v>
      </c>
      <c r="C92" s="17">
        <v>6940375</v>
      </c>
      <c r="D92" s="17">
        <f t="shared" si="1"/>
        <v>6940375</v>
      </c>
      <c r="E92" s="49">
        <f>VLOOKUP($A92,'Data shares'!$C:$FA,128)*100</f>
        <v>2.93</v>
      </c>
      <c r="F92" s="49">
        <f>VLOOKUP($A92,'Data shares'!$C:$FA,129)</f>
        <v>220000</v>
      </c>
      <c r="G92" s="17"/>
    </row>
    <row r="93" spans="1:7" x14ac:dyDescent="0.25">
      <c r="A93" s="101" t="s">
        <v>236</v>
      </c>
      <c r="B93" s="17">
        <v>77000080</v>
      </c>
      <c r="C93" s="17">
        <v>25785375</v>
      </c>
      <c r="D93" s="17">
        <f t="shared" si="1"/>
        <v>25785375</v>
      </c>
      <c r="E93" s="49">
        <f>VLOOKUP($A93,'Data shares'!$C:$FA,128)*100</f>
        <v>9.5399999999999991</v>
      </c>
      <c r="F93" s="49">
        <f>VLOOKUP($A93,'Data shares'!$C:$FA,129)</f>
        <v>6502500</v>
      </c>
      <c r="G93" s="17"/>
    </row>
    <row r="94" spans="1:7" x14ac:dyDescent="0.25">
      <c r="A94" s="101" t="s">
        <v>246</v>
      </c>
      <c r="B94" s="17">
        <v>293666614</v>
      </c>
      <c r="C94" s="17">
        <v>30730800</v>
      </c>
      <c r="D94" s="17">
        <f t="shared" si="1"/>
        <v>30730800</v>
      </c>
      <c r="E94" s="49">
        <f>VLOOKUP($A94,'Data shares'!$C:$FA,128)*100</f>
        <v>11.86</v>
      </c>
      <c r="F94" s="49">
        <f>VLOOKUP($A94,'Data shares'!$C:$FA,129)</f>
        <v>24834000</v>
      </c>
      <c r="G94" s="17"/>
    </row>
    <row r="95" spans="1:7" x14ac:dyDescent="0.25">
      <c r="A95" s="101" t="s">
        <v>532</v>
      </c>
      <c r="B95" s="17">
        <v>32892110</v>
      </c>
      <c r="C95" s="17">
        <v>6216000</v>
      </c>
      <c r="D95" s="17">
        <f t="shared" si="1"/>
        <v>6216000</v>
      </c>
      <c r="E95" s="49">
        <f>VLOOKUP($A95,'Data shares'!$C:$FA,128)*100</f>
        <v>0.98</v>
      </c>
      <c r="F95" s="49">
        <f>VLOOKUP($A95,'Data shares'!$C:$FA,129)</f>
        <v>175100</v>
      </c>
      <c r="G95" s="17"/>
    </row>
    <row r="96" spans="1:7" x14ac:dyDescent="0.25">
      <c r="A96" s="101" t="s">
        <v>242</v>
      </c>
      <c r="B96" s="17">
        <v>2461627231</v>
      </c>
      <c r="C96" s="17">
        <v>322832000</v>
      </c>
      <c r="D96" s="17">
        <f t="shared" si="1"/>
        <v>322832000</v>
      </c>
      <c r="E96" s="49">
        <f>VLOOKUP($A96,'Data shares'!$C:$FA,128)*100</f>
        <v>8.4500000000000011</v>
      </c>
      <c r="F96" s="49">
        <f>VLOOKUP($A96,'Data shares'!$C:$FA,129)</f>
        <v>13190400</v>
      </c>
      <c r="G96" s="17"/>
    </row>
    <row r="97" spans="1:7" x14ac:dyDescent="0.25">
      <c r="A97" s="101" t="s">
        <v>165</v>
      </c>
      <c r="B97" s="17">
        <v>20321931</v>
      </c>
      <c r="C97" s="17">
        <v>3675125</v>
      </c>
      <c r="D97" s="17">
        <f t="shared" si="1"/>
        <v>3675125</v>
      </c>
      <c r="E97" s="49">
        <f>VLOOKUP($A97,'Data shares'!$C:$FA,128)*100</f>
        <v>3.3099999999999996</v>
      </c>
      <c r="F97" s="49">
        <f>VLOOKUP($A97,'Data shares'!$C:$FA,129)</f>
        <v>81625</v>
      </c>
      <c r="G97" s="17"/>
    </row>
    <row r="98" spans="1:7" x14ac:dyDescent="0.25">
      <c r="A98" s="101" t="s">
        <v>503</v>
      </c>
      <c r="B98" s="17">
        <v>17788750</v>
      </c>
      <c r="C98" s="17">
        <v>925925</v>
      </c>
      <c r="D98" s="17">
        <f t="shared" si="1"/>
        <v>925925</v>
      </c>
      <c r="E98" s="49">
        <f>VLOOKUP($A98,'Data shares'!$C:$FA,128)*100</f>
        <v>7.6300000000000008</v>
      </c>
      <c r="F98" s="49">
        <f>VLOOKUP($A98,'Data shares'!$C:$FA,129)</f>
        <v>568225</v>
      </c>
      <c r="G98" s="17"/>
    </row>
    <row r="99" spans="1:7" x14ac:dyDescent="0.25">
      <c r="A99" s="101" t="s">
        <v>192</v>
      </c>
      <c r="B99" s="17">
        <v>1737683</v>
      </c>
      <c r="C99" s="17">
        <v>235900</v>
      </c>
      <c r="D99" s="17">
        <f t="shared" si="1"/>
        <v>235900</v>
      </c>
      <c r="E99" s="49">
        <f>VLOOKUP($A99,'Data shares'!$C:$FA,128)*100</f>
        <v>2.58</v>
      </c>
      <c r="F99" s="49">
        <f>VLOOKUP($A99,'Data shares'!$C:$FA,129)</f>
        <v>6900</v>
      </c>
      <c r="G99" s="17"/>
    </row>
    <row r="100" spans="1:7" x14ac:dyDescent="0.25">
      <c r="A100" s="101" t="s">
        <v>531</v>
      </c>
      <c r="B100" s="17">
        <v>33015657</v>
      </c>
      <c r="C100" s="17">
        <v>9033700</v>
      </c>
      <c r="D100" s="17">
        <f t="shared" si="1"/>
        <v>9033700</v>
      </c>
      <c r="E100" s="49">
        <f>VLOOKUP($A100,'Data shares'!$C:$FA,128)*100</f>
        <v>6.6000000000000005</v>
      </c>
      <c r="F100" s="49">
        <f>VLOOKUP($A100,'Data shares'!$C:$FA,129)</f>
        <v>469500</v>
      </c>
      <c r="G100" s="17"/>
    </row>
    <row r="101" spans="1:7" x14ac:dyDescent="0.25">
      <c r="A101" s="101" t="s">
        <v>494</v>
      </c>
      <c r="B101" s="17">
        <v>147873568</v>
      </c>
      <c r="C101" s="17">
        <v>20386400</v>
      </c>
      <c r="D101" s="17">
        <f t="shared" si="1"/>
        <v>20386400</v>
      </c>
      <c r="E101" s="49">
        <f>VLOOKUP($A101,'Data shares'!$C:$FA,128)*100</f>
        <v>2.08</v>
      </c>
      <c r="F101" s="49">
        <f>VLOOKUP($A101,'Data shares'!$C:$FA,129)</f>
        <v>820800</v>
      </c>
      <c r="G101" s="17"/>
    </row>
    <row r="102" spans="1:7" x14ac:dyDescent="0.25">
      <c r="A102" s="101" t="s">
        <v>473</v>
      </c>
      <c r="B102" s="17">
        <v>162372116</v>
      </c>
      <c r="C102" s="17">
        <v>43206800</v>
      </c>
      <c r="D102" s="17">
        <f t="shared" si="1"/>
        <v>43206800</v>
      </c>
      <c r="E102" s="49">
        <f>VLOOKUP($A102,'Data shares'!$C:$FA,128)*100</f>
        <v>1.29</v>
      </c>
      <c r="F102" s="49">
        <f>VLOOKUP($A102,'Data shares'!$C:$FA,129)</f>
        <v>749700</v>
      </c>
      <c r="G102" s="17"/>
    </row>
    <row r="103" spans="1:7" x14ac:dyDescent="0.25">
      <c r="A103" s="101" t="s">
        <v>225</v>
      </c>
      <c r="B103" s="17">
        <v>187118353</v>
      </c>
      <c r="C103" s="17">
        <v>49800300</v>
      </c>
      <c r="D103" s="17">
        <f t="shared" si="1"/>
        <v>49800300</v>
      </c>
      <c r="E103" s="49">
        <f>VLOOKUP($A103,'Data shares'!$C:$FA,128)*100</f>
        <v>3.7900000000000005</v>
      </c>
      <c r="F103" s="49">
        <f>VLOOKUP($A103,'Data shares'!$C:$FA,129)</f>
        <v>1489400</v>
      </c>
      <c r="G103" s="17"/>
    </row>
    <row r="104" spans="1:7" x14ac:dyDescent="0.25">
      <c r="A104" s="101" t="s">
        <v>504</v>
      </c>
      <c r="B104" s="17">
        <v>12641694</v>
      </c>
      <c r="C104" s="17">
        <v>6728400</v>
      </c>
      <c r="D104" s="17">
        <f t="shared" si="1"/>
        <v>6728400</v>
      </c>
      <c r="E104" s="49">
        <f>VLOOKUP($A104,'Data shares'!$C:$FA,128)*100</f>
        <v>2.2599999999999998</v>
      </c>
      <c r="F104" s="49">
        <f>VLOOKUP($A104,'Data shares'!$C:$FA,129)</f>
        <v>74400</v>
      </c>
      <c r="G104" s="17"/>
    </row>
    <row r="105" spans="1:7" x14ac:dyDescent="0.25">
      <c r="A105" s="101" t="s">
        <v>537</v>
      </c>
      <c r="B105" s="17">
        <v>6343591</v>
      </c>
      <c r="C105" s="17">
        <v>1262250</v>
      </c>
      <c r="D105" s="17">
        <f t="shared" si="1"/>
        <v>1262250</v>
      </c>
      <c r="E105" s="49">
        <f>VLOOKUP($A105,'Data shares'!$C:$FA,128)*100</f>
        <v>3.42</v>
      </c>
      <c r="F105" s="49">
        <f>VLOOKUP($A105,'Data shares'!$C:$FA,129)</f>
        <v>107975</v>
      </c>
      <c r="G105" s="17"/>
    </row>
    <row r="106" spans="1:7" x14ac:dyDescent="0.25">
      <c r="A106" s="101" t="s">
        <v>256</v>
      </c>
      <c r="B106" s="17">
        <v>62880735</v>
      </c>
      <c r="C106" s="17">
        <v>20391250</v>
      </c>
      <c r="D106" s="17">
        <f t="shared" si="1"/>
        <v>20391250</v>
      </c>
      <c r="E106" s="49">
        <f>VLOOKUP($A106,'Data shares'!$C:$FA,128)*100</f>
        <v>3.92</v>
      </c>
      <c r="F106" s="49">
        <f>VLOOKUP($A106,'Data shares'!$C:$FA,129)</f>
        <v>164600</v>
      </c>
      <c r="G106" s="17"/>
    </row>
    <row r="107" spans="1:7" x14ac:dyDescent="0.25">
      <c r="A107" s="101" t="s">
        <v>514</v>
      </c>
      <c r="B107" s="17">
        <v>179174844</v>
      </c>
      <c r="C107" s="17">
        <v>67477500</v>
      </c>
      <c r="D107" s="17">
        <f t="shared" si="1"/>
        <v>67477500</v>
      </c>
      <c r="E107" s="49">
        <f>VLOOKUP($A107,'Data shares'!$C:$FA,128)*100</f>
        <v>9.5399999999999991</v>
      </c>
      <c r="F107" s="49">
        <f>VLOOKUP($A107,'Data shares'!$C:$FA,129)</f>
        <v>6502500</v>
      </c>
      <c r="G107" s="17"/>
    </row>
    <row r="108" spans="1:7" x14ac:dyDescent="0.25">
      <c r="A108" s="101" t="s">
        <v>272</v>
      </c>
      <c r="B108" s="17">
        <v>150000017</v>
      </c>
      <c r="C108" s="17">
        <v>35217000</v>
      </c>
      <c r="D108" s="17">
        <f t="shared" si="1"/>
        <v>35217000</v>
      </c>
      <c r="E108" s="49">
        <f>VLOOKUP($A108,'Data shares'!$C:$FA,128)*100</f>
        <v>2.81</v>
      </c>
      <c r="F108" s="49">
        <f>VLOOKUP($A108,'Data shares'!$C:$FA,129)</f>
        <v>963300</v>
      </c>
      <c r="G108" s="17"/>
    </row>
    <row r="109" spans="1:7" x14ac:dyDescent="0.25">
      <c r="A109" s="101" t="s">
        <v>470</v>
      </c>
      <c r="B109" s="17">
        <v>6091932</v>
      </c>
      <c r="C109" s="17">
        <v>1893300</v>
      </c>
      <c r="D109" s="17">
        <f t="shared" si="1"/>
        <v>1893300</v>
      </c>
      <c r="E109" s="49">
        <f>VLOOKUP($A109,'Data shares'!$C:$FA,128)*100</f>
        <v>4.1099999999999994</v>
      </c>
      <c r="F109" s="49">
        <f>VLOOKUP($A109,'Data shares'!$C:$FA,129)</f>
        <v>703875</v>
      </c>
      <c r="G109" s="17"/>
    </row>
    <row r="110" spans="1:7" x14ac:dyDescent="0.25">
      <c r="A110" s="101" t="s">
        <v>176</v>
      </c>
      <c r="B110" s="17">
        <v>12437219</v>
      </c>
      <c r="C110" s="17">
        <v>1155950</v>
      </c>
      <c r="D110" s="17">
        <f t="shared" si="1"/>
        <v>1155950</v>
      </c>
      <c r="E110" s="49">
        <f>VLOOKUP($A110,'Data shares'!$C:$FA,128)*100</f>
        <v>14.04</v>
      </c>
      <c r="F110" s="49">
        <f>VLOOKUP($A110,'Data shares'!$C:$FA,129)</f>
        <v>1628250</v>
      </c>
      <c r="G110" s="17"/>
    </row>
    <row r="111" spans="1:7" x14ac:dyDescent="0.25">
      <c r="A111" s="101" t="s">
        <v>524</v>
      </c>
      <c r="B111" s="17">
        <v>16479425</v>
      </c>
      <c r="C111" s="17">
        <v>1670750</v>
      </c>
      <c r="D111" s="17">
        <f t="shared" si="1"/>
        <v>1670750</v>
      </c>
      <c r="E111" s="49">
        <f>VLOOKUP($A111,'Data shares'!$C:$FA,128)*100</f>
        <v>1.1499999999999999</v>
      </c>
      <c r="F111" s="49">
        <f>VLOOKUP($A111,'Data shares'!$C:$FA,129)</f>
        <v>28600</v>
      </c>
      <c r="G111" s="17"/>
    </row>
    <row r="112" spans="1:7" x14ac:dyDescent="0.25">
      <c r="A112" s="101" t="s">
        <v>487</v>
      </c>
      <c r="B112" s="17">
        <v>16533935</v>
      </c>
      <c r="C112" s="17">
        <v>1807050</v>
      </c>
      <c r="D112" s="17">
        <f t="shared" si="1"/>
        <v>1807050</v>
      </c>
      <c r="E112" s="49">
        <f>VLOOKUP($A112,'Data shares'!$C:$FA,128)*100</f>
        <v>1.08</v>
      </c>
      <c r="F112" s="49">
        <f>VLOOKUP($A112,'Data shares'!$C:$FA,129)</f>
        <v>51700</v>
      </c>
      <c r="G112" s="17"/>
    </row>
    <row r="113" spans="1:7" x14ac:dyDescent="0.25">
      <c r="A113" s="101" t="s">
        <v>305</v>
      </c>
      <c r="B113" s="17">
        <v>46126252</v>
      </c>
      <c r="C113" s="17">
        <v>7513500</v>
      </c>
      <c r="D113" s="17">
        <f t="shared" si="1"/>
        <v>7513500</v>
      </c>
      <c r="E113" s="49">
        <f>VLOOKUP($A113,'Data shares'!$C:$FA,128)*100</f>
        <v>5.4</v>
      </c>
      <c r="F113" s="49">
        <f>VLOOKUP($A113,'Data shares'!$C:$FA,129)</f>
        <v>616875</v>
      </c>
      <c r="G113" s="17"/>
    </row>
    <row r="114" spans="1:7" x14ac:dyDescent="0.25">
      <c r="A114" s="101" t="s">
        <v>238</v>
      </c>
      <c r="B114" s="17">
        <v>19428657</v>
      </c>
      <c r="C114" s="17">
        <v>5637750</v>
      </c>
      <c r="D114" s="17">
        <f t="shared" si="1"/>
        <v>5637750</v>
      </c>
      <c r="E114" s="49">
        <f>VLOOKUP($A114,'Data shares'!$C:$FA,128)*100</f>
        <v>3.73</v>
      </c>
      <c r="F114" s="49">
        <f>VLOOKUP($A114,'Data shares'!$C:$FA,129)</f>
        <v>246900</v>
      </c>
      <c r="G114" s="17"/>
    </row>
    <row r="115" spans="1:7" x14ac:dyDescent="0.25">
      <c r="A115" s="101" t="s">
        <v>527</v>
      </c>
      <c r="B115" s="17">
        <v>7494363</v>
      </c>
      <c r="C115" s="17">
        <v>739375</v>
      </c>
      <c r="D115" s="17">
        <f t="shared" si="1"/>
        <v>739375</v>
      </c>
      <c r="E115" s="49">
        <f>VLOOKUP($A115,'Data shares'!$C:$FA,128)*100</f>
        <v>13.239999999999998</v>
      </c>
      <c r="F115" s="49">
        <f>VLOOKUP($A115,'Data shares'!$C:$FA,129)</f>
        <v>19190100</v>
      </c>
      <c r="G115" s="17"/>
    </row>
    <row r="116" spans="1:7" x14ac:dyDescent="0.25">
      <c r="A116" s="101" t="s">
        <v>489</v>
      </c>
      <c r="B116" s="17">
        <v>9087752</v>
      </c>
      <c r="C116" s="17">
        <v>1575750</v>
      </c>
      <c r="D116" s="17">
        <f t="shared" si="1"/>
        <v>1575750</v>
      </c>
      <c r="E116" s="49">
        <f>VLOOKUP($A116,'Data shares'!$C:$FA,128)*100</f>
        <v>3.02</v>
      </c>
      <c r="F116" s="49">
        <f>VLOOKUP($A116,'Data shares'!$C:$FA,129)</f>
        <v>1066500</v>
      </c>
      <c r="G116" s="17"/>
    </row>
    <row r="117" spans="1:7" x14ac:dyDescent="0.25">
      <c r="A117" s="101" t="s">
        <v>484</v>
      </c>
      <c r="B117" s="17">
        <v>3300938</v>
      </c>
      <c r="C117" s="17">
        <v>190125</v>
      </c>
      <c r="D117" s="17">
        <f t="shared" si="1"/>
        <v>190125</v>
      </c>
      <c r="E117" s="49">
        <f>VLOOKUP($A117,'Data shares'!$C:$FA,128)*100</f>
        <v>10.61</v>
      </c>
      <c r="F117" s="49">
        <f>VLOOKUP($A117,'Data shares'!$C:$FA,129)</f>
        <v>5564000</v>
      </c>
      <c r="G117" s="17"/>
    </row>
    <row r="118" spans="1:7" x14ac:dyDescent="0.25">
      <c r="A118" s="101" t="s">
        <v>285</v>
      </c>
      <c r="B118" s="17">
        <v>17806068</v>
      </c>
      <c r="C118" s="17">
        <v>1857900</v>
      </c>
      <c r="D118" s="17">
        <f t="shared" si="1"/>
        <v>1857900</v>
      </c>
      <c r="E118" s="49">
        <f>VLOOKUP($A118,'Data shares'!$C:$FA,128)*100</f>
        <v>1.73</v>
      </c>
      <c r="F118" s="49">
        <f>VLOOKUP($A118,'Data shares'!$C:$FA,129)</f>
        <v>43050</v>
      </c>
      <c r="G118" s="17"/>
    </row>
    <row r="119" spans="1:7" x14ac:dyDescent="0.25">
      <c r="A119" s="101" t="s">
        <v>554</v>
      </c>
      <c r="B119" s="17">
        <v>18562709</v>
      </c>
      <c r="C119" s="17">
        <v>2173500</v>
      </c>
      <c r="D119" s="17">
        <f t="shared" si="1"/>
        <v>2173500</v>
      </c>
      <c r="E119" s="49">
        <f>VLOOKUP($A119,'Data shares'!$C:$FA,128)*100</f>
        <v>4.96</v>
      </c>
      <c r="F119" s="49">
        <f>VLOOKUP($A119,'Data shares'!$C:$FA,129)</f>
        <v>4769050</v>
      </c>
      <c r="G119" s="17"/>
    </row>
    <row r="120" spans="1:7" x14ac:dyDescent="0.25">
      <c r="A120" s="101" t="s">
        <v>293</v>
      </c>
      <c r="B120" s="17">
        <v>339616396</v>
      </c>
      <c r="C120" s="17">
        <v>214528500</v>
      </c>
      <c r="D120" s="17">
        <f t="shared" si="1"/>
        <v>214528500</v>
      </c>
      <c r="E120" s="49">
        <f>VLOOKUP($A120,'Data shares'!$C:$FA,128)*100</f>
        <v>5.04</v>
      </c>
      <c r="F120" s="49">
        <f>VLOOKUP($A120,'Data shares'!$C:$FA,129)</f>
        <v>2051750</v>
      </c>
      <c r="G120" s="17"/>
    </row>
    <row r="121" spans="1:7" x14ac:dyDescent="0.25">
      <c r="A121" s="101" t="s">
        <v>282</v>
      </c>
      <c r="B121" s="17">
        <v>289139949</v>
      </c>
      <c r="C121" s="17">
        <v>230878500</v>
      </c>
      <c r="D121" s="17">
        <f t="shared" si="1"/>
        <v>230878500</v>
      </c>
      <c r="E121" s="49">
        <f>VLOOKUP($A121,'Data shares'!$C:$FA,128)*100</f>
        <v>17.489999999999998</v>
      </c>
      <c r="F121" s="49">
        <f>VLOOKUP($A121,'Data shares'!$C:$FA,129)</f>
        <v>36457900</v>
      </c>
      <c r="G121" s="17"/>
    </row>
    <row r="122" spans="1:7" x14ac:dyDescent="0.25">
      <c r="A122" s="101" t="s">
        <v>248</v>
      </c>
      <c r="B122" s="17">
        <v>60244101</v>
      </c>
      <c r="C122" s="17">
        <v>36578000</v>
      </c>
      <c r="D122" s="17">
        <f t="shared" si="1"/>
        <v>36578000</v>
      </c>
      <c r="E122" s="49">
        <f>VLOOKUP($A122,'Data shares'!$C:$FA,128)*100</f>
        <v>1.9</v>
      </c>
      <c r="F122" s="49">
        <f>VLOOKUP($A122,'Data shares'!$C:$FA,129)</f>
        <v>587000</v>
      </c>
      <c r="G122" s="17"/>
    </row>
    <row r="123" spans="1:7" x14ac:dyDescent="0.25">
      <c r="A123" s="101" t="s">
        <v>189</v>
      </c>
      <c r="B123" s="17">
        <v>510707358</v>
      </c>
      <c r="C123" s="17">
        <v>94385350</v>
      </c>
      <c r="D123" s="17">
        <f t="shared" si="1"/>
        <v>94385350</v>
      </c>
      <c r="E123" s="49">
        <f>VLOOKUP($A123,'Data shares'!$C:$FA,128)*100</f>
        <v>15.21</v>
      </c>
      <c r="F123" s="49">
        <f>VLOOKUP($A123,'Data shares'!$C:$FA,129)</f>
        <v>8407500</v>
      </c>
      <c r="G123" s="17"/>
    </row>
    <row r="124" spans="1:7" x14ac:dyDescent="0.25">
      <c r="A124" s="101" t="s">
        <v>213</v>
      </c>
      <c r="B124" s="17">
        <v>425164259</v>
      </c>
      <c r="C124" s="17">
        <v>85375600</v>
      </c>
      <c r="D124" s="17">
        <f t="shared" si="1"/>
        <v>85375600</v>
      </c>
      <c r="E124" s="49">
        <f>VLOOKUP($A124,'Data shares'!$C:$FA,128)*100</f>
        <v>3.53</v>
      </c>
      <c r="F124" s="49">
        <f>VLOOKUP($A124,'Data shares'!$C:$FA,129)</f>
        <v>2749950</v>
      </c>
      <c r="G124" s="17"/>
    </row>
    <row r="125" spans="1:7" x14ac:dyDescent="0.25">
      <c r="A125" s="101" t="s">
        <v>295</v>
      </c>
      <c r="B125" s="17">
        <v>205769415</v>
      </c>
      <c r="C125" s="17">
        <v>21452100</v>
      </c>
      <c r="D125" s="17">
        <f t="shared" si="1"/>
        <v>21452100</v>
      </c>
      <c r="E125" s="49">
        <f>VLOOKUP($A125,'Data shares'!$C:$FA,128)*100</f>
        <v>6.47</v>
      </c>
      <c r="F125" s="49">
        <f>VLOOKUP($A125,'Data shares'!$C:$FA,129)</f>
        <v>1979775</v>
      </c>
      <c r="G125" s="17"/>
    </row>
    <row r="126" spans="1:7" x14ac:dyDescent="0.25">
      <c r="A126" s="101" t="s">
        <v>490</v>
      </c>
      <c r="B126" s="17">
        <v>52165566</v>
      </c>
      <c r="C126" s="17">
        <v>22212750</v>
      </c>
      <c r="D126" s="17">
        <f t="shared" si="1"/>
        <v>22212750</v>
      </c>
      <c r="E126" s="49">
        <f>VLOOKUP($A126,'Data shares'!$C:$FA,128)*100</f>
        <v>3.66</v>
      </c>
      <c r="F126" s="49">
        <f>VLOOKUP($A126,'Data shares'!$C:$FA,129)</f>
        <v>3783000</v>
      </c>
      <c r="G126" s="17"/>
    </row>
    <row r="127" spans="1:7" x14ac:dyDescent="0.25">
      <c r="A127" s="101" t="s">
        <v>260</v>
      </c>
      <c r="B127" s="17">
        <v>241729538</v>
      </c>
      <c r="C127" s="17">
        <v>65383500</v>
      </c>
      <c r="D127" s="17">
        <f t="shared" si="1"/>
        <v>65383500</v>
      </c>
      <c r="E127" s="49">
        <f>VLOOKUP($A127,'Data shares'!$C:$FA,128)*100</f>
        <v>2.37</v>
      </c>
      <c r="F127" s="49">
        <f>VLOOKUP($A127,'Data shares'!$C:$FA,129)</f>
        <v>3191850</v>
      </c>
      <c r="G127" s="17"/>
    </row>
    <row r="128" spans="1:7" x14ac:dyDescent="0.25">
      <c r="A128" s="101" t="s">
        <v>171</v>
      </c>
      <c r="B128" s="17">
        <v>56444627</v>
      </c>
      <c r="C128" s="17">
        <v>23336250</v>
      </c>
      <c r="D128" s="17">
        <f t="shared" si="1"/>
        <v>23336250</v>
      </c>
      <c r="E128" s="49">
        <f>VLOOKUP($A128,'Data shares'!$C:$FA,128)*100</f>
        <v>0.91</v>
      </c>
      <c r="F128" s="49">
        <f>VLOOKUP($A128,'Data shares'!$C:$FA,129)</f>
        <v>178200</v>
      </c>
      <c r="G128" s="17"/>
    </row>
    <row r="129" spans="1:7" x14ac:dyDescent="0.25">
      <c r="A129" s="101" t="s">
        <v>462</v>
      </c>
      <c r="B129" s="17">
        <v>88648462</v>
      </c>
      <c r="C129" s="17">
        <v>11150250</v>
      </c>
      <c r="D129" s="17">
        <f t="shared" si="1"/>
        <v>11150250</v>
      </c>
      <c r="E129" s="49">
        <f>VLOOKUP($A129,'Data shares'!$C:$FA,128)*100</f>
        <v>2.41</v>
      </c>
      <c r="F129" s="49">
        <f>VLOOKUP($A129,'Data shares'!$C:$FA,129)</f>
        <v>241125</v>
      </c>
      <c r="G129" s="17"/>
    </row>
    <row r="130" spans="1:7" x14ac:dyDescent="0.25">
      <c r="A130" s="101" t="s">
        <v>274</v>
      </c>
      <c r="B130" s="17">
        <v>30511703</v>
      </c>
      <c r="C130" s="17">
        <v>3556000</v>
      </c>
      <c r="D130" s="17">
        <f t="shared" si="1"/>
        <v>3556000</v>
      </c>
      <c r="E130" s="49">
        <f>VLOOKUP($A130,'Data shares'!$C:$FA,128)*100</f>
        <v>1.21</v>
      </c>
      <c r="F130" s="49">
        <f>VLOOKUP($A130,'Data shares'!$C:$FA,129)</f>
        <v>88000</v>
      </c>
      <c r="G130" s="17"/>
    </row>
    <row r="131" spans="1:7" x14ac:dyDescent="0.25">
      <c r="A131" s="101" t="s">
        <v>279</v>
      </c>
      <c r="B131" s="17">
        <v>119890099</v>
      </c>
      <c r="C131" s="17">
        <v>77232800</v>
      </c>
      <c r="D131" s="17">
        <f t="shared" si="1"/>
        <v>77232800</v>
      </c>
      <c r="E131" s="49">
        <f>VLOOKUP($A131,'Data shares'!$C:$FA,128)*100</f>
        <v>0.86999999999999988</v>
      </c>
      <c r="F131" s="49">
        <f>VLOOKUP($A131,'Data shares'!$C:$FA,129)</f>
        <v>523875</v>
      </c>
      <c r="G131" s="17"/>
    </row>
    <row r="132" spans="1:7" x14ac:dyDescent="0.25">
      <c r="A132" s="101" t="s">
        <v>247</v>
      </c>
      <c r="B132" s="17">
        <v>180580821</v>
      </c>
      <c r="C132" s="17">
        <v>128041552</v>
      </c>
      <c r="D132" s="17">
        <f t="shared" si="1"/>
        <v>128041552</v>
      </c>
      <c r="E132" s="49">
        <f>VLOOKUP($A132,'Data shares'!$C:$FA,128)*100</f>
        <v>4.87</v>
      </c>
      <c r="F132" s="49">
        <f>VLOOKUP($A132,'Data shares'!$C:$FA,129)</f>
        <v>334900</v>
      </c>
      <c r="G132" s="17"/>
    </row>
    <row r="133" spans="1:7" x14ac:dyDescent="0.25">
      <c r="A133" s="101" t="s">
        <v>291</v>
      </c>
      <c r="B133" s="17">
        <v>120211514</v>
      </c>
      <c r="C133" s="17">
        <v>18359325</v>
      </c>
      <c r="D133" s="17">
        <f t="shared" si="1"/>
        <v>18359325</v>
      </c>
      <c r="E133" s="49">
        <f>VLOOKUP($A133,'Data shares'!$C:$FA,128)*100</f>
        <v>5.93</v>
      </c>
      <c r="F133" s="49">
        <f>VLOOKUP($A133,'Data shares'!$C:$FA,129)</f>
        <v>748000</v>
      </c>
      <c r="G133" s="17"/>
    </row>
    <row r="134" spans="1:7" x14ac:dyDescent="0.25">
      <c r="A134" s="101" t="s">
        <v>269</v>
      </c>
      <c r="B134" s="17">
        <v>996134149</v>
      </c>
      <c r="C134" s="17">
        <v>204565900</v>
      </c>
      <c r="D134" s="17">
        <f t="shared" si="1"/>
        <v>204565900</v>
      </c>
      <c r="E134" s="49">
        <f>VLOOKUP($A134,'Data shares'!$C:$FA,128)*100</f>
        <v>2.29</v>
      </c>
      <c r="F134" s="49">
        <f>VLOOKUP($A134,'Data shares'!$C:$FA,129)</f>
        <v>2126250</v>
      </c>
      <c r="G134" s="17"/>
    </row>
    <row r="135" spans="1:7" x14ac:dyDescent="0.25">
      <c r="A135" s="101" t="s">
        <v>217</v>
      </c>
      <c r="B135" s="17">
        <v>75218562</v>
      </c>
      <c r="C135" s="17">
        <v>11613000</v>
      </c>
      <c r="D135" s="17">
        <f t="shared" ref="D135:D161" si="2">C135</f>
        <v>11613000</v>
      </c>
      <c r="E135" s="49">
        <f>VLOOKUP($A135,'Data shares'!$C:$FA,128)*100</f>
        <v>0.64</v>
      </c>
      <c r="F135" s="49">
        <f>VLOOKUP($A135,'Data shares'!$C:$FA,129)</f>
        <v>78500</v>
      </c>
      <c r="G135" s="17"/>
    </row>
    <row r="136" spans="1:7" x14ac:dyDescent="0.25">
      <c r="A136" s="101" t="s">
        <v>495</v>
      </c>
      <c r="B136" s="17">
        <v>44974045</v>
      </c>
      <c r="C136" s="17">
        <v>4232500</v>
      </c>
      <c r="D136" s="17">
        <f t="shared" si="2"/>
        <v>4232500</v>
      </c>
      <c r="E136" s="49">
        <f>VLOOKUP($A136,'Data shares'!$C:$FA,128)*100</f>
        <v>2.7199999999999998</v>
      </c>
      <c r="F136" s="49">
        <f>VLOOKUP($A136,'Data shares'!$C:$FA,129)</f>
        <v>583000</v>
      </c>
      <c r="G136" s="17"/>
    </row>
    <row r="137" spans="1:7" x14ac:dyDescent="0.25">
      <c r="A137" s="101" t="s">
        <v>250</v>
      </c>
      <c r="B137" s="17">
        <v>48318354</v>
      </c>
      <c r="C137" s="17">
        <v>18007250</v>
      </c>
      <c r="D137" s="17">
        <f t="shared" si="2"/>
        <v>18007250</v>
      </c>
      <c r="E137" s="49">
        <f>VLOOKUP($A137,'Data shares'!$C:$FA,128)*100</f>
        <v>2.5499999999999998</v>
      </c>
      <c r="F137" s="49">
        <f>VLOOKUP($A137,'Data shares'!$C:$FA,129)</f>
        <v>155975</v>
      </c>
      <c r="G137" s="17"/>
    </row>
    <row r="138" spans="1:7" x14ac:dyDescent="0.25">
      <c r="A138" s="101" t="s">
        <v>278</v>
      </c>
      <c r="B138" s="17">
        <v>27187764</v>
      </c>
      <c r="C138" s="17">
        <v>3521550</v>
      </c>
      <c r="D138" s="17">
        <f t="shared" si="2"/>
        <v>3521550</v>
      </c>
      <c r="E138" s="49">
        <f>VLOOKUP($A138,'Data shares'!$C:$FA,128)*100</f>
        <v>1.1499999999999999</v>
      </c>
      <c r="F138" s="49">
        <f>VLOOKUP($A138,'Data shares'!$C:$FA,129)</f>
        <v>81000</v>
      </c>
      <c r="G138" s="17"/>
    </row>
    <row r="139" spans="1:7" x14ac:dyDescent="0.25">
      <c r="A139" s="101" t="s">
        <v>163</v>
      </c>
      <c r="B139" s="17">
        <v>24576009</v>
      </c>
      <c r="C139" s="17">
        <v>11979000</v>
      </c>
      <c r="D139" s="17">
        <f t="shared" si="2"/>
        <v>11979000</v>
      </c>
      <c r="E139" s="49">
        <f>VLOOKUP($A139,'Data shares'!$C:$FA,128)*100</f>
        <v>0.69</v>
      </c>
      <c r="F139" s="49">
        <f>VLOOKUP($A139,'Data shares'!$C:$FA,129)</f>
        <v>5500</v>
      </c>
      <c r="G139" s="17"/>
    </row>
    <row r="140" spans="1:7" x14ac:dyDescent="0.25">
      <c r="A140" s="101" t="s">
        <v>289</v>
      </c>
      <c r="B140" s="17">
        <v>19704232</v>
      </c>
      <c r="C140" s="17">
        <v>15520500</v>
      </c>
      <c r="D140" s="17">
        <f t="shared" si="2"/>
        <v>15520500</v>
      </c>
      <c r="E140" s="49">
        <f>VLOOKUP($A140,'Data shares'!$C:$FA,128)*100</f>
        <v>13.33</v>
      </c>
      <c r="F140" s="49">
        <f>VLOOKUP($A140,'Data shares'!$C:$FA,129)</f>
        <v>2290400</v>
      </c>
      <c r="G140" s="17"/>
    </row>
    <row r="141" spans="1:7" x14ac:dyDescent="0.25">
      <c r="A141" s="101" t="s">
        <v>529</v>
      </c>
      <c r="B141" s="17">
        <v>10012679</v>
      </c>
      <c r="C141" s="17">
        <v>530550</v>
      </c>
      <c r="D141" s="17">
        <f t="shared" si="2"/>
        <v>530550</v>
      </c>
      <c r="E141" s="49">
        <f>VLOOKUP($A141,'Data shares'!$C:$FA,128)*100</f>
        <v>4.04</v>
      </c>
      <c r="F141" s="49">
        <f>VLOOKUP($A141,'Data shares'!$C:$FA,129)</f>
        <v>186600</v>
      </c>
      <c r="G141" s="17"/>
    </row>
    <row r="142" spans="1:7" x14ac:dyDescent="0.25">
      <c r="A142" s="101" t="s">
        <v>265</v>
      </c>
      <c r="B142" s="17">
        <v>7180127</v>
      </c>
      <c r="C142" s="17">
        <v>429550</v>
      </c>
      <c r="D142" s="17">
        <f t="shared" si="2"/>
        <v>429550</v>
      </c>
      <c r="E142" s="49">
        <f>VLOOKUP($A142,'Data shares'!$C:$FA,128)*100</f>
        <v>2.86</v>
      </c>
      <c r="F142" s="49">
        <f>VLOOKUP($A142,'Data shares'!$C:$FA,129)</f>
        <v>515000</v>
      </c>
      <c r="G142" s="17"/>
    </row>
    <row r="143" spans="1:7" x14ac:dyDescent="0.25">
      <c r="A143" s="101" t="s">
        <v>486</v>
      </c>
      <c r="B143" s="17">
        <v>32559242</v>
      </c>
      <c r="C143" s="17">
        <v>4156800</v>
      </c>
      <c r="D143" s="17">
        <f t="shared" si="2"/>
        <v>4156800</v>
      </c>
      <c r="E143" s="49">
        <f>VLOOKUP($A143,'Data shares'!$C:$FA,128)*100</f>
        <v>4.58</v>
      </c>
      <c r="F143" s="49">
        <f>VLOOKUP($A143,'Data shares'!$C:$FA,129)</f>
        <v>28750</v>
      </c>
      <c r="G143" s="17"/>
    </row>
    <row r="144" spans="1:7" x14ac:dyDescent="0.25">
      <c r="A144" s="101" t="s">
        <v>190</v>
      </c>
      <c r="B144" s="17">
        <v>256482590</v>
      </c>
      <c r="C144" s="17">
        <v>208761000</v>
      </c>
      <c r="D144" s="17">
        <f t="shared" si="2"/>
        <v>208761000</v>
      </c>
      <c r="E144" s="49">
        <f>VLOOKUP($A144,'Data shares'!$C:$FA,128)*100</f>
        <v>2.1999999999999997</v>
      </c>
      <c r="F144" s="49">
        <f>VLOOKUP($A144,'Data shares'!$C:$FA,129)</f>
        <v>1785000</v>
      </c>
      <c r="G144" s="17"/>
    </row>
    <row r="145" spans="1:7" x14ac:dyDescent="0.25">
      <c r="A145" s="101" t="s">
        <v>303</v>
      </c>
      <c r="B145" s="17">
        <v>109653438</v>
      </c>
      <c r="C145" s="17">
        <v>37709100</v>
      </c>
      <c r="D145" s="17">
        <f t="shared" si="2"/>
        <v>37709100</v>
      </c>
      <c r="E145" s="49">
        <f>VLOOKUP($A145,'Data shares'!$C:$FA,128)*100</f>
        <v>2.21</v>
      </c>
      <c r="F145" s="49">
        <f>VLOOKUP($A145,'Data shares'!$C:$FA,129)</f>
        <v>673435</v>
      </c>
      <c r="G145" s="17"/>
    </row>
    <row r="146" spans="1:7" x14ac:dyDescent="0.25">
      <c r="A146" s="101" t="s">
        <v>255</v>
      </c>
      <c r="B146" s="17">
        <v>26359259</v>
      </c>
      <c r="C146" s="17">
        <v>6916100</v>
      </c>
      <c r="D146" s="17">
        <f t="shared" si="2"/>
        <v>6916100</v>
      </c>
      <c r="E146" s="49">
        <f>VLOOKUP($A146,'Data shares'!$C:$FA,128)*100</f>
        <v>8.9499999999999993</v>
      </c>
      <c r="F146" s="49">
        <f>VLOOKUP($A146,'Data shares'!$C:$FA,129)</f>
        <v>294150</v>
      </c>
      <c r="G146" s="17"/>
    </row>
    <row r="147" spans="1:7" x14ac:dyDescent="0.25">
      <c r="A147" s="101" t="s">
        <v>180</v>
      </c>
      <c r="B147" s="17">
        <v>372635498</v>
      </c>
      <c r="C147" s="17">
        <v>233426700</v>
      </c>
      <c r="D147" s="17">
        <f t="shared" si="2"/>
        <v>233426700</v>
      </c>
      <c r="E147" s="49">
        <f>VLOOKUP($A147,'Data shares'!$C:$FA,128)*100</f>
        <v>3.53</v>
      </c>
      <c r="F147" s="49">
        <f>VLOOKUP($A147,'Data shares'!$C:$FA,129)</f>
        <v>3354975</v>
      </c>
      <c r="G147" s="17"/>
    </row>
    <row r="148" spans="1:7" x14ac:dyDescent="0.25">
      <c r="A148" s="101" t="s">
        <v>179</v>
      </c>
      <c r="B148" s="17">
        <v>193321473</v>
      </c>
      <c r="C148" s="17">
        <v>47098800</v>
      </c>
      <c r="D148" s="17">
        <f t="shared" si="2"/>
        <v>47098800</v>
      </c>
      <c r="E148" s="49">
        <f>VLOOKUP($A148,'Data shares'!$C:$FA,128)*100</f>
        <v>4.0199999999999996</v>
      </c>
      <c r="F148" s="49">
        <f>VLOOKUP($A148,'Data shares'!$C:$FA,129)</f>
        <v>3600000</v>
      </c>
    </row>
    <row r="149" spans="1:7" x14ac:dyDescent="0.25">
      <c r="A149" s="101" t="s">
        <v>253</v>
      </c>
      <c r="B149" s="17">
        <v>109926618</v>
      </c>
      <c r="C149" s="17">
        <v>54285000</v>
      </c>
      <c r="D149" s="17">
        <f t="shared" si="2"/>
        <v>54285000</v>
      </c>
      <c r="E149" s="49">
        <f>VLOOKUP($A149,'Data shares'!$C:$FA,128)*100</f>
        <v>1.46</v>
      </c>
      <c r="F149" s="49">
        <f>VLOOKUP($A149,'Data shares'!$C:$FA,129)</f>
        <v>588000</v>
      </c>
    </row>
    <row r="150" spans="1:7" x14ac:dyDescent="0.25">
      <c r="A150" s="101" t="s">
        <v>261</v>
      </c>
      <c r="B150" s="17">
        <v>611563</v>
      </c>
      <c r="C150" s="17">
        <v>120180</v>
      </c>
      <c r="D150" s="17">
        <f t="shared" si="2"/>
        <v>120180</v>
      </c>
      <c r="E150" s="49">
        <f>VLOOKUP($A150,'Data shares'!$C:$FA,128)*100</f>
        <v>1.08</v>
      </c>
      <c r="F150" s="49">
        <f>VLOOKUP($A150,'Data shares'!$C:$FA,129)</f>
        <v>51700</v>
      </c>
    </row>
    <row r="151" spans="1:7" x14ac:dyDescent="0.25">
      <c r="A151" s="101" t="s">
        <v>164</v>
      </c>
      <c r="B151" s="17">
        <v>145854205</v>
      </c>
      <c r="C151" s="17">
        <v>46824000</v>
      </c>
      <c r="D151" s="17">
        <f t="shared" si="2"/>
        <v>46824000</v>
      </c>
      <c r="E151" s="49">
        <f>VLOOKUP($A151,'Data shares'!$C:$FA,128)*100</f>
        <v>12.7</v>
      </c>
      <c r="F151" s="49">
        <f>VLOOKUP($A151,'Data shares'!$C:$FA,129)</f>
        <v>7420350</v>
      </c>
    </row>
    <row r="152" spans="1:7" x14ac:dyDescent="0.25">
      <c r="A152" s="101" t="s">
        <v>526</v>
      </c>
      <c r="B152" s="17">
        <v>44365911</v>
      </c>
      <c r="C152" s="17">
        <v>20668300</v>
      </c>
      <c r="D152" s="17">
        <f t="shared" si="2"/>
        <v>20668300</v>
      </c>
      <c r="E152" s="49">
        <f>VLOOKUP($A152,'Data shares'!$C:$FA,128)*100</f>
        <v>3.19</v>
      </c>
      <c r="F152" s="49">
        <f>VLOOKUP($A152,'Data shares'!$C:$FA,129)</f>
        <v>678000</v>
      </c>
    </row>
    <row r="153" spans="1:7" x14ac:dyDescent="0.25">
      <c r="A153" s="101" t="s">
        <v>515</v>
      </c>
      <c r="B153" s="17">
        <v>3083179</v>
      </c>
      <c r="C153" s="17">
        <v>492075</v>
      </c>
      <c r="D153" s="17">
        <f t="shared" si="2"/>
        <v>492075</v>
      </c>
      <c r="E153" s="49">
        <f>VLOOKUP($A153,'Data shares'!$C:$FA,128)*100</f>
        <v>3.19</v>
      </c>
      <c r="F153" s="49">
        <f>VLOOKUP($A153,'Data shares'!$C:$FA,129)</f>
        <v>678000</v>
      </c>
    </row>
    <row r="154" spans="1:7" x14ac:dyDescent="0.25">
      <c r="A154" s="101" t="s">
        <v>226</v>
      </c>
      <c r="B154" s="17">
        <v>26072630</v>
      </c>
      <c r="C154" s="17">
        <v>9897900</v>
      </c>
      <c r="D154" s="17">
        <f t="shared" si="2"/>
        <v>9897900</v>
      </c>
      <c r="E154" s="49">
        <f>VLOOKUP($A154,'Data shares'!$C:$FA,128)*100</f>
        <v>1.52</v>
      </c>
      <c r="F154" s="49">
        <f>VLOOKUP($A154,'Data shares'!$C:$FA,129)</f>
        <v>38250</v>
      </c>
    </row>
    <row r="155" spans="1:7" x14ac:dyDescent="0.25">
      <c r="A155" s="101" t="s">
        <v>544</v>
      </c>
      <c r="B155" s="17">
        <v>139989683</v>
      </c>
      <c r="C155" s="17">
        <v>28415200</v>
      </c>
      <c r="D155" s="17">
        <f t="shared" si="2"/>
        <v>28415200</v>
      </c>
      <c r="E155" s="49">
        <f>VLOOKUP($A155,'Data shares'!$C:$FA,128)*100</f>
        <v>1.4200000000000002</v>
      </c>
      <c r="F155" s="49">
        <f>VLOOKUP($A155,'Data shares'!$C:$FA,129)</f>
        <v>520800</v>
      </c>
    </row>
    <row r="156" spans="1:7" x14ac:dyDescent="0.25">
      <c r="A156" s="101" t="s">
        <v>547</v>
      </c>
      <c r="B156" s="17">
        <v>65482129</v>
      </c>
      <c r="C156" s="17">
        <v>33944200</v>
      </c>
      <c r="D156" s="17">
        <f t="shared" si="2"/>
        <v>33944200</v>
      </c>
      <c r="E156" s="49">
        <f>VLOOKUP($A156,'Data shares'!$C:$FA,128)*100</f>
        <v>8.42</v>
      </c>
      <c r="F156" s="49">
        <f>VLOOKUP($A156,'Data shares'!$C:$FA,129)</f>
        <v>2788800</v>
      </c>
    </row>
    <row r="157" spans="1:7" x14ac:dyDescent="0.25">
      <c r="A157" s="101" t="s">
        <v>499</v>
      </c>
      <c r="B157" s="17">
        <v>66687240</v>
      </c>
      <c r="C157" s="17">
        <v>16125200</v>
      </c>
      <c r="D157" s="17">
        <f t="shared" si="2"/>
        <v>16125200</v>
      </c>
      <c r="E157" s="49">
        <f>VLOOKUP($A157,'Data shares'!$C:$FA,128)*100</f>
        <v>1.4200000000000002</v>
      </c>
      <c r="F157" s="49">
        <f>VLOOKUP($A157,'Data shares'!$C:$FA,129)</f>
        <v>520800</v>
      </c>
    </row>
    <row r="158" spans="1:7" x14ac:dyDescent="0.25">
      <c r="A158" s="101" t="s">
        <v>483</v>
      </c>
      <c r="B158" s="17">
        <v>16146181</v>
      </c>
      <c r="C158" s="17">
        <v>1914250</v>
      </c>
      <c r="D158" s="17">
        <f t="shared" si="2"/>
        <v>1914250</v>
      </c>
      <c r="E158" s="49">
        <f>VLOOKUP($A158,'Data shares'!$C:$FA,128)*100</f>
        <v>3.02</v>
      </c>
      <c r="F158" s="49">
        <f>VLOOKUP($A158,'Data shares'!$C:$FA,129)</f>
        <v>71750</v>
      </c>
    </row>
    <row r="159" spans="1:7" x14ac:dyDescent="0.25">
      <c r="A159" s="101" t="s">
        <v>546</v>
      </c>
      <c r="B159" s="17">
        <v>18282414</v>
      </c>
      <c r="C159" s="17">
        <v>13742300</v>
      </c>
      <c r="D159" s="17">
        <f t="shared" si="2"/>
        <v>13742300</v>
      </c>
      <c r="E159" s="49">
        <f>VLOOKUP($A159,'Data shares'!$C:$FA,128)*100</f>
        <v>3.1199999999999997</v>
      </c>
      <c r="F159" s="49">
        <f>VLOOKUP($A159,'Data shares'!$C:$FA,129)</f>
        <v>4150125</v>
      </c>
    </row>
    <row r="160" spans="1:7" x14ac:dyDescent="0.25">
      <c r="A160" s="101" t="s">
        <v>220</v>
      </c>
      <c r="B160" s="17">
        <v>50687734</v>
      </c>
      <c r="C160" s="17">
        <v>6783500</v>
      </c>
      <c r="D160" s="17">
        <f t="shared" si="2"/>
        <v>6783500</v>
      </c>
      <c r="E160" s="49">
        <f>VLOOKUP($A160,'Data shares'!$C:$FA,128)*100</f>
        <v>2.0299999999999998</v>
      </c>
      <c r="F160" s="49">
        <f>VLOOKUP($A160,'Data shares'!$C:$FA,129)</f>
        <v>171000</v>
      </c>
    </row>
    <row r="161" spans="1:6" x14ac:dyDescent="0.25">
      <c r="A161" s="101" t="s">
        <v>472</v>
      </c>
      <c r="B161" s="17">
        <v>50993734</v>
      </c>
      <c r="C161" s="17">
        <v>3803750</v>
      </c>
      <c r="D161" s="17">
        <f t="shared" si="2"/>
        <v>3803750</v>
      </c>
      <c r="E161" s="49">
        <f>VLOOKUP($A161,'Data shares'!$C:$FA,128)*100</f>
        <v>0.86999999999999988</v>
      </c>
      <c r="F161" s="49">
        <f>VLOOKUP($A161,'Data shares'!$C:$FA,129)</f>
        <v>44525</v>
      </c>
    </row>
    <row r="162" spans="1:6" x14ac:dyDescent="0.25">
      <c r="A162" t="s">
        <v>535</v>
      </c>
      <c r="B162">
        <v>78168147</v>
      </c>
      <c r="C162">
        <v>9571500</v>
      </c>
      <c r="D162" s="17">
        <f t="shared" ref="D162:D204" si="3">C162</f>
        <v>9571500</v>
      </c>
      <c r="E162" s="49">
        <f>VLOOKUP($A162,'Data shares'!$C:$FA,128)*100</f>
        <v>3.2300000000000004</v>
      </c>
      <c r="F162" s="49">
        <f>VLOOKUP($A162,'Data shares'!$C:$FA,129)</f>
        <v>488750</v>
      </c>
    </row>
    <row r="163" spans="1:6" x14ac:dyDescent="0.25">
      <c r="A163" t="s">
        <v>492</v>
      </c>
      <c r="B163">
        <v>28779078</v>
      </c>
      <c r="C163">
        <v>14404150</v>
      </c>
      <c r="D163" s="17">
        <f t="shared" si="3"/>
        <v>14404150</v>
      </c>
      <c r="E163" s="49">
        <f>VLOOKUP($A163,'Data shares'!$C:$FA,128)*100</f>
        <v>2.93</v>
      </c>
      <c r="F163" s="49">
        <f>VLOOKUP($A163,'Data shares'!$C:$FA,129)</f>
        <v>220000</v>
      </c>
    </row>
    <row r="164" spans="1:6" x14ac:dyDescent="0.25">
      <c r="A164" t="s">
        <v>298</v>
      </c>
      <c r="B164">
        <v>9731600</v>
      </c>
      <c r="C164">
        <v>863500</v>
      </c>
      <c r="D164" s="17">
        <f t="shared" si="3"/>
        <v>863500</v>
      </c>
      <c r="E164" s="49">
        <f>VLOOKUP($A164,'Data shares'!$C:$FA,128)*100</f>
        <v>0.48</v>
      </c>
      <c r="F164" s="49">
        <f>VLOOKUP($A164,'Data shares'!$C:$FA,129)</f>
        <v>15750</v>
      </c>
    </row>
    <row r="165" spans="1:6" x14ac:dyDescent="0.25">
      <c r="A165" t="s">
        <v>548</v>
      </c>
      <c r="B165">
        <v>442076</v>
      </c>
      <c r="C165">
        <v>9615</v>
      </c>
      <c r="D165" s="17">
        <f t="shared" si="3"/>
        <v>9615</v>
      </c>
      <c r="E165" s="49">
        <f>VLOOKUP($A165,'Data shares'!$C:$FA,128)*100</f>
        <v>4.8899999999999997</v>
      </c>
      <c r="F165" s="49">
        <f>VLOOKUP($A165,'Data shares'!$C:$FA,129)</f>
        <v>1815450</v>
      </c>
    </row>
    <row r="166" spans="1:6" x14ac:dyDescent="0.25">
      <c r="A166" t="s">
        <v>530</v>
      </c>
      <c r="B166">
        <v>3258166</v>
      </c>
      <c r="C166">
        <v>219750</v>
      </c>
      <c r="D166" s="17">
        <f t="shared" si="3"/>
        <v>219750</v>
      </c>
      <c r="E166" s="49">
        <f>VLOOKUP($A166,'Data shares'!$C:$FA,128)*100</f>
        <v>7.6300000000000008</v>
      </c>
      <c r="F166" s="49">
        <f>VLOOKUP($A166,'Data shares'!$C:$FA,129)</f>
        <v>568225</v>
      </c>
    </row>
    <row r="167" spans="1:6" x14ac:dyDescent="0.25">
      <c r="A167" t="s">
        <v>249</v>
      </c>
      <c r="B167">
        <v>277168216</v>
      </c>
      <c r="C167">
        <v>21795375</v>
      </c>
      <c r="D167" s="17">
        <f t="shared" si="3"/>
        <v>21795375</v>
      </c>
      <c r="E167" s="49">
        <f>VLOOKUP($A167,'Data shares'!$C:$FA,128)*100</f>
        <v>14.74</v>
      </c>
      <c r="F167" s="49">
        <f>VLOOKUP($A167,'Data shares'!$C:$FA,129)</f>
        <v>2171575</v>
      </c>
    </row>
    <row r="168" spans="1:6" x14ac:dyDescent="0.25">
      <c r="A168" t="s">
        <v>216</v>
      </c>
      <c r="B168">
        <v>484955219</v>
      </c>
      <c r="C168">
        <v>230400000</v>
      </c>
      <c r="D168" s="17">
        <f t="shared" si="3"/>
        <v>230400000</v>
      </c>
      <c r="E168" s="49">
        <f>VLOOKUP($A168,'Data shares'!$C:$FA,128)*100</f>
        <v>3.1199999999999997</v>
      </c>
      <c r="F168" s="49">
        <f>VLOOKUP($A168,'Data shares'!$C:$FA,129)</f>
        <v>4150125</v>
      </c>
    </row>
    <row r="169" spans="1:6" x14ac:dyDescent="0.25">
      <c r="A169" t="s">
        <v>252</v>
      </c>
      <c r="B169">
        <v>117640832</v>
      </c>
      <c r="C169">
        <v>52456000</v>
      </c>
      <c r="D169" s="17">
        <f t="shared" si="3"/>
        <v>52456000</v>
      </c>
      <c r="E169" s="49">
        <f>VLOOKUP($A169,'Data shares'!$C:$FA,128)*100</f>
        <v>14.530000000000001</v>
      </c>
      <c r="F169" s="49">
        <f>VLOOKUP($A169,'Data shares'!$C:$FA,129)</f>
        <v>2846200</v>
      </c>
    </row>
    <row r="170" spans="1:6" x14ac:dyDescent="0.25">
      <c r="A170" t="s">
        <v>205</v>
      </c>
      <c r="B170">
        <v>25513876</v>
      </c>
      <c r="C170">
        <v>3302300</v>
      </c>
      <c r="D170" s="17">
        <f t="shared" si="3"/>
        <v>3302300</v>
      </c>
      <c r="E170" s="49">
        <f>VLOOKUP($A170,'Data shares'!$C:$FA,128)*100</f>
        <v>2.63</v>
      </c>
      <c r="F170" s="49">
        <f>VLOOKUP($A170,'Data shares'!$C:$FA,129)</f>
        <v>73600</v>
      </c>
    </row>
    <row r="171" spans="1:6" x14ac:dyDescent="0.25">
      <c r="A171" t="s">
        <v>194</v>
      </c>
      <c r="B171">
        <v>202646440</v>
      </c>
      <c r="C171">
        <v>52470000</v>
      </c>
      <c r="D171" s="17">
        <f t="shared" si="3"/>
        <v>52470000</v>
      </c>
      <c r="E171" s="49">
        <f>VLOOKUP($A171,'Data shares'!$C:$FA,128)*100</f>
        <v>2.65</v>
      </c>
      <c r="F171" s="49">
        <f>VLOOKUP($A171,'Data shares'!$C:$FA,129)</f>
        <v>1163275</v>
      </c>
    </row>
    <row r="172" spans="1:6" x14ac:dyDescent="0.25">
      <c r="A172" t="s">
        <v>263</v>
      </c>
      <c r="B172">
        <v>178967755</v>
      </c>
      <c r="C172">
        <v>142910500</v>
      </c>
      <c r="D172" s="17">
        <f t="shared" si="3"/>
        <v>142910500</v>
      </c>
      <c r="E172" s="49">
        <f>VLOOKUP($A172,'Data shares'!$C:$FA,128)*100</f>
        <v>2.8899999999999997</v>
      </c>
      <c r="F172" s="49">
        <f>VLOOKUP($A172,'Data shares'!$C:$FA,129)</f>
        <v>1710000</v>
      </c>
    </row>
    <row r="173" spans="1:6" x14ac:dyDescent="0.25">
      <c r="A173" t="s">
        <v>476</v>
      </c>
      <c r="B173">
        <v>40446155</v>
      </c>
      <c r="C173">
        <v>4358800</v>
      </c>
      <c r="D173" s="17">
        <f t="shared" si="3"/>
        <v>4358800</v>
      </c>
      <c r="E173" s="49">
        <f>VLOOKUP($A173,'Data shares'!$C:$FA,128)*100</f>
        <v>2.2999999999999998</v>
      </c>
      <c r="F173" s="49">
        <f>VLOOKUP($A173,'Data shares'!$C:$FA,129)</f>
        <v>63500</v>
      </c>
    </row>
    <row r="174" spans="1:6" x14ac:dyDescent="0.25">
      <c r="A174" t="s">
        <v>187</v>
      </c>
      <c r="B174">
        <v>51436398</v>
      </c>
      <c r="C174">
        <v>7413750</v>
      </c>
      <c r="D174" s="17">
        <f t="shared" si="3"/>
        <v>7413750</v>
      </c>
      <c r="E174" s="49">
        <f>VLOOKUP($A174,'Data shares'!$C:$FA,128)*100</f>
        <v>1.6</v>
      </c>
      <c r="F174" s="49">
        <f>VLOOKUP($A174,'Data shares'!$C:$FA,129)</f>
        <v>106500</v>
      </c>
    </row>
    <row r="175" spans="1:6" x14ac:dyDescent="0.25">
      <c r="A175" t="s">
        <v>493</v>
      </c>
      <c r="B175">
        <v>14814614</v>
      </c>
      <c r="C175">
        <v>3344250</v>
      </c>
      <c r="D175" s="17">
        <f t="shared" si="3"/>
        <v>3344250</v>
      </c>
      <c r="E175" s="49">
        <f>VLOOKUP($A175,'Data shares'!$C:$FA,128)*100</f>
        <v>1.1499999999999999</v>
      </c>
      <c r="F175" s="49">
        <f>VLOOKUP($A175,'Data shares'!$C:$FA,129)</f>
        <v>28600</v>
      </c>
    </row>
    <row r="176" spans="1:6" x14ac:dyDescent="0.25">
      <c r="A176" t="s">
        <v>525</v>
      </c>
      <c r="B176">
        <v>35635456</v>
      </c>
      <c r="C176">
        <v>28959300</v>
      </c>
      <c r="D176" s="17">
        <f t="shared" si="3"/>
        <v>28959300</v>
      </c>
      <c r="E176" s="49">
        <f>VLOOKUP($A176,'Data shares'!$C:$FA,128)*100</f>
        <v>1.26</v>
      </c>
      <c r="F176" s="49">
        <f>VLOOKUP($A176,'Data shares'!$C:$FA,129)</f>
        <v>257300</v>
      </c>
    </row>
    <row r="177" spans="1:6" x14ac:dyDescent="0.25">
      <c r="A177" t="s">
        <v>512</v>
      </c>
      <c r="B177">
        <v>7771646</v>
      </c>
      <c r="C177">
        <v>1119375</v>
      </c>
      <c r="D177" s="17">
        <f t="shared" si="3"/>
        <v>1119375</v>
      </c>
      <c r="E177" s="49">
        <f>VLOOKUP($A177,'Data shares'!$C:$FA,128)*100</f>
        <v>9.49</v>
      </c>
      <c r="F177" s="49">
        <f>VLOOKUP($A177,'Data shares'!$C:$FA,129)</f>
        <v>253050</v>
      </c>
    </row>
    <row r="178" spans="1:6" x14ac:dyDescent="0.25">
      <c r="A178" t="s">
        <v>233</v>
      </c>
      <c r="B178">
        <v>76432837</v>
      </c>
      <c r="C178">
        <v>9804000</v>
      </c>
      <c r="D178" s="17">
        <f t="shared" si="3"/>
        <v>9804000</v>
      </c>
      <c r="E178" s="49">
        <f>VLOOKUP($A178,'Data shares'!$C:$FA,128)*100</f>
        <v>0.91999999999999993</v>
      </c>
      <c r="F178" s="49">
        <f>VLOOKUP($A178,'Data shares'!$C:$FA,129)</f>
        <v>125800</v>
      </c>
    </row>
    <row r="179" spans="1:6" x14ac:dyDescent="0.25">
      <c r="A179" t="s">
        <v>183</v>
      </c>
      <c r="B179">
        <v>12092405</v>
      </c>
      <c r="C179">
        <v>2606450</v>
      </c>
      <c r="D179" s="17">
        <f t="shared" si="3"/>
        <v>2606450</v>
      </c>
      <c r="E179" s="49">
        <f>VLOOKUP($A179,'Data shares'!$C:$FA,128)*100</f>
        <v>15.989999999999998</v>
      </c>
      <c r="F179" s="49">
        <f>VLOOKUP($A179,'Data shares'!$C:$FA,129)</f>
        <v>376380</v>
      </c>
    </row>
    <row r="180" spans="1:6" x14ac:dyDescent="0.25">
      <c r="A180" t="s">
        <v>280</v>
      </c>
      <c r="B180">
        <v>187084550</v>
      </c>
      <c r="C180">
        <v>50568000</v>
      </c>
      <c r="D180" s="17">
        <f t="shared" si="3"/>
        <v>50568000</v>
      </c>
      <c r="E180" s="49">
        <f>VLOOKUP($A180,'Data shares'!$C:$FA,128)*100</f>
        <v>6.97</v>
      </c>
      <c r="F180" s="49">
        <f>VLOOKUP($A180,'Data shares'!$C:$FA,129)</f>
        <v>4716600</v>
      </c>
    </row>
    <row r="181" spans="1:6" x14ac:dyDescent="0.25">
      <c r="A181" t="s">
        <v>166</v>
      </c>
      <c r="B181">
        <v>79597108</v>
      </c>
      <c r="C181">
        <v>26630000</v>
      </c>
      <c r="D181" s="17">
        <f t="shared" si="3"/>
        <v>26630000</v>
      </c>
      <c r="E181" s="49">
        <f>VLOOKUP($A181,'Data shares'!$C:$FA,128)*100</f>
        <v>3.3099999999999996</v>
      </c>
      <c r="F181" s="49">
        <f>VLOOKUP($A181,'Data shares'!$C:$FA,129)</f>
        <v>81625</v>
      </c>
    </row>
    <row r="182" spans="1:6" x14ac:dyDescent="0.25">
      <c r="A182" t="s">
        <v>241</v>
      </c>
      <c r="B182">
        <v>913205148</v>
      </c>
      <c r="C182">
        <v>118527500</v>
      </c>
      <c r="D182" s="17">
        <f t="shared" si="3"/>
        <v>118527500</v>
      </c>
      <c r="E182" s="49">
        <f>VLOOKUP($A182,'Data shares'!$C:$FA,128)*100</f>
        <v>3.66</v>
      </c>
      <c r="F182" s="49">
        <f>VLOOKUP($A182,'Data shares'!$C:$FA,129)</f>
        <v>3783000</v>
      </c>
    </row>
    <row r="183" spans="1:6" x14ac:dyDescent="0.25">
      <c r="A183" t="s">
        <v>517</v>
      </c>
      <c r="B183">
        <v>10180563</v>
      </c>
      <c r="C183">
        <v>3926650</v>
      </c>
      <c r="D183" s="17">
        <f t="shared" si="3"/>
        <v>3926650</v>
      </c>
      <c r="E183" s="49">
        <f>VLOOKUP($A183,'Data shares'!$C:$FA,128)*100</f>
        <v>2.75</v>
      </c>
      <c r="F183" s="49">
        <f>VLOOKUP($A183,'Data shares'!$C:$FA,129)</f>
        <v>336875</v>
      </c>
    </row>
    <row r="184" spans="1:6" x14ac:dyDescent="0.25">
      <c r="A184" t="s">
        <v>211</v>
      </c>
      <c r="B184">
        <v>91809066</v>
      </c>
      <c r="C184">
        <v>33516000</v>
      </c>
      <c r="D184" s="17">
        <f t="shared" si="3"/>
        <v>33516000</v>
      </c>
      <c r="E184" s="49">
        <f>VLOOKUP($A184,'Data shares'!$C:$FA,128)*100</f>
        <v>5.67</v>
      </c>
      <c r="F184" s="49">
        <f>VLOOKUP($A184,'Data shares'!$C:$FA,129)</f>
        <v>1308600</v>
      </c>
    </row>
    <row r="185" spans="1:6" x14ac:dyDescent="0.25">
      <c r="A185" t="s">
        <v>518</v>
      </c>
      <c r="B185">
        <v>4636018</v>
      </c>
      <c r="C185">
        <v>608375</v>
      </c>
      <c r="D185" s="17">
        <f t="shared" si="3"/>
        <v>608375</v>
      </c>
      <c r="E185" s="49">
        <f>VLOOKUP($A185,'Data shares'!$C:$FA,128)*100</f>
        <v>3.42</v>
      </c>
      <c r="F185" s="49">
        <f>VLOOKUP($A185,'Data shares'!$C:$FA,129)</f>
        <v>41700</v>
      </c>
    </row>
    <row r="186" spans="1:6" x14ac:dyDescent="0.25">
      <c r="A186" t="s">
        <v>511</v>
      </c>
      <c r="B186">
        <v>18644752</v>
      </c>
      <c r="C186">
        <v>4227600</v>
      </c>
      <c r="D186" s="17">
        <f t="shared" si="3"/>
        <v>4227600</v>
      </c>
      <c r="E186" s="49">
        <f>VLOOKUP($A186,'Data shares'!$C:$FA,128)*100</f>
        <v>4.37</v>
      </c>
      <c r="F186" s="49">
        <f>VLOOKUP($A186,'Data shares'!$C:$FA,129)</f>
        <v>7580250</v>
      </c>
    </row>
    <row r="187" spans="1:6" x14ac:dyDescent="0.25">
      <c r="A187" t="s">
        <v>186</v>
      </c>
      <c r="B187">
        <v>48589957</v>
      </c>
      <c r="C187">
        <v>5942200</v>
      </c>
      <c r="D187" s="17">
        <f t="shared" si="3"/>
        <v>5942200</v>
      </c>
      <c r="E187" s="49">
        <f>VLOOKUP($A187,'Data shares'!$C:$FA,128)*100</f>
        <v>8.5</v>
      </c>
      <c r="F187" s="49">
        <f>VLOOKUP($A187,'Data shares'!$C:$FA,129)</f>
        <v>8159550</v>
      </c>
    </row>
    <row r="188" spans="1:6" x14ac:dyDescent="0.25">
      <c r="A188" t="s">
        <v>522</v>
      </c>
      <c r="B188">
        <v>1063050</v>
      </c>
      <c r="C188">
        <v>54050</v>
      </c>
      <c r="D188" s="17">
        <f t="shared" si="3"/>
        <v>54050</v>
      </c>
      <c r="E188" s="49">
        <f>VLOOKUP($A188,'Data shares'!$C:$FA,128)*100</f>
        <v>3.4299999999999997</v>
      </c>
      <c r="F188" s="49">
        <f>VLOOKUP($A188,'Data shares'!$C:$FA,129)</f>
        <v>67750</v>
      </c>
    </row>
    <row r="189" spans="1:6" x14ac:dyDescent="0.25">
      <c r="A189" t="s">
        <v>300</v>
      </c>
      <c r="B189">
        <v>45360865</v>
      </c>
      <c r="C189">
        <v>14277200</v>
      </c>
      <c r="D189" s="17">
        <f t="shared" si="3"/>
        <v>14277200</v>
      </c>
      <c r="E189" s="49">
        <f>VLOOKUP($A189,'Data shares'!$C:$FA,128)*100</f>
        <v>1.6500000000000001</v>
      </c>
      <c r="F189" s="49">
        <f>VLOOKUP($A189,'Data shares'!$C:$FA,129)</f>
        <v>111825</v>
      </c>
    </row>
    <row r="190" spans="1:6" x14ac:dyDescent="0.25">
      <c r="A190" t="s">
        <v>520</v>
      </c>
      <c r="B190">
        <v>23139622</v>
      </c>
      <c r="C190">
        <v>1555500</v>
      </c>
      <c r="D190" s="17">
        <f t="shared" si="3"/>
        <v>1555500</v>
      </c>
      <c r="E190" s="49">
        <f>VLOOKUP($A190,'Data shares'!$C:$FA,128)*100</f>
        <v>2.0099999999999998</v>
      </c>
      <c r="F190" s="49">
        <f>VLOOKUP($A190,'Data shares'!$C:$FA,129)</f>
        <v>908700</v>
      </c>
    </row>
    <row r="191" spans="1:6" x14ac:dyDescent="0.25">
      <c r="A191" t="s">
        <v>294</v>
      </c>
      <c r="B191">
        <v>161436977</v>
      </c>
      <c r="C191">
        <v>59382700</v>
      </c>
      <c r="D191" s="17">
        <f t="shared" si="3"/>
        <v>59382700</v>
      </c>
      <c r="E191" s="49">
        <f>VLOOKUP($A191,'Data shares'!$C:$FA,128)*100</f>
        <v>10.95</v>
      </c>
      <c r="F191" s="49">
        <f>VLOOKUP($A191,'Data shares'!$C:$FA,129)</f>
        <v>17462500</v>
      </c>
    </row>
    <row r="192" spans="1:6" x14ac:dyDescent="0.25">
      <c r="A192" t="s">
        <v>244</v>
      </c>
      <c r="B192">
        <v>265685393</v>
      </c>
      <c r="C192">
        <v>44023500</v>
      </c>
      <c r="D192" s="17">
        <f t="shared" si="3"/>
        <v>44023500</v>
      </c>
      <c r="E192" s="49">
        <f>VLOOKUP($A192,'Data shares'!$C:$FA,128)*100</f>
        <v>8.5599999999999987</v>
      </c>
      <c r="F192" s="49">
        <f>VLOOKUP($A192,'Data shares'!$C:$FA,129)</f>
        <v>4280850</v>
      </c>
    </row>
    <row r="193" spans="1:6" x14ac:dyDescent="0.25">
      <c r="A193" t="s">
        <v>160</v>
      </c>
      <c r="B193">
        <v>145684825</v>
      </c>
      <c r="C193">
        <v>110820000</v>
      </c>
      <c r="D193" s="17">
        <f t="shared" si="3"/>
        <v>110820000</v>
      </c>
      <c r="E193" s="49">
        <f>VLOOKUP($A193,'Data shares'!$C:$FA,128)*100</f>
        <v>9.5299999999999994</v>
      </c>
      <c r="F193" s="49">
        <f>VLOOKUP($A193,'Data shares'!$C:$FA,129)</f>
        <v>1896675</v>
      </c>
    </row>
    <row r="194" spans="1:6" x14ac:dyDescent="0.25">
      <c r="A194" t="s">
        <v>496</v>
      </c>
      <c r="B194">
        <v>11999202</v>
      </c>
      <c r="C194">
        <v>2345700</v>
      </c>
      <c r="D194" s="17">
        <f t="shared" si="3"/>
        <v>2345700</v>
      </c>
      <c r="E194" s="49">
        <f>VLOOKUP($A194,'Data shares'!$C:$FA,128)*100</f>
        <v>1.3599999999999999</v>
      </c>
      <c r="F194" s="49">
        <f>VLOOKUP($A194,'Data shares'!$C:$FA,129)</f>
        <v>62650</v>
      </c>
    </row>
    <row r="195" spans="1:6" x14ac:dyDescent="0.25">
      <c r="A195" t="s">
        <v>230</v>
      </c>
      <c r="B195">
        <v>179034270</v>
      </c>
      <c r="C195">
        <v>24257400</v>
      </c>
      <c r="D195" s="17">
        <f t="shared" si="3"/>
        <v>24257400</v>
      </c>
      <c r="E195" s="49">
        <f>VLOOKUP($A195,'Data shares'!$C:$FA,128)*100</f>
        <v>4.16</v>
      </c>
      <c r="F195" s="49">
        <f>VLOOKUP($A195,'Data shares'!$C:$FA,129)</f>
        <v>668400</v>
      </c>
    </row>
    <row r="196" spans="1:6" x14ac:dyDescent="0.25">
      <c r="A196" t="s">
        <v>203</v>
      </c>
      <c r="B196">
        <v>27165463</v>
      </c>
      <c r="C196">
        <v>3318000</v>
      </c>
      <c r="D196" s="17">
        <f t="shared" si="3"/>
        <v>3318000</v>
      </c>
      <c r="E196" s="49">
        <f>VLOOKUP($A196,'Data shares'!$C:$FA,128)*100</f>
        <v>1.2</v>
      </c>
      <c r="F196" s="49">
        <f>VLOOKUP($A196,'Data shares'!$C:$FA,129)</f>
        <v>38800</v>
      </c>
    </row>
    <row r="197" spans="1:6" x14ac:dyDescent="0.25">
      <c r="A197" t="s">
        <v>251</v>
      </c>
      <c r="B197">
        <v>184464522</v>
      </c>
      <c r="C197">
        <v>32566800</v>
      </c>
      <c r="D197" s="17">
        <f t="shared" si="3"/>
        <v>32566800</v>
      </c>
      <c r="E197" s="49">
        <f>VLOOKUP($A197,'Data shares'!$C:$FA,128)*100</f>
        <v>14.530000000000001</v>
      </c>
      <c r="F197" s="49">
        <f>VLOOKUP($A197,'Data shares'!$C:$FA,129)</f>
        <v>2846200</v>
      </c>
    </row>
    <row r="198" spans="1:6" x14ac:dyDescent="0.25">
      <c r="A198" t="s">
        <v>254</v>
      </c>
      <c r="B198">
        <v>104419539</v>
      </c>
      <c r="C198">
        <v>12741000</v>
      </c>
      <c r="D198" s="17">
        <f t="shared" si="3"/>
        <v>12741000</v>
      </c>
      <c r="E198" s="49">
        <f>VLOOKUP($A198,'Data shares'!$C:$FA,128)*100</f>
        <v>0.49</v>
      </c>
      <c r="F198" s="49">
        <f>VLOOKUP($A198,'Data shares'!$C:$FA,129)</f>
        <v>115200</v>
      </c>
    </row>
    <row r="199" spans="1:6" x14ac:dyDescent="0.25">
      <c r="A199" t="s">
        <v>159</v>
      </c>
      <c r="B199">
        <v>55169320</v>
      </c>
      <c r="C199">
        <v>29565500</v>
      </c>
      <c r="D199" s="17">
        <f t="shared" si="3"/>
        <v>29565500</v>
      </c>
      <c r="E199" s="49">
        <f>VLOOKUP($A199,'Data shares'!$C:$FA,128)*100</f>
        <v>4.38</v>
      </c>
      <c r="F199" s="49">
        <f>VLOOKUP($A199,'Data shares'!$C:$FA,129)</f>
        <v>656934</v>
      </c>
    </row>
    <row r="200" spans="1:6" x14ac:dyDescent="0.25">
      <c r="A200" t="s">
        <v>201</v>
      </c>
      <c r="B200">
        <v>26654592</v>
      </c>
      <c r="C200">
        <v>3469200</v>
      </c>
      <c r="D200" s="17">
        <f t="shared" si="3"/>
        <v>3469200</v>
      </c>
      <c r="E200" s="49">
        <f>VLOOKUP($A200,'Data shares'!$C:$FA,128)*100</f>
        <v>4.5600000000000005</v>
      </c>
      <c r="F200" s="49">
        <f>VLOOKUP($A200,'Data shares'!$C:$FA,129)</f>
        <v>293850</v>
      </c>
    </row>
    <row r="201" spans="1:6" x14ac:dyDescent="0.25">
      <c r="A201" t="s">
        <v>199</v>
      </c>
      <c r="B201">
        <v>102562642</v>
      </c>
      <c r="C201">
        <v>20641400</v>
      </c>
      <c r="D201" s="17">
        <f t="shared" si="3"/>
        <v>20641400</v>
      </c>
      <c r="E201" s="49">
        <f>VLOOKUP($A201,'Data shares'!$C:$FA,128)*100</f>
        <v>8.4599999999999991</v>
      </c>
      <c r="F201" s="49">
        <f>VLOOKUP($A201,'Data shares'!$C:$FA,129)</f>
        <v>1239000</v>
      </c>
    </row>
    <row r="202" spans="1:6" x14ac:dyDescent="0.25">
      <c r="A202" t="s">
        <v>296</v>
      </c>
      <c r="B202">
        <v>124861039</v>
      </c>
      <c r="C202">
        <v>20543400</v>
      </c>
      <c r="D202" s="17">
        <f t="shared" si="3"/>
        <v>20543400</v>
      </c>
      <c r="E202" s="49">
        <f>VLOOKUP($A202,'Data shares'!$C:$FA,128)*100</f>
        <v>2.0699999999999998</v>
      </c>
      <c r="F202" s="49">
        <f>VLOOKUP($A202,'Data shares'!$C:$FA,129)</f>
        <v>374400</v>
      </c>
    </row>
    <row r="203" spans="1:6" x14ac:dyDescent="0.25">
      <c r="A203" t="s">
        <v>229</v>
      </c>
      <c r="B203">
        <v>127940594</v>
      </c>
      <c r="C203">
        <v>33552900</v>
      </c>
      <c r="D203" s="17">
        <f t="shared" si="3"/>
        <v>33552900</v>
      </c>
      <c r="E203" s="49">
        <f>VLOOKUP($A203,'Data shares'!$C:$FA,128)*100</f>
        <v>2.4500000000000002</v>
      </c>
      <c r="F203" s="49">
        <f>VLOOKUP($A203,'Data shares'!$C:$FA,129)</f>
        <v>1069200</v>
      </c>
    </row>
    <row r="204" spans="1:6" x14ac:dyDescent="0.25">
      <c r="A204" t="s">
        <v>497</v>
      </c>
      <c r="B204">
        <v>10251929</v>
      </c>
      <c r="C204">
        <v>266200</v>
      </c>
      <c r="D204" s="17">
        <f t="shared" si="3"/>
        <v>266200</v>
      </c>
      <c r="E204" s="49">
        <f>VLOOKUP($A204,'Data shares'!$C:$FA,128)*100</f>
        <v>0.69</v>
      </c>
      <c r="F204" s="49">
        <f>VLOOKUP($A204,'Data shares'!$C:$FA,129)</f>
        <v>5500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0" sqref="F10"/>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I11" sqref="I11"/>
    </sheetView>
  </sheetViews>
  <sheetFormatPr defaultRowHeight="15" x14ac:dyDescent="0.25"/>
  <cols>
    <col min="1" max="1" width="12.1406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7" width="13.140625" bestFit="1" customWidth="1"/>
    <col min="88" max="88" width="12.85546875" bestFit="1" customWidth="1"/>
    <col min="89" max="89" width="11.5703125" bestFit="1" customWidth="1"/>
    <col min="90" max="90" width="10.42578125" bestFit="1" customWidth="1"/>
    <col min="91" max="92" width="14.285156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46121</v>
      </c>
      <c r="B2" s="227" t="s">
        <v>215</v>
      </c>
      <c r="C2" s="227" t="s">
        <v>159</v>
      </c>
      <c r="D2" s="231">
        <v>2050.8000000000002</v>
      </c>
      <c r="E2" s="231">
        <v>2053.6999999999998</v>
      </c>
      <c r="F2" s="228">
        <v>-2.9</v>
      </c>
      <c r="G2" s="229">
        <v>-1.4E-3</v>
      </c>
      <c r="H2" s="231">
        <v>2040.5</v>
      </c>
      <c r="I2" s="231">
        <v>2043.8</v>
      </c>
      <c r="J2" s="228">
        <v>-3.3</v>
      </c>
      <c r="K2" s="229">
        <v>-1.6000000000000001E-3</v>
      </c>
      <c r="L2" s="231">
        <v>2050.8000000000002</v>
      </c>
      <c r="M2" s="231">
        <v>2053.6999999999998</v>
      </c>
      <c r="N2" s="228">
        <v>-2.9</v>
      </c>
      <c r="O2" s="229">
        <v>-1.4E-3</v>
      </c>
      <c r="P2" s="231">
        <v>2061.6</v>
      </c>
      <c r="Q2" s="231">
        <v>2065</v>
      </c>
      <c r="R2" s="228">
        <v>-3.4</v>
      </c>
      <c r="S2" s="229">
        <v>-1.6000000000000001E-3</v>
      </c>
      <c r="T2" s="231">
        <v>2070.9</v>
      </c>
      <c r="U2" s="231">
        <v>2068.1999999999998</v>
      </c>
      <c r="V2" s="228">
        <v>2.7</v>
      </c>
      <c r="W2" s="229">
        <v>1.2999999999999999E-3</v>
      </c>
      <c r="X2" s="228">
        <v>10.3</v>
      </c>
      <c r="Y2" s="228">
        <v>9.9</v>
      </c>
      <c r="Z2" s="228">
        <v>0.4</v>
      </c>
      <c r="AA2" s="229">
        <v>5.0000000000000001E-3</v>
      </c>
      <c r="AB2" s="228">
        <v>10.3</v>
      </c>
      <c r="AC2" s="228">
        <v>9.9</v>
      </c>
      <c r="AD2" s="228">
        <v>0.4</v>
      </c>
      <c r="AE2" s="229">
        <v>5.0000000000000001E-3</v>
      </c>
      <c r="AF2" s="228">
        <v>21.1</v>
      </c>
      <c r="AG2" s="228">
        <v>21.2</v>
      </c>
      <c r="AH2" s="228">
        <v>-0.1</v>
      </c>
      <c r="AI2" s="229">
        <v>1.03E-2</v>
      </c>
      <c r="AJ2" s="228">
        <v>30.4</v>
      </c>
      <c r="AK2" s="228">
        <v>24.4</v>
      </c>
      <c r="AL2" s="228">
        <v>6</v>
      </c>
      <c r="AM2" s="229">
        <v>1.49E-2</v>
      </c>
      <c r="AN2" s="231">
        <v>2048.2399999999998</v>
      </c>
      <c r="AO2" s="231">
        <v>2058.91</v>
      </c>
      <c r="AP2" s="228">
        <v>0</v>
      </c>
      <c r="AQ2" s="230">
        <v>10947</v>
      </c>
      <c r="AR2" s="230">
        <v>17458</v>
      </c>
      <c r="AS2" s="230">
        <v>-6511</v>
      </c>
      <c r="AT2" s="229">
        <v>-0.373</v>
      </c>
      <c r="AU2" s="230">
        <v>10231</v>
      </c>
      <c r="AV2" s="230">
        <v>16169</v>
      </c>
      <c r="AW2" s="230">
        <v>-5938</v>
      </c>
      <c r="AX2" s="229">
        <v>-0.36720000000000003</v>
      </c>
      <c r="AY2" s="228">
        <v>638</v>
      </c>
      <c r="AZ2" s="230">
        <v>1059</v>
      </c>
      <c r="BA2" s="228">
        <v>-421</v>
      </c>
      <c r="BB2" s="229">
        <v>-0.39750000000000002</v>
      </c>
      <c r="BC2" s="228">
        <v>78</v>
      </c>
      <c r="BD2" s="228">
        <v>230</v>
      </c>
      <c r="BE2" s="228">
        <v>-152</v>
      </c>
      <c r="BF2" s="229">
        <v>-0.66090000000000004</v>
      </c>
      <c r="BG2" s="230">
        <v>23667</v>
      </c>
      <c r="BH2" s="230">
        <v>83852</v>
      </c>
      <c r="BI2" s="230">
        <v>-60185</v>
      </c>
      <c r="BJ2" s="229">
        <v>-0.71779999999999999</v>
      </c>
      <c r="BK2" s="230">
        <v>10229</v>
      </c>
      <c r="BL2" s="230">
        <v>32984</v>
      </c>
      <c r="BM2" s="230">
        <v>-22755</v>
      </c>
      <c r="BN2" s="229">
        <v>-0.68989999999999996</v>
      </c>
      <c r="BO2" s="230">
        <v>44843</v>
      </c>
      <c r="BP2" s="230">
        <v>134294</v>
      </c>
      <c r="BQ2" s="230">
        <v>-89451</v>
      </c>
      <c r="BR2" s="229">
        <v>-0.66610000000000003</v>
      </c>
      <c r="BS2" s="230">
        <v>2634272</v>
      </c>
      <c r="BT2" s="230">
        <v>4414539</v>
      </c>
      <c r="BU2" s="230">
        <v>-1780267</v>
      </c>
      <c r="BV2" s="229">
        <v>-0.40329999999999999</v>
      </c>
      <c r="BW2" s="230">
        <v>16554366</v>
      </c>
      <c r="BX2" s="230">
        <v>16905390</v>
      </c>
      <c r="BY2" s="230">
        <v>-351024</v>
      </c>
      <c r="BZ2" s="229">
        <v>-2.0799999999999999E-2</v>
      </c>
      <c r="CA2" s="230">
        <v>15829143</v>
      </c>
      <c r="CB2" s="230">
        <v>16248456</v>
      </c>
      <c r="CC2" s="230">
        <v>-419313</v>
      </c>
      <c r="CD2" s="229">
        <v>-2.58E-2</v>
      </c>
      <c r="CE2" s="230">
        <v>659406</v>
      </c>
      <c r="CF2" s="230">
        <v>602550</v>
      </c>
      <c r="CG2" s="230">
        <v>56856</v>
      </c>
      <c r="CH2" s="229">
        <v>9.4399999999999998E-2</v>
      </c>
      <c r="CI2" s="230">
        <v>65817</v>
      </c>
      <c r="CJ2" s="230">
        <v>54384</v>
      </c>
      <c r="CK2" s="230">
        <v>11433</v>
      </c>
      <c r="CL2" s="229">
        <v>0.2102</v>
      </c>
      <c r="CM2" s="230">
        <v>6207810</v>
      </c>
      <c r="CN2" s="230">
        <v>6171657</v>
      </c>
      <c r="CO2" s="230">
        <v>36153</v>
      </c>
      <c r="CP2" s="229">
        <v>5.8999999999999999E-3</v>
      </c>
      <c r="CQ2" s="230">
        <v>5464665</v>
      </c>
      <c r="CR2" s="230">
        <v>5256708</v>
      </c>
      <c r="CS2" s="230">
        <v>207957</v>
      </c>
      <c r="CT2" s="229">
        <v>3.9600000000000003E-2</v>
      </c>
      <c r="CU2" s="230">
        <v>28226841</v>
      </c>
      <c r="CV2" s="230">
        <v>28333755</v>
      </c>
      <c r="CW2" s="230">
        <v>-106914</v>
      </c>
      <c r="CX2" s="229">
        <v>-3.8E-3</v>
      </c>
      <c r="CY2" s="228">
        <v>42.32</v>
      </c>
      <c r="CZ2" s="228">
        <v>42.93</v>
      </c>
      <c r="DA2" s="228">
        <v>-0.61</v>
      </c>
      <c r="DB2" s="228">
        <v>-0.61</v>
      </c>
      <c r="DC2" s="228">
        <v>49.95</v>
      </c>
      <c r="DD2" s="228">
        <v>50.07</v>
      </c>
      <c r="DE2" s="228">
        <v>-7.63</v>
      </c>
      <c r="DF2" s="228">
        <v>-0.12</v>
      </c>
      <c r="DG2" s="228">
        <v>41.88</v>
      </c>
      <c r="DH2" s="228">
        <v>42.09</v>
      </c>
      <c r="DI2" s="228">
        <v>-0.21</v>
      </c>
      <c r="DJ2" s="228">
        <v>-0.21</v>
      </c>
      <c r="DK2" s="228">
        <v>43.35</v>
      </c>
      <c r="DL2" s="228">
        <v>45.07</v>
      </c>
      <c r="DM2" s="228">
        <v>-1.72</v>
      </c>
      <c r="DN2" s="228">
        <v>-1.72</v>
      </c>
      <c r="DO2" s="228">
        <v>0.88</v>
      </c>
      <c r="DP2" s="228">
        <v>0.85</v>
      </c>
      <c r="DQ2" s="228">
        <v>0.03</v>
      </c>
      <c r="DR2" s="229">
        <v>3.5299999999999998E-2</v>
      </c>
      <c r="DS2" s="231">
        <v>2100</v>
      </c>
      <c r="DT2" s="231">
        <v>2200</v>
      </c>
      <c r="DU2" s="228">
        <v>0.43</v>
      </c>
      <c r="DV2" s="228">
        <v>0.39</v>
      </c>
      <c r="DW2" s="228">
        <v>0.04</v>
      </c>
      <c r="DX2" s="229">
        <v>0.1026</v>
      </c>
      <c r="DY2" s="229">
        <v>4.3799999999999999E-2</v>
      </c>
      <c r="DZ2" s="230">
        <v>656934</v>
      </c>
      <c r="EA2" s="229">
        <v>5.3E-3</v>
      </c>
      <c r="EB2" s="229">
        <v>4.3799999999999999E-2</v>
      </c>
      <c r="EC2" s="228">
        <v>10.67</v>
      </c>
      <c r="ED2" s="229">
        <v>5.1999999999999998E-3</v>
      </c>
      <c r="EE2" s="230">
        <v>1034795</v>
      </c>
      <c r="EF2" s="230">
        <v>908019</v>
      </c>
      <c r="EG2" s="229">
        <v>0.1396</v>
      </c>
      <c r="EH2" s="229">
        <v>0.39279999999999998</v>
      </c>
      <c r="EI2" s="231">
        <v>161109.51999999999</v>
      </c>
      <c r="EJ2" s="231">
        <v>64579.41</v>
      </c>
      <c r="EK2" s="231">
        <v>69309.95</v>
      </c>
      <c r="EL2" s="231">
        <v>10905</v>
      </c>
      <c r="EM2" s="231">
        <v>294998.88</v>
      </c>
      <c r="EN2" s="231">
        <v>878856.6</v>
      </c>
      <c r="EO2" s="231">
        <v>-583857.72</v>
      </c>
      <c r="EP2" s="229">
        <v>-0.6643</v>
      </c>
      <c r="EQ2" s="231">
        <v>127308</v>
      </c>
      <c r="ER2" s="231">
        <v>107685</v>
      </c>
      <c r="ES2" s="231">
        <v>339581</v>
      </c>
      <c r="ET2" s="231">
        <v>33645895</v>
      </c>
      <c r="EU2" s="231">
        <v>574575</v>
      </c>
      <c r="EV2" s="231">
        <v>577037</v>
      </c>
      <c r="EW2" s="231">
        <v>-2462</v>
      </c>
      <c r="EX2" s="229">
        <v>-4.3E-3</v>
      </c>
      <c r="EY2" s="229">
        <v>0.83889999999999998</v>
      </c>
    </row>
    <row r="3" spans="1:155" ht="17.25" thickBot="1" x14ac:dyDescent="0.3">
      <c r="A3" s="226">
        <v>46121</v>
      </c>
      <c r="B3" s="227" t="s">
        <v>215</v>
      </c>
      <c r="C3" s="227" t="s">
        <v>160</v>
      </c>
      <c r="D3" s="231">
        <v>1452</v>
      </c>
      <c r="E3" s="231">
        <v>1460.5</v>
      </c>
      <c r="F3" s="228">
        <v>-8.5</v>
      </c>
      <c r="G3" s="229">
        <v>-5.7999999999999996E-3</v>
      </c>
      <c r="H3" s="231">
        <v>1447.4</v>
      </c>
      <c r="I3" s="231">
        <v>1453.3</v>
      </c>
      <c r="J3" s="228">
        <v>-5.9</v>
      </c>
      <c r="K3" s="229">
        <v>-4.1000000000000003E-3</v>
      </c>
      <c r="L3" s="231">
        <v>1452</v>
      </c>
      <c r="M3" s="231">
        <v>1460.5</v>
      </c>
      <c r="N3" s="228">
        <v>-8.5</v>
      </c>
      <c r="O3" s="229">
        <v>-5.7999999999999996E-3</v>
      </c>
      <c r="P3" s="231">
        <v>1460</v>
      </c>
      <c r="Q3" s="231">
        <v>1469.1</v>
      </c>
      <c r="R3" s="228">
        <v>-9.1</v>
      </c>
      <c r="S3" s="229">
        <v>-6.1999999999999998E-3</v>
      </c>
      <c r="T3" s="231">
        <v>1462.5</v>
      </c>
      <c r="U3" s="231">
        <v>1475</v>
      </c>
      <c r="V3" s="228">
        <v>-12.5</v>
      </c>
      <c r="W3" s="229">
        <v>-8.5000000000000006E-3</v>
      </c>
      <c r="X3" s="228">
        <v>4.5999999999999996</v>
      </c>
      <c r="Y3" s="228">
        <v>7.2</v>
      </c>
      <c r="Z3" s="228">
        <v>-2.6</v>
      </c>
      <c r="AA3" s="229">
        <v>3.2000000000000002E-3</v>
      </c>
      <c r="AB3" s="228">
        <v>4.5999999999999996</v>
      </c>
      <c r="AC3" s="228">
        <v>7.2</v>
      </c>
      <c r="AD3" s="228">
        <v>-2.6</v>
      </c>
      <c r="AE3" s="229">
        <v>3.2000000000000002E-3</v>
      </c>
      <c r="AF3" s="228">
        <v>12.6</v>
      </c>
      <c r="AG3" s="228">
        <v>15.8</v>
      </c>
      <c r="AH3" s="228">
        <v>-3.2</v>
      </c>
      <c r="AI3" s="229">
        <v>8.6999999999999994E-3</v>
      </c>
      <c r="AJ3" s="228">
        <v>15.1</v>
      </c>
      <c r="AK3" s="228">
        <v>21.7</v>
      </c>
      <c r="AL3" s="228">
        <v>-6.6</v>
      </c>
      <c r="AM3" s="229">
        <v>1.04E-2</v>
      </c>
      <c r="AN3" s="231">
        <v>1447.89</v>
      </c>
      <c r="AO3" s="231">
        <v>1453.11</v>
      </c>
      <c r="AP3" s="228">
        <v>0</v>
      </c>
      <c r="AQ3" s="230">
        <v>7900</v>
      </c>
      <c r="AR3" s="230">
        <v>18450</v>
      </c>
      <c r="AS3" s="230">
        <v>-10550</v>
      </c>
      <c r="AT3" s="229">
        <v>-0.57179999999999997</v>
      </c>
      <c r="AU3" s="230">
        <v>7202</v>
      </c>
      <c r="AV3" s="230">
        <v>17044</v>
      </c>
      <c r="AW3" s="230">
        <v>-9842</v>
      </c>
      <c r="AX3" s="229">
        <v>-0.57740000000000002</v>
      </c>
      <c r="AY3" s="228">
        <v>609</v>
      </c>
      <c r="AZ3" s="230">
        <v>1282</v>
      </c>
      <c r="BA3" s="228">
        <v>-673</v>
      </c>
      <c r="BB3" s="229">
        <v>-0.52500000000000002</v>
      </c>
      <c r="BC3" s="228">
        <v>89</v>
      </c>
      <c r="BD3" s="228">
        <v>124</v>
      </c>
      <c r="BE3" s="228">
        <v>-35</v>
      </c>
      <c r="BF3" s="229">
        <v>-0.2823</v>
      </c>
      <c r="BG3" s="230">
        <v>21973</v>
      </c>
      <c r="BH3" s="230">
        <v>93242</v>
      </c>
      <c r="BI3" s="230">
        <v>-71269</v>
      </c>
      <c r="BJ3" s="229">
        <v>-0.76429999999999998</v>
      </c>
      <c r="BK3" s="230">
        <v>13570</v>
      </c>
      <c r="BL3" s="230">
        <v>45283</v>
      </c>
      <c r="BM3" s="230">
        <v>-31713</v>
      </c>
      <c r="BN3" s="229">
        <v>-0.70030000000000003</v>
      </c>
      <c r="BO3" s="230">
        <v>43443</v>
      </c>
      <c r="BP3" s="230">
        <v>156975</v>
      </c>
      <c r="BQ3" s="230">
        <v>-113532</v>
      </c>
      <c r="BR3" s="229">
        <v>-0.72319999999999995</v>
      </c>
      <c r="BS3" s="230">
        <v>3409619</v>
      </c>
      <c r="BT3" s="230">
        <v>7935925</v>
      </c>
      <c r="BU3" s="230">
        <v>-4526306</v>
      </c>
      <c r="BV3" s="229">
        <v>-0.57040000000000002</v>
      </c>
      <c r="BW3" s="230">
        <v>20925175</v>
      </c>
      <c r="BX3" s="230">
        <v>20828275</v>
      </c>
      <c r="BY3" s="230">
        <v>96900</v>
      </c>
      <c r="BZ3" s="229">
        <v>4.7000000000000002E-3</v>
      </c>
      <c r="CA3" s="230">
        <v>18930650</v>
      </c>
      <c r="CB3" s="230">
        <v>18931600</v>
      </c>
      <c r="CC3" s="228">
        <v>-950</v>
      </c>
      <c r="CD3" s="229">
        <v>-1E-4</v>
      </c>
      <c r="CE3" s="230">
        <v>1880050</v>
      </c>
      <c r="CF3" s="230">
        <v>1786950</v>
      </c>
      <c r="CG3" s="230">
        <v>93100</v>
      </c>
      <c r="CH3" s="229">
        <v>5.21E-2</v>
      </c>
      <c r="CI3" s="230">
        <v>114475</v>
      </c>
      <c r="CJ3" s="230">
        <v>109725</v>
      </c>
      <c r="CK3" s="230">
        <v>4750</v>
      </c>
      <c r="CL3" s="229">
        <v>4.3299999999999998E-2</v>
      </c>
      <c r="CM3" s="230">
        <v>8843550</v>
      </c>
      <c r="CN3" s="230">
        <v>9096250</v>
      </c>
      <c r="CO3" s="230">
        <v>-252700</v>
      </c>
      <c r="CP3" s="229">
        <v>-2.7799999999999998E-2</v>
      </c>
      <c r="CQ3" s="230">
        <v>5611175</v>
      </c>
      <c r="CR3" s="230">
        <v>5187475</v>
      </c>
      <c r="CS3" s="230">
        <v>423700</v>
      </c>
      <c r="CT3" s="229">
        <v>8.1699999999999995E-2</v>
      </c>
      <c r="CU3" s="230">
        <v>35379900</v>
      </c>
      <c r="CV3" s="230">
        <v>35112000</v>
      </c>
      <c r="CW3" s="230">
        <v>267900</v>
      </c>
      <c r="CX3" s="229">
        <v>7.6E-3</v>
      </c>
      <c r="CY3" s="228">
        <v>36.700000000000003</v>
      </c>
      <c r="CZ3" s="228">
        <v>37.36</v>
      </c>
      <c r="DA3" s="228">
        <v>-0.66</v>
      </c>
      <c r="DB3" s="228">
        <v>-0.66</v>
      </c>
      <c r="DC3" s="228">
        <v>40.299999999999997</v>
      </c>
      <c r="DD3" s="228">
        <v>40.39</v>
      </c>
      <c r="DE3" s="228">
        <v>-3.6</v>
      </c>
      <c r="DF3" s="228">
        <v>-0.09</v>
      </c>
      <c r="DG3" s="228">
        <v>35.630000000000003</v>
      </c>
      <c r="DH3" s="228">
        <v>35.14</v>
      </c>
      <c r="DI3" s="228">
        <v>0.49</v>
      </c>
      <c r="DJ3" s="228">
        <v>0.49</v>
      </c>
      <c r="DK3" s="228">
        <v>38.44</v>
      </c>
      <c r="DL3" s="228">
        <v>41.92</v>
      </c>
      <c r="DM3" s="228">
        <v>-3.48</v>
      </c>
      <c r="DN3" s="228">
        <v>-3.48</v>
      </c>
      <c r="DO3" s="228">
        <v>0.63</v>
      </c>
      <c r="DP3" s="228">
        <v>0.56999999999999995</v>
      </c>
      <c r="DQ3" s="228">
        <v>0.06</v>
      </c>
      <c r="DR3" s="229">
        <v>0.1053</v>
      </c>
      <c r="DS3" s="231">
        <v>1500</v>
      </c>
      <c r="DT3" s="231">
        <v>1400</v>
      </c>
      <c r="DU3" s="228">
        <v>0.62</v>
      </c>
      <c r="DV3" s="228">
        <v>0.49</v>
      </c>
      <c r="DW3" s="228">
        <v>0.13</v>
      </c>
      <c r="DX3" s="229">
        <v>0.26529999999999998</v>
      </c>
      <c r="DY3" s="229">
        <v>9.5299999999999996E-2</v>
      </c>
      <c r="DZ3" s="230">
        <v>1896675</v>
      </c>
      <c r="EA3" s="229">
        <v>5.4999999999999997E-3</v>
      </c>
      <c r="EB3" s="229">
        <v>9.5299999999999996E-2</v>
      </c>
      <c r="EC3" s="228">
        <v>5.22</v>
      </c>
      <c r="ED3" s="229">
        <v>3.5999999999999999E-3</v>
      </c>
      <c r="EE3" s="230">
        <v>1217611</v>
      </c>
      <c r="EF3" s="230">
        <v>2637622</v>
      </c>
      <c r="EG3" s="229">
        <v>-0.53839999999999999</v>
      </c>
      <c r="EH3" s="229">
        <v>0.35709999999999997</v>
      </c>
      <c r="EI3" s="231">
        <v>160049.99</v>
      </c>
      <c r="EJ3" s="231">
        <v>91947.97</v>
      </c>
      <c r="EK3" s="231">
        <v>54351.519999999997</v>
      </c>
      <c r="EL3" s="231">
        <v>9367</v>
      </c>
      <c r="EM3" s="231">
        <v>306349.48</v>
      </c>
      <c r="EN3" s="231">
        <v>1117080.1200000001</v>
      </c>
      <c r="EO3" s="231">
        <v>-810730.64</v>
      </c>
      <c r="EP3" s="229">
        <v>-0.7258</v>
      </c>
      <c r="EQ3" s="231">
        <v>131693</v>
      </c>
      <c r="ER3" s="231">
        <v>77235</v>
      </c>
      <c r="ES3" s="231">
        <v>303996</v>
      </c>
      <c r="ET3" s="231">
        <v>88142691</v>
      </c>
      <c r="EU3" s="231">
        <v>512923</v>
      </c>
      <c r="EV3" s="231">
        <v>511243</v>
      </c>
      <c r="EW3" s="231">
        <v>1680</v>
      </c>
      <c r="EX3" s="229">
        <v>3.3E-3</v>
      </c>
      <c r="EY3" s="229">
        <v>0.40139999999999998</v>
      </c>
    </row>
    <row r="4" spans="1:155" ht="17.25" thickBot="1" x14ac:dyDescent="0.3">
      <c r="A4" s="226">
        <v>46121</v>
      </c>
      <c r="B4" s="227" t="s">
        <v>170</v>
      </c>
      <c r="C4" s="227" t="s">
        <v>165</v>
      </c>
      <c r="D4" s="231">
        <v>7495</v>
      </c>
      <c r="E4" s="231">
        <v>7417</v>
      </c>
      <c r="F4" s="228">
        <v>78</v>
      </c>
      <c r="G4" s="229">
        <v>1.0500000000000001E-2</v>
      </c>
      <c r="H4" s="231">
        <v>7481.5</v>
      </c>
      <c r="I4" s="231">
        <v>7401.5</v>
      </c>
      <c r="J4" s="228">
        <v>80</v>
      </c>
      <c r="K4" s="229">
        <v>1.0800000000000001E-2</v>
      </c>
      <c r="L4" s="231">
        <v>7495</v>
      </c>
      <c r="M4" s="231">
        <v>7417</v>
      </c>
      <c r="N4" s="228">
        <v>78</v>
      </c>
      <c r="O4" s="229">
        <v>1.0500000000000001E-2</v>
      </c>
      <c r="P4" s="231">
        <v>7533.5</v>
      </c>
      <c r="Q4" s="231">
        <v>7466</v>
      </c>
      <c r="R4" s="228">
        <v>67.5</v>
      </c>
      <c r="S4" s="229">
        <v>8.9999999999999993E-3</v>
      </c>
      <c r="T4" s="231">
        <v>7610</v>
      </c>
      <c r="U4" s="231">
        <v>7513</v>
      </c>
      <c r="V4" s="228">
        <v>97</v>
      </c>
      <c r="W4" s="229">
        <v>1.29E-2</v>
      </c>
      <c r="X4" s="228">
        <v>13.5</v>
      </c>
      <c r="Y4" s="228">
        <v>15.5</v>
      </c>
      <c r="Z4" s="228">
        <v>-2</v>
      </c>
      <c r="AA4" s="229">
        <v>1.8E-3</v>
      </c>
      <c r="AB4" s="228">
        <v>13.5</v>
      </c>
      <c r="AC4" s="228">
        <v>15.5</v>
      </c>
      <c r="AD4" s="228">
        <v>-2</v>
      </c>
      <c r="AE4" s="229">
        <v>1.8E-3</v>
      </c>
      <c r="AF4" s="228">
        <v>52</v>
      </c>
      <c r="AG4" s="228">
        <v>64.5</v>
      </c>
      <c r="AH4" s="228">
        <v>-12.5</v>
      </c>
      <c r="AI4" s="229">
        <v>7.0000000000000001E-3</v>
      </c>
      <c r="AJ4" s="228">
        <v>128.5</v>
      </c>
      <c r="AK4" s="228">
        <v>111.5</v>
      </c>
      <c r="AL4" s="228">
        <v>17</v>
      </c>
      <c r="AM4" s="229">
        <v>1.72E-2</v>
      </c>
      <c r="AN4" s="231">
        <v>7490.16</v>
      </c>
      <c r="AO4" s="231">
        <v>7533.75</v>
      </c>
      <c r="AP4" s="228">
        <v>0</v>
      </c>
      <c r="AQ4" s="230">
        <v>3304</v>
      </c>
      <c r="AR4" s="230">
        <v>4875</v>
      </c>
      <c r="AS4" s="230">
        <v>-1571</v>
      </c>
      <c r="AT4" s="229">
        <v>-0.32229999999999998</v>
      </c>
      <c r="AU4" s="230">
        <v>3119</v>
      </c>
      <c r="AV4" s="230">
        <v>4623</v>
      </c>
      <c r="AW4" s="230">
        <v>-1504</v>
      </c>
      <c r="AX4" s="229">
        <v>-0.32529999999999998</v>
      </c>
      <c r="AY4" s="228">
        <v>178</v>
      </c>
      <c r="AZ4" s="228">
        <v>245</v>
      </c>
      <c r="BA4" s="228">
        <v>-67</v>
      </c>
      <c r="BB4" s="229">
        <v>-0.27350000000000002</v>
      </c>
      <c r="BC4" s="228">
        <v>7</v>
      </c>
      <c r="BD4" s="228">
        <v>7</v>
      </c>
      <c r="BE4" s="228">
        <v>0</v>
      </c>
      <c r="BF4" s="229">
        <v>0</v>
      </c>
      <c r="BG4" s="230">
        <v>16150</v>
      </c>
      <c r="BH4" s="230">
        <v>14500</v>
      </c>
      <c r="BI4" s="230">
        <v>1650</v>
      </c>
      <c r="BJ4" s="229">
        <v>0.1138</v>
      </c>
      <c r="BK4" s="230">
        <v>5508</v>
      </c>
      <c r="BL4" s="230">
        <v>6522</v>
      </c>
      <c r="BM4" s="230">
        <v>-1014</v>
      </c>
      <c r="BN4" s="229">
        <v>-0.1555</v>
      </c>
      <c r="BO4" s="230">
        <v>24962</v>
      </c>
      <c r="BP4" s="230">
        <v>25897</v>
      </c>
      <c r="BQ4" s="228">
        <v>-935</v>
      </c>
      <c r="BR4" s="229">
        <v>-3.61E-2</v>
      </c>
      <c r="BS4" s="230">
        <v>422370</v>
      </c>
      <c r="BT4" s="230">
        <v>394465</v>
      </c>
      <c r="BU4" s="230">
        <v>27905</v>
      </c>
      <c r="BV4" s="229">
        <v>7.0699999999999999E-2</v>
      </c>
      <c r="BW4" s="230">
        <v>2514250</v>
      </c>
      <c r="BX4" s="230">
        <v>2534125</v>
      </c>
      <c r="BY4" s="230">
        <v>-19875</v>
      </c>
      <c r="BZ4" s="229">
        <v>-7.7999999999999996E-3</v>
      </c>
      <c r="CA4" s="230">
        <v>2431000</v>
      </c>
      <c r="CB4" s="230">
        <v>2452500</v>
      </c>
      <c r="CC4" s="230">
        <v>-21500</v>
      </c>
      <c r="CD4" s="229">
        <v>-8.8000000000000005E-3</v>
      </c>
      <c r="CE4" s="230">
        <v>72625</v>
      </c>
      <c r="CF4" s="230">
        <v>70500</v>
      </c>
      <c r="CG4" s="230">
        <v>2125</v>
      </c>
      <c r="CH4" s="229">
        <v>3.0099999999999998E-2</v>
      </c>
      <c r="CI4" s="230">
        <v>10625</v>
      </c>
      <c r="CJ4" s="230">
        <v>11125</v>
      </c>
      <c r="CK4" s="228">
        <v>-500</v>
      </c>
      <c r="CL4" s="229">
        <v>-4.4900000000000002E-2</v>
      </c>
      <c r="CM4" s="230">
        <v>697500</v>
      </c>
      <c r="CN4" s="230">
        <v>679500</v>
      </c>
      <c r="CO4" s="230">
        <v>18000</v>
      </c>
      <c r="CP4" s="229">
        <v>2.6499999999999999E-2</v>
      </c>
      <c r="CQ4" s="230">
        <v>640875</v>
      </c>
      <c r="CR4" s="230">
        <v>641875</v>
      </c>
      <c r="CS4" s="230">
        <v>-1000</v>
      </c>
      <c r="CT4" s="229">
        <v>-1.6000000000000001E-3</v>
      </c>
      <c r="CU4" s="230">
        <v>3852625</v>
      </c>
      <c r="CV4" s="230">
        <v>3855500</v>
      </c>
      <c r="CW4" s="230">
        <v>-2875</v>
      </c>
      <c r="CX4" s="229">
        <v>-6.9999999999999999E-4</v>
      </c>
      <c r="CY4" s="228">
        <v>25.37</v>
      </c>
      <c r="CZ4" s="228">
        <v>25.91</v>
      </c>
      <c r="DA4" s="228">
        <v>-0.54</v>
      </c>
      <c r="DB4" s="228">
        <v>-0.54</v>
      </c>
      <c r="DC4" s="228">
        <v>25.26</v>
      </c>
      <c r="DD4" s="228">
        <v>25.28</v>
      </c>
      <c r="DE4" s="228">
        <v>0.11</v>
      </c>
      <c r="DF4" s="228">
        <v>-0.02</v>
      </c>
      <c r="DG4" s="228">
        <v>25.02</v>
      </c>
      <c r="DH4" s="228">
        <v>25.68</v>
      </c>
      <c r="DI4" s="228">
        <v>-0.66</v>
      </c>
      <c r="DJ4" s="228">
        <v>-0.66</v>
      </c>
      <c r="DK4" s="228">
        <v>26.38</v>
      </c>
      <c r="DL4" s="228">
        <v>26.4</v>
      </c>
      <c r="DM4" s="228">
        <v>-0.02</v>
      </c>
      <c r="DN4" s="228">
        <v>-0.02</v>
      </c>
      <c r="DO4" s="228">
        <v>0.92</v>
      </c>
      <c r="DP4" s="228">
        <v>0.94</v>
      </c>
      <c r="DQ4" s="228">
        <v>-0.02</v>
      </c>
      <c r="DR4" s="229">
        <v>-2.1299999999999999E-2</v>
      </c>
      <c r="DS4" s="231">
        <v>7500</v>
      </c>
      <c r="DT4" s="231">
        <v>6700</v>
      </c>
      <c r="DU4" s="228">
        <v>0.34</v>
      </c>
      <c r="DV4" s="228">
        <v>0.45</v>
      </c>
      <c r="DW4" s="228">
        <v>-0.11</v>
      </c>
      <c r="DX4" s="229">
        <v>-0.24440000000000001</v>
      </c>
      <c r="DY4" s="229">
        <v>3.3099999999999997E-2</v>
      </c>
      <c r="DZ4" s="230">
        <v>81625</v>
      </c>
      <c r="EA4" s="229">
        <v>5.1000000000000004E-3</v>
      </c>
      <c r="EB4" s="229">
        <v>3.3099999999999997E-2</v>
      </c>
      <c r="EC4" s="228">
        <v>43.59</v>
      </c>
      <c r="ED4" s="229">
        <v>5.7999999999999996E-3</v>
      </c>
      <c r="EE4" s="230">
        <v>236672</v>
      </c>
      <c r="EF4" s="230">
        <v>209772</v>
      </c>
      <c r="EG4" s="229">
        <v>0.12820000000000001</v>
      </c>
      <c r="EH4" s="229">
        <v>0.56030000000000002</v>
      </c>
      <c r="EI4" s="231">
        <v>156413.79</v>
      </c>
      <c r="EJ4" s="231">
        <v>50451.01</v>
      </c>
      <c r="EK4" s="231">
        <v>30944.69</v>
      </c>
      <c r="EL4" s="231">
        <v>3112</v>
      </c>
      <c r="EM4" s="231">
        <v>237809.49</v>
      </c>
      <c r="EN4" s="231">
        <v>244516.03</v>
      </c>
      <c r="EO4" s="231">
        <v>-6706.54</v>
      </c>
      <c r="EP4" s="229">
        <v>-2.7400000000000001E-2</v>
      </c>
      <c r="EQ4" s="231">
        <v>53440</v>
      </c>
      <c r="ER4" s="231">
        <v>44939</v>
      </c>
      <c r="ES4" s="231">
        <v>188483</v>
      </c>
      <c r="ET4" s="231">
        <v>15524629</v>
      </c>
      <c r="EU4" s="231">
        <v>286863</v>
      </c>
      <c r="EV4" s="231">
        <v>285042</v>
      </c>
      <c r="EW4" s="231">
        <v>1821</v>
      </c>
      <c r="EX4" s="229">
        <v>6.4000000000000003E-3</v>
      </c>
      <c r="EY4" s="229">
        <v>0.2482</v>
      </c>
    </row>
    <row r="5" spans="1:155" ht="17.25" thickBot="1" x14ac:dyDescent="0.3">
      <c r="A5" s="226">
        <v>46121</v>
      </c>
      <c r="B5" s="227" t="s">
        <v>168</v>
      </c>
      <c r="C5" s="227" t="s">
        <v>169</v>
      </c>
      <c r="D5" s="231">
        <v>2274.9</v>
      </c>
      <c r="E5" s="231">
        <v>2293.1</v>
      </c>
      <c r="F5" s="228">
        <v>-18.2</v>
      </c>
      <c r="G5" s="229">
        <v>-7.9000000000000008E-3</v>
      </c>
      <c r="H5" s="231">
        <v>2269.6</v>
      </c>
      <c r="I5" s="231">
        <v>2282.4</v>
      </c>
      <c r="J5" s="228">
        <v>-12.8</v>
      </c>
      <c r="K5" s="229">
        <v>-5.5999999999999999E-3</v>
      </c>
      <c r="L5" s="231">
        <v>2274.9</v>
      </c>
      <c r="M5" s="231">
        <v>2293.1</v>
      </c>
      <c r="N5" s="228">
        <v>-18.2</v>
      </c>
      <c r="O5" s="229">
        <v>-7.9000000000000008E-3</v>
      </c>
      <c r="P5" s="231">
        <v>2288.5</v>
      </c>
      <c r="Q5" s="231">
        <v>2304.1</v>
      </c>
      <c r="R5" s="228">
        <v>-15.6</v>
      </c>
      <c r="S5" s="229">
        <v>-6.7999999999999996E-3</v>
      </c>
      <c r="T5" s="231">
        <v>2281.1999999999998</v>
      </c>
      <c r="U5" s="231">
        <v>2298.4</v>
      </c>
      <c r="V5" s="228">
        <v>-17.2</v>
      </c>
      <c r="W5" s="229">
        <v>-7.4999999999999997E-3</v>
      </c>
      <c r="X5" s="228">
        <v>5.3</v>
      </c>
      <c r="Y5" s="228">
        <v>10.7</v>
      </c>
      <c r="Z5" s="228">
        <v>-5.4</v>
      </c>
      <c r="AA5" s="229">
        <v>2.3E-3</v>
      </c>
      <c r="AB5" s="228">
        <v>5.3</v>
      </c>
      <c r="AC5" s="228">
        <v>10.7</v>
      </c>
      <c r="AD5" s="228">
        <v>-5.4</v>
      </c>
      <c r="AE5" s="229">
        <v>2.3E-3</v>
      </c>
      <c r="AF5" s="228">
        <v>18.899999999999999</v>
      </c>
      <c r="AG5" s="228">
        <v>21.7</v>
      </c>
      <c r="AH5" s="228">
        <v>-2.8</v>
      </c>
      <c r="AI5" s="229">
        <v>8.3000000000000001E-3</v>
      </c>
      <c r="AJ5" s="228">
        <v>11.6</v>
      </c>
      <c r="AK5" s="228">
        <v>16</v>
      </c>
      <c r="AL5" s="228">
        <v>-4.4000000000000004</v>
      </c>
      <c r="AM5" s="229">
        <v>5.1000000000000004E-3</v>
      </c>
      <c r="AN5" s="231">
        <v>2275.08</v>
      </c>
      <c r="AO5" s="231">
        <v>2293.73</v>
      </c>
      <c r="AP5" s="228">
        <v>0</v>
      </c>
      <c r="AQ5" s="230">
        <v>5221</v>
      </c>
      <c r="AR5" s="230">
        <v>12120</v>
      </c>
      <c r="AS5" s="230">
        <v>-6899</v>
      </c>
      <c r="AT5" s="229">
        <v>-0.56920000000000004</v>
      </c>
      <c r="AU5" s="230">
        <v>4765</v>
      </c>
      <c r="AV5" s="230">
        <v>11083</v>
      </c>
      <c r="AW5" s="230">
        <v>-6318</v>
      </c>
      <c r="AX5" s="229">
        <v>-0.57010000000000005</v>
      </c>
      <c r="AY5" s="228">
        <v>416</v>
      </c>
      <c r="AZ5" s="228">
        <v>891</v>
      </c>
      <c r="BA5" s="228">
        <v>-475</v>
      </c>
      <c r="BB5" s="229">
        <v>-0.53310000000000002</v>
      </c>
      <c r="BC5" s="228">
        <v>40</v>
      </c>
      <c r="BD5" s="228">
        <v>146</v>
      </c>
      <c r="BE5" s="228">
        <v>-106</v>
      </c>
      <c r="BF5" s="229">
        <v>-0.72599999999999998</v>
      </c>
      <c r="BG5" s="230">
        <v>13826</v>
      </c>
      <c r="BH5" s="230">
        <v>41171</v>
      </c>
      <c r="BI5" s="230">
        <v>-27345</v>
      </c>
      <c r="BJ5" s="229">
        <v>-0.66420000000000001</v>
      </c>
      <c r="BK5" s="230">
        <v>8834</v>
      </c>
      <c r="BL5" s="230">
        <v>21864</v>
      </c>
      <c r="BM5" s="230">
        <v>-13030</v>
      </c>
      <c r="BN5" s="229">
        <v>-0.59599999999999997</v>
      </c>
      <c r="BO5" s="230">
        <v>27881</v>
      </c>
      <c r="BP5" s="230">
        <v>75155</v>
      </c>
      <c r="BQ5" s="230">
        <v>-47274</v>
      </c>
      <c r="BR5" s="229">
        <v>-0.629</v>
      </c>
      <c r="BS5" s="230">
        <v>2064163</v>
      </c>
      <c r="BT5" s="230">
        <v>3063795</v>
      </c>
      <c r="BU5" s="230">
        <v>-999632</v>
      </c>
      <c r="BV5" s="229">
        <v>-0.32629999999999998</v>
      </c>
      <c r="BW5" s="230">
        <v>14943250</v>
      </c>
      <c r="BX5" s="230">
        <v>15019750</v>
      </c>
      <c r="BY5" s="230">
        <v>-76500</v>
      </c>
      <c r="BZ5" s="229">
        <v>-5.1000000000000004E-3</v>
      </c>
      <c r="CA5" s="230">
        <v>13789250</v>
      </c>
      <c r="CB5" s="230">
        <v>13891250</v>
      </c>
      <c r="CC5" s="230">
        <v>-102000</v>
      </c>
      <c r="CD5" s="229">
        <v>-7.3000000000000001E-3</v>
      </c>
      <c r="CE5" s="230">
        <v>1068000</v>
      </c>
      <c r="CF5" s="230">
        <v>1042750</v>
      </c>
      <c r="CG5" s="230">
        <v>25250</v>
      </c>
      <c r="CH5" s="229">
        <v>2.4199999999999999E-2</v>
      </c>
      <c r="CI5" s="230">
        <v>86000</v>
      </c>
      <c r="CJ5" s="230">
        <v>85750</v>
      </c>
      <c r="CK5" s="228">
        <v>250</v>
      </c>
      <c r="CL5" s="229">
        <v>2.8999999999999998E-3</v>
      </c>
      <c r="CM5" s="230">
        <v>3393250</v>
      </c>
      <c r="CN5" s="230">
        <v>3236250</v>
      </c>
      <c r="CO5" s="230">
        <v>157000</v>
      </c>
      <c r="CP5" s="229">
        <v>4.8500000000000001E-2</v>
      </c>
      <c r="CQ5" s="230">
        <v>3662500</v>
      </c>
      <c r="CR5" s="230">
        <v>3475750</v>
      </c>
      <c r="CS5" s="230">
        <v>186750</v>
      </c>
      <c r="CT5" s="229">
        <v>5.3699999999999998E-2</v>
      </c>
      <c r="CU5" s="230">
        <v>21999000</v>
      </c>
      <c r="CV5" s="230">
        <v>21731750</v>
      </c>
      <c r="CW5" s="230">
        <v>267250</v>
      </c>
      <c r="CX5" s="229">
        <v>1.23E-2</v>
      </c>
      <c r="CY5" s="228">
        <v>30.43</v>
      </c>
      <c r="CZ5" s="228">
        <v>30.36</v>
      </c>
      <c r="DA5" s="228">
        <v>7.0000000000000007E-2</v>
      </c>
      <c r="DB5" s="228">
        <v>7.0000000000000007E-2</v>
      </c>
      <c r="DC5" s="228">
        <v>28.74</v>
      </c>
      <c r="DD5" s="228">
        <v>28.79</v>
      </c>
      <c r="DE5" s="228">
        <v>1.69</v>
      </c>
      <c r="DF5" s="228">
        <v>-0.05</v>
      </c>
      <c r="DG5" s="228">
        <v>29.44</v>
      </c>
      <c r="DH5" s="228">
        <v>29.15</v>
      </c>
      <c r="DI5" s="228">
        <v>0.28999999999999998</v>
      </c>
      <c r="DJ5" s="228">
        <v>0.28999999999999998</v>
      </c>
      <c r="DK5" s="228">
        <v>31.98</v>
      </c>
      <c r="DL5" s="228">
        <v>32.630000000000003</v>
      </c>
      <c r="DM5" s="228">
        <v>-0.65</v>
      </c>
      <c r="DN5" s="228">
        <v>-0.65</v>
      </c>
      <c r="DO5" s="228">
        <v>1.08</v>
      </c>
      <c r="DP5" s="228">
        <v>1.07</v>
      </c>
      <c r="DQ5" s="228">
        <v>0.01</v>
      </c>
      <c r="DR5" s="229">
        <v>9.2999999999999992E-3</v>
      </c>
      <c r="DS5" s="231">
        <v>2300</v>
      </c>
      <c r="DT5" s="231">
        <v>1900</v>
      </c>
      <c r="DU5" s="228">
        <v>0.64</v>
      </c>
      <c r="DV5" s="228">
        <v>0.53</v>
      </c>
      <c r="DW5" s="228">
        <v>0.11</v>
      </c>
      <c r="DX5" s="229">
        <v>0.20749999999999999</v>
      </c>
      <c r="DY5" s="229">
        <v>7.7200000000000005E-2</v>
      </c>
      <c r="DZ5" s="230">
        <v>1128500</v>
      </c>
      <c r="EA5" s="229">
        <v>6.0000000000000001E-3</v>
      </c>
      <c r="EB5" s="229">
        <v>7.7200000000000005E-2</v>
      </c>
      <c r="EC5" s="228">
        <v>18.649999999999999</v>
      </c>
      <c r="ED5" s="229">
        <v>8.2000000000000007E-3</v>
      </c>
      <c r="EE5" s="230">
        <v>1393795</v>
      </c>
      <c r="EF5" s="230">
        <v>1685382</v>
      </c>
      <c r="EG5" s="229">
        <v>-0.17299999999999999</v>
      </c>
      <c r="EH5" s="229">
        <v>0.67520000000000002</v>
      </c>
      <c r="EI5" s="231">
        <v>82530.8</v>
      </c>
      <c r="EJ5" s="231">
        <v>49198.31</v>
      </c>
      <c r="EK5" s="231">
        <v>29715.98</v>
      </c>
      <c r="EL5" s="231">
        <v>7772</v>
      </c>
      <c r="EM5" s="231">
        <v>161445.09</v>
      </c>
      <c r="EN5" s="231">
        <v>435101.42</v>
      </c>
      <c r="EO5" s="231">
        <v>-273656.33</v>
      </c>
      <c r="EP5" s="229">
        <v>-0.62890000000000001</v>
      </c>
      <c r="EQ5" s="231">
        <v>79510</v>
      </c>
      <c r="ER5" s="231">
        <v>77602</v>
      </c>
      <c r="ES5" s="231">
        <v>340095</v>
      </c>
      <c r="ET5" s="231">
        <v>62818628</v>
      </c>
      <c r="EU5" s="231">
        <v>497207</v>
      </c>
      <c r="EV5" s="231">
        <v>493759</v>
      </c>
      <c r="EW5" s="231">
        <v>3448</v>
      </c>
      <c r="EX5" s="229">
        <v>7.0000000000000001E-3</v>
      </c>
      <c r="EY5" s="229">
        <v>0.35020000000000001</v>
      </c>
    </row>
    <row r="6" spans="1:155" ht="17.25" thickBot="1" x14ac:dyDescent="0.3">
      <c r="A6" s="226">
        <v>46121</v>
      </c>
      <c r="B6" s="227" t="s">
        <v>172</v>
      </c>
      <c r="C6" s="227" t="s">
        <v>173</v>
      </c>
      <c r="D6" s="231">
        <v>1323.2</v>
      </c>
      <c r="E6" s="231">
        <v>1335.6</v>
      </c>
      <c r="F6" s="228">
        <v>-12.4</v>
      </c>
      <c r="G6" s="229">
        <v>-9.2999999999999992E-3</v>
      </c>
      <c r="H6" s="231">
        <v>1318.5</v>
      </c>
      <c r="I6" s="231">
        <v>1333</v>
      </c>
      <c r="J6" s="228">
        <v>-14.5</v>
      </c>
      <c r="K6" s="229">
        <v>-1.09E-2</v>
      </c>
      <c r="L6" s="231">
        <v>1323.2</v>
      </c>
      <c r="M6" s="231">
        <v>1335.6</v>
      </c>
      <c r="N6" s="228">
        <v>-12.4</v>
      </c>
      <c r="O6" s="229">
        <v>-9.2999999999999992E-3</v>
      </c>
      <c r="P6" s="231">
        <v>1330.1</v>
      </c>
      <c r="Q6" s="231">
        <v>1343.1</v>
      </c>
      <c r="R6" s="228">
        <v>-13</v>
      </c>
      <c r="S6" s="229">
        <v>-9.7000000000000003E-3</v>
      </c>
      <c r="T6" s="231">
        <v>1340.1</v>
      </c>
      <c r="U6" s="231">
        <v>1352.6</v>
      </c>
      <c r="V6" s="228">
        <v>-12.5</v>
      </c>
      <c r="W6" s="229">
        <v>-9.1999999999999998E-3</v>
      </c>
      <c r="X6" s="228">
        <v>4.7</v>
      </c>
      <c r="Y6" s="228">
        <v>2.6</v>
      </c>
      <c r="Z6" s="228">
        <v>2.1</v>
      </c>
      <c r="AA6" s="229">
        <v>3.5999999999999999E-3</v>
      </c>
      <c r="AB6" s="228">
        <v>4.7</v>
      </c>
      <c r="AC6" s="228">
        <v>2.6</v>
      </c>
      <c r="AD6" s="228">
        <v>2.1</v>
      </c>
      <c r="AE6" s="229">
        <v>3.5999999999999999E-3</v>
      </c>
      <c r="AF6" s="228">
        <v>11.6</v>
      </c>
      <c r="AG6" s="228">
        <v>10.1</v>
      </c>
      <c r="AH6" s="228">
        <v>1.5</v>
      </c>
      <c r="AI6" s="229">
        <v>8.8000000000000005E-3</v>
      </c>
      <c r="AJ6" s="228">
        <v>21.6</v>
      </c>
      <c r="AK6" s="228">
        <v>19.600000000000001</v>
      </c>
      <c r="AL6" s="228">
        <v>2</v>
      </c>
      <c r="AM6" s="229">
        <v>1.6400000000000001E-2</v>
      </c>
      <c r="AN6" s="231">
        <v>1327.15</v>
      </c>
      <c r="AO6" s="231">
        <v>1334.41</v>
      </c>
      <c r="AP6" s="228">
        <v>0</v>
      </c>
      <c r="AQ6" s="230">
        <v>11628</v>
      </c>
      <c r="AR6" s="230">
        <v>18153</v>
      </c>
      <c r="AS6" s="230">
        <v>-6525</v>
      </c>
      <c r="AT6" s="229">
        <v>-0.3594</v>
      </c>
      <c r="AU6" s="230">
        <v>10736</v>
      </c>
      <c r="AV6" s="230">
        <v>17377</v>
      </c>
      <c r="AW6" s="230">
        <v>-6641</v>
      </c>
      <c r="AX6" s="229">
        <v>-0.38219999999999998</v>
      </c>
      <c r="AY6" s="228">
        <v>814</v>
      </c>
      <c r="AZ6" s="228">
        <v>711</v>
      </c>
      <c r="BA6" s="228">
        <v>103</v>
      </c>
      <c r="BB6" s="229">
        <v>0.1449</v>
      </c>
      <c r="BC6" s="228">
        <v>78</v>
      </c>
      <c r="BD6" s="228">
        <v>65</v>
      </c>
      <c r="BE6" s="228">
        <v>13</v>
      </c>
      <c r="BF6" s="229">
        <v>0.2</v>
      </c>
      <c r="BG6" s="230">
        <v>22177</v>
      </c>
      <c r="BH6" s="230">
        <v>36218</v>
      </c>
      <c r="BI6" s="230">
        <v>-14041</v>
      </c>
      <c r="BJ6" s="229">
        <v>-0.38769999999999999</v>
      </c>
      <c r="BK6" s="230">
        <v>26635</v>
      </c>
      <c r="BL6" s="230">
        <v>38489</v>
      </c>
      <c r="BM6" s="230">
        <v>-11854</v>
      </c>
      <c r="BN6" s="229">
        <v>-0.308</v>
      </c>
      <c r="BO6" s="230">
        <v>60440</v>
      </c>
      <c r="BP6" s="230">
        <v>92860</v>
      </c>
      <c r="BQ6" s="230">
        <v>-32420</v>
      </c>
      <c r="BR6" s="229">
        <v>-0.34910000000000002</v>
      </c>
      <c r="BS6" s="230">
        <v>7607827</v>
      </c>
      <c r="BT6" s="230">
        <v>14000280</v>
      </c>
      <c r="BU6" s="230">
        <v>-6392453</v>
      </c>
      <c r="BV6" s="229">
        <v>-0.45660000000000001</v>
      </c>
      <c r="BW6" s="230">
        <v>68890000</v>
      </c>
      <c r="BX6" s="230">
        <v>68909375</v>
      </c>
      <c r="BY6" s="230">
        <v>-19375</v>
      </c>
      <c r="BZ6" s="229">
        <v>-2.9999999999999997E-4</v>
      </c>
      <c r="CA6" s="230">
        <v>54603125</v>
      </c>
      <c r="CB6" s="230">
        <v>54869375</v>
      </c>
      <c r="CC6" s="230">
        <v>-266250</v>
      </c>
      <c r="CD6" s="229">
        <v>-4.8999999999999998E-3</v>
      </c>
      <c r="CE6" s="230">
        <v>13875625</v>
      </c>
      <c r="CF6" s="230">
        <v>13654375</v>
      </c>
      <c r="CG6" s="230">
        <v>221250</v>
      </c>
      <c r="CH6" s="229">
        <v>1.6199999999999999E-2</v>
      </c>
      <c r="CI6" s="230">
        <v>411250</v>
      </c>
      <c r="CJ6" s="230">
        <v>385625</v>
      </c>
      <c r="CK6" s="230">
        <v>25625</v>
      </c>
      <c r="CL6" s="229">
        <v>6.6500000000000004E-2</v>
      </c>
      <c r="CM6" s="230">
        <v>12319375</v>
      </c>
      <c r="CN6" s="230">
        <v>11466875</v>
      </c>
      <c r="CO6" s="230">
        <v>852500</v>
      </c>
      <c r="CP6" s="229">
        <v>7.4300000000000005E-2</v>
      </c>
      <c r="CQ6" s="230">
        <v>11040000</v>
      </c>
      <c r="CR6" s="230">
        <v>11492500</v>
      </c>
      <c r="CS6" s="230">
        <v>-452500</v>
      </c>
      <c r="CT6" s="229">
        <v>-3.9399999999999998E-2</v>
      </c>
      <c r="CU6" s="230">
        <v>92249375</v>
      </c>
      <c r="CV6" s="230">
        <v>91868750</v>
      </c>
      <c r="CW6" s="230">
        <v>380625</v>
      </c>
      <c r="CX6" s="229">
        <v>4.1000000000000003E-3</v>
      </c>
      <c r="CY6" s="228">
        <v>32.619999999999997</v>
      </c>
      <c r="CZ6" s="228">
        <v>31.65</v>
      </c>
      <c r="DA6" s="228">
        <v>0.97</v>
      </c>
      <c r="DB6" s="228">
        <v>0.97</v>
      </c>
      <c r="DC6" s="228">
        <v>30.24</v>
      </c>
      <c r="DD6" s="228">
        <v>30.28</v>
      </c>
      <c r="DE6" s="228">
        <v>2.38</v>
      </c>
      <c r="DF6" s="228">
        <v>-0.04</v>
      </c>
      <c r="DG6" s="228">
        <v>30.77</v>
      </c>
      <c r="DH6" s="228">
        <v>28.98</v>
      </c>
      <c r="DI6" s="228">
        <v>1.79</v>
      </c>
      <c r="DJ6" s="228">
        <v>1.79</v>
      </c>
      <c r="DK6" s="228">
        <v>34.159999999999997</v>
      </c>
      <c r="DL6" s="228">
        <v>34.159999999999997</v>
      </c>
      <c r="DM6" s="228">
        <v>0</v>
      </c>
      <c r="DN6" s="228">
        <v>0</v>
      </c>
      <c r="DO6" s="228">
        <v>0.9</v>
      </c>
      <c r="DP6" s="228">
        <v>1</v>
      </c>
      <c r="DQ6" s="228">
        <v>-0.1</v>
      </c>
      <c r="DR6" s="229">
        <v>-0.1</v>
      </c>
      <c r="DS6" s="231">
        <v>1400</v>
      </c>
      <c r="DT6" s="231">
        <v>1300</v>
      </c>
      <c r="DU6" s="228">
        <v>1.2</v>
      </c>
      <c r="DV6" s="228">
        <v>1.06</v>
      </c>
      <c r="DW6" s="228">
        <v>0.14000000000000001</v>
      </c>
      <c r="DX6" s="229">
        <v>0.1321</v>
      </c>
      <c r="DY6" s="229">
        <v>0.2074</v>
      </c>
      <c r="DZ6" s="230">
        <v>14040000</v>
      </c>
      <c r="EA6" s="229">
        <v>5.1999999999999998E-3</v>
      </c>
      <c r="EB6" s="229">
        <v>0.2074</v>
      </c>
      <c r="EC6" s="228">
        <v>7.26</v>
      </c>
      <c r="ED6" s="229">
        <v>5.4999999999999997E-3</v>
      </c>
      <c r="EE6" s="230">
        <v>2762799</v>
      </c>
      <c r="EF6" s="230">
        <v>9170675</v>
      </c>
      <c r="EG6" s="229">
        <v>-0.69869999999999999</v>
      </c>
      <c r="EH6" s="229">
        <v>0.36320000000000002</v>
      </c>
      <c r="EI6" s="231">
        <v>193035.58</v>
      </c>
      <c r="EJ6" s="231">
        <v>212099.19</v>
      </c>
      <c r="EK6" s="231">
        <v>96494.84</v>
      </c>
      <c r="EL6" s="231">
        <v>16730</v>
      </c>
      <c r="EM6" s="231">
        <v>501629.61</v>
      </c>
      <c r="EN6" s="231">
        <v>766813.54</v>
      </c>
      <c r="EO6" s="231">
        <v>-265183.93</v>
      </c>
      <c r="EP6" s="229">
        <v>-0.3458</v>
      </c>
      <c r="EQ6" s="231">
        <v>160974</v>
      </c>
      <c r="ER6" s="231">
        <v>133922</v>
      </c>
      <c r="ES6" s="231">
        <v>912579</v>
      </c>
      <c r="ET6" s="231">
        <v>331596880</v>
      </c>
      <c r="EU6" s="231">
        <v>1207475</v>
      </c>
      <c r="EV6" s="231">
        <v>1208418</v>
      </c>
      <c r="EW6" s="228">
        <v>-943</v>
      </c>
      <c r="EX6" s="229">
        <v>-8.0000000000000004E-4</v>
      </c>
      <c r="EY6" s="229">
        <v>0.2782</v>
      </c>
    </row>
    <row r="7" spans="1:155" ht="17.25" thickBot="1" x14ac:dyDescent="0.3">
      <c r="A7" s="226">
        <v>46121</v>
      </c>
      <c r="B7" s="227" t="s">
        <v>162</v>
      </c>
      <c r="C7" s="227" t="s">
        <v>174</v>
      </c>
      <c r="D7" s="231">
        <v>9516.5</v>
      </c>
      <c r="E7" s="231">
        <v>9381</v>
      </c>
      <c r="F7" s="228">
        <v>135.5</v>
      </c>
      <c r="G7" s="229">
        <v>1.44E-2</v>
      </c>
      <c r="H7" s="231">
        <v>9517</v>
      </c>
      <c r="I7" s="231">
        <v>9366</v>
      </c>
      <c r="J7" s="228">
        <v>151</v>
      </c>
      <c r="K7" s="229">
        <v>1.61E-2</v>
      </c>
      <c r="L7" s="231">
        <v>9516.5</v>
      </c>
      <c r="M7" s="231">
        <v>9381</v>
      </c>
      <c r="N7" s="228">
        <v>135.5</v>
      </c>
      <c r="O7" s="229">
        <v>1.44E-2</v>
      </c>
      <c r="P7" s="231">
        <v>9521</v>
      </c>
      <c r="Q7" s="231">
        <v>9390</v>
      </c>
      <c r="R7" s="228">
        <v>131</v>
      </c>
      <c r="S7" s="229">
        <v>1.4E-2</v>
      </c>
      <c r="T7" s="231">
        <v>9500.5</v>
      </c>
      <c r="U7" s="231">
        <v>9387</v>
      </c>
      <c r="V7" s="228">
        <v>113.5</v>
      </c>
      <c r="W7" s="229">
        <v>1.21E-2</v>
      </c>
      <c r="X7" s="228">
        <v>-0.5</v>
      </c>
      <c r="Y7" s="228">
        <v>15</v>
      </c>
      <c r="Z7" s="228">
        <v>-15.5</v>
      </c>
      <c r="AA7" s="229">
        <v>-1E-4</v>
      </c>
      <c r="AB7" s="228">
        <v>-0.5</v>
      </c>
      <c r="AC7" s="228">
        <v>15</v>
      </c>
      <c r="AD7" s="228">
        <v>-15.5</v>
      </c>
      <c r="AE7" s="229">
        <v>-1E-4</v>
      </c>
      <c r="AF7" s="228">
        <v>4</v>
      </c>
      <c r="AG7" s="228">
        <v>24</v>
      </c>
      <c r="AH7" s="228">
        <v>-20</v>
      </c>
      <c r="AI7" s="229">
        <v>4.0000000000000002E-4</v>
      </c>
      <c r="AJ7" s="228">
        <v>-16.5</v>
      </c>
      <c r="AK7" s="228">
        <v>21</v>
      </c>
      <c r="AL7" s="228">
        <v>-37.5</v>
      </c>
      <c r="AM7" s="229">
        <v>-1.6999999999999999E-3</v>
      </c>
      <c r="AN7" s="231">
        <v>9508.73</v>
      </c>
      <c r="AO7" s="231">
        <v>9492.99</v>
      </c>
      <c r="AP7" s="228">
        <v>0</v>
      </c>
      <c r="AQ7" s="230">
        <v>6693</v>
      </c>
      <c r="AR7" s="230">
        <v>5252</v>
      </c>
      <c r="AS7" s="230">
        <v>1441</v>
      </c>
      <c r="AT7" s="229">
        <v>0.27439999999999998</v>
      </c>
      <c r="AU7" s="230">
        <v>6048</v>
      </c>
      <c r="AV7" s="230">
        <v>5048</v>
      </c>
      <c r="AW7" s="230">
        <v>1000</v>
      </c>
      <c r="AX7" s="229">
        <v>0.1981</v>
      </c>
      <c r="AY7" s="228">
        <v>582</v>
      </c>
      <c r="AZ7" s="228">
        <v>184</v>
      </c>
      <c r="BA7" s="228">
        <v>398</v>
      </c>
      <c r="BB7" s="229">
        <v>2.1629999999999998</v>
      </c>
      <c r="BC7" s="228">
        <v>63</v>
      </c>
      <c r="BD7" s="228">
        <v>20</v>
      </c>
      <c r="BE7" s="228">
        <v>43</v>
      </c>
      <c r="BF7" s="229">
        <v>2.15</v>
      </c>
      <c r="BG7" s="230">
        <v>53705</v>
      </c>
      <c r="BH7" s="230">
        <v>20490</v>
      </c>
      <c r="BI7" s="230">
        <v>33215</v>
      </c>
      <c r="BJ7" s="229">
        <v>1.621</v>
      </c>
      <c r="BK7" s="230">
        <v>22724</v>
      </c>
      <c r="BL7" s="230">
        <v>12097</v>
      </c>
      <c r="BM7" s="230">
        <v>10627</v>
      </c>
      <c r="BN7" s="229">
        <v>0.87849999999999995</v>
      </c>
      <c r="BO7" s="230">
        <v>83122</v>
      </c>
      <c r="BP7" s="230">
        <v>37839</v>
      </c>
      <c r="BQ7" s="230">
        <v>45283</v>
      </c>
      <c r="BR7" s="229">
        <v>1.1967000000000001</v>
      </c>
      <c r="BS7" s="230">
        <v>569829</v>
      </c>
      <c r="BT7" s="230">
        <v>483666</v>
      </c>
      <c r="BU7" s="230">
        <v>86163</v>
      </c>
      <c r="BV7" s="229">
        <v>0.17810000000000001</v>
      </c>
      <c r="BW7" s="230">
        <v>3323325</v>
      </c>
      <c r="BX7" s="230">
        <v>3285750</v>
      </c>
      <c r="BY7" s="230">
        <v>37575</v>
      </c>
      <c r="BZ7" s="229">
        <v>1.14E-2</v>
      </c>
      <c r="CA7" s="230">
        <v>3249300</v>
      </c>
      <c r="CB7" s="230">
        <v>3230100</v>
      </c>
      <c r="CC7" s="230">
        <v>19200</v>
      </c>
      <c r="CD7" s="229">
        <v>5.8999999999999999E-3</v>
      </c>
      <c r="CE7" s="230">
        <v>60975</v>
      </c>
      <c r="CF7" s="230">
        <v>43800</v>
      </c>
      <c r="CG7" s="230">
        <v>17175</v>
      </c>
      <c r="CH7" s="229">
        <v>0.3921</v>
      </c>
      <c r="CI7" s="230">
        <v>13050</v>
      </c>
      <c r="CJ7" s="230">
        <v>11850</v>
      </c>
      <c r="CK7" s="230">
        <v>1200</v>
      </c>
      <c r="CL7" s="229">
        <v>0.1013</v>
      </c>
      <c r="CM7" s="230">
        <v>835650</v>
      </c>
      <c r="CN7" s="230">
        <v>719250</v>
      </c>
      <c r="CO7" s="230">
        <v>116400</v>
      </c>
      <c r="CP7" s="229">
        <v>0.1618</v>
      </c>
      <c r="CQ7" s="230">
        <v>736950</v>
      </c>
      <c r="CR7" s="230">
        <v>632550</v>
      </c>
      <c r="CS7" s="230">
        <v>104400</v>
      </c>
      <c r="CT7" s="229">
        <v>0.16500000000000001</v>
      </c>
      <c r="CU7" s="230">
        <v>4895925</v>
      </c>
      <c r="CV7" s="230">
        <v>4637550</v>
      </c>
      <c r="CW7" s="230">
        <v>258375</v>
      </c>
      <c r="CX7" s="229">
        <v>5.57E-2</v>
      </c>
      <c r="CY7" s="228">
        <v>28.96</v>
      </c>
      <c r="CZ7" s="228">
        <v>28.52</v>
      </c>
      <c r="DA7" s="228">
        <v>0.44</v>
      </c>
      <c r="DB7" s="228">
        <v>0.44</v>
      </c>
      <c r="DC7" s="228">
        <v>29.75</v>
      </c>
      <c r="DD7" s="228">
        <v>29.74</v>
      </c>
      <c r="DE7" s="228">
        <v>-0.79</v>
      </c>
      <c r="DF7" s="228">
        <v>0.01</v>
      </c>
      <c r="DG7" s="228">
        <v>28.18</v>
      </c>
      <c r="DH7" s="228">
        <v>27.26</v>
      </c>
      <c r="DI7" s="228">
        <v>0.92</v>
      </c>
      <c r="DJ7" s="228">
        <v>0.92</v>
      </c>
      <c r="DK7" s="228">
        <v>30.8</v>
      </c>
      <c r="DL7" s="228">
        <v>30.65</v>
      </c>
      <c r="DM7" s="228">
        <v>0.15</v>
      </c>
      <c r="DN7" s="228">
        <v>0.15</v>
      </c>
      <c r="DO7" s="228">
        <v>0.88</v>
      </c>
      <c r="DP7" s="228">
        <v>0.88</v>
      </c>
      <c r="DQ7" s="228">
        <v>0</v>
      </c>
      <c r="DR7" s="229">
        <v>0</v>
      </c>
      <c r="DS7" s="231">
        <v>9000</v>
      </c>
      <c r="DT7" s="231">
        <v>8000</v>
      </c>
      <c r="DU7" s="228">
        <v>0.42</v>
      </c>
      <c r="DV7" s="228">
        <v>0.59</v>
      </c>
      <c r="DW7" s="228">
        <v>-0.17</v>
      </c>
      <c r="DX7" s="229">
        <v>-0.28810000000000002</v>
      </c>
      <c r="DY7" s="229">
        <v>2.23E-2</v>
      </c>
      <c r="DZ7" s="230">
        <v>55650</v>
      </c>
      <c r="EA7" s="229">
        <v>5.0000000000000001E-4</v>
      </c>
      <c r="EB7" s="229">
        <v>2.23E-2</v>
      </c>
      <c r="EC7" s="228">
        <v>-15.74</v>
      </c>
      <c r="ED7" s="229">
        <v>-1.6999999999999999E-3</v>
      </c>
      <c r="EE7" s="230">
        <v>166360</v>
      </c>
      <c r="EF7" s="230">
        <v>277367</v>
      </c>
      <c r="EG7" s="229">
        <v>-0.4002</v>
      </c>
      <c r="EH7" s="229">
        <v>0.29189999999999999</v>
      </c>
      <c r="EI7" s="231">
        <v>402344.37</v>
      </c>
      <c r="EJ7" s="231">
        <v>157802.4</v>
      </c>
      <c r="EK7" s="231">
        <v>47724.39</v>
      </c>
      <c r="EL7" s="231">
        <v>4846</v>
      </c>
      <c r="EM7" s="231">
        <v>607871.16</v>
      </c>
      <c r="EN7" s="231">
        <v>270399.21000000002</v>
      </c>
      <c r="EO7" s="231">
        <v>337471.95</v>
      </c>
      <c r="EP7" s="229">
        <v>1.2481</v>
      </c>
      <c r="EQ7" s="231">
        <v>80441</v>
      </c>
      <c r="ER7" s="231">
        <v>64358</v>
      </c>
      <c r="ES7" s="231">
        <v>316265</v>
      </c>
      <c r="ET7" s="231">
        <v>12553818</v>
      </c>
      <c r="EU7" s="231">
        <v>461064</v>
      </c>
      <c r="EV7" s="231">
        <v>431793</v>
      </c>
      <c r="EW7" s="231">
        <v>29271</v>
      </c>
      <c r="EX7" s="229">
        <v>6.7799999999999999E-2</v>
      </c>
      <c r="EY7" s="229">
        <v>0.39</v>
      </c>
    </row>
    <row r="8" spans="1:155" ht="17.25" thickBot="1" x14ac:dyDescent="0.3">
      <c r="A8" s="226">
        <v>46121</v>
      </c>
      <c r="B8" s="227" t="s">
        <v>175</v>
      </c>
      <c r="C8" s="227" t="s">
        <v>176</v>
      </c>
      <c r="D8" s="231">
        <v>1773.5</v>
      </c>
      <c r="E8" s="231">
        <v>1793.7</v>
      </c>
      <c r="F8" s="228">
        <v>-20.2</v>
      </c>
      <c r="G8" s="229">
        <v>-1.1299999999999999E-2</v>
      </c>
      <c r="H8" s="231">
        <v>1767.7</v>
      </c>
      <c r="I8" s="231">
        <v>1784.6</v>
      </c>
      <c r="J8" s="228">
        <v>-16.899999999999999</v>
      </c>
      <c r="K8" s="229">
        <v>-9.4999999999999998E-3</v>
      </c>
      <c r="L8" s="231">
        <v>1773.5</v>
      </c>
      <c r="M8" s="231">
        <v>1793.7</v>
      </c>
      <c r="N8" s="228">
        <v>-20.2</v>
      </c>
      <c r="O8" s="229">
        <v>-1.1299999999999999E-2</v>
      </c>
      <c r="P8" s="231">
        <v>1784.6</v>
      </c>
      <c r="Q8" s="231">
        <v>1803.3</v>
      </c>
      <c r="R8" s="228">
        <v>-18.7</v>
      </c>
      <c r="S8" s="229">
        <v>-1.04E-2</v>
      </c>
      <c r="T8" s="231">
        <v>1785</v>
      </c>
      <c r="U8" s="231">
        <v>1814.7</v>
      </c>
      <c r="V8" s="228">
        <v>-29.7</v>
      </c>
      <c r="W8" s="229">
        <v>-1.6400000000000001E-2</v>
      </c>
      <c r="X8" s="228">
        <v>5.8</v>
      </c>
      <c r="Y8" s="228">
        <v>9.1</v>
      </c>
      <c r="Z8" s="228">
        <v>-3.3</v>
      </c>
      <c r="AA8" s="229">
        <v>3.3E-3</v>
      </c>
      <c r="AB8" s="228">
        <v>5.8</v>
      </c>
      <c r="AC8" s="228">
        <v>9.1</v>
      </c>
      <c r="AD8" s="228">
        <v>-3.3</v>
      </c>
      <c r="AE8" s="229">
        <v>3.3E-3</v>
      </c>
      <c r="AF8" s="228">
        <v>16.899999999999999</v>
      </c>
      <c r="AG8" s="228">
        <v>18.7</v>
      </c>
      <c r="AH8" s="228">
        <v>-1.8</v>
      </c>
      <c r="AI8" s="229">
        <v>9.5999999999999992E-3</v>
      </c>
      <c r="AJ8" s="228">
        <v>17.3</v>
      </c>
      <c r="AK8" s="228">
        <v>30.1</v>
      </c>
      <c r="AL8" s="228">
        <v>-12.8</v>
      </c>
      <c r="AM8" s="229">
        <v>9.7999999999999997E-3</v>
      </c>
      <c r="AN8" s="231">
        <v>1779.28</v>
      </c>
      <c r="AO8" s="231">
        <v>1790.06</v>
      </c>
      <c r="AP8" s="228">
        <v>0</v>
      </c>
      <c r="AQ8" s="230">
        <v>2903</v>
      </c>
      <c r="AR8" s="230">
        <v>6608</v>
      </c>
      <c r="AS8" s="230">
        <v>-3705</v>
      </c>
      <c r="AT8" s="229">
        <v>-0.56069999999999998</v>
      </c>
      <c r="AU8" s="230">
        <v>2650</v>
      </c>
      <c r="AV8" s="230">
        <v>6041</v>
      </c>
      <c r="AW8" s="230">
        <v>-3391</v>
      </c>
      <c r="AX8" s="229">
        <v>-0.56130000000000002</v>
      </c>
      <c r="AY8" s="228">
        <v>229</v>
      </c>
      <c r="AZ8" s="228">
        <v>515</v>
      </c>
      <c r="BA8" s="228">
        <v>-286</v>
      </c>
      <c r="BB8" s="229">
        <v>-0.55530000000000002</v>
      </c>
      <c r="BC8" s="228">
        <v>24</v>
      </c>
      <c r="BD8" s="228">
        <v>52</v>
      </c>
      <c r="BE8" s="228">
        <v>-28</v>
      </c>
      <c r="BF8" s="229">
        <v>-0.53849999999999998</v>
      </c>
      <c r="BG8" s="230">
        <v>8090</v>
      </c>
      <c r="BH8" s="230">
        <v>19097</v>
      </c>
      <c r="BI8" s="230">
        <v>-11007</v>
      </c>
      <c r="BJ8" s="229">
        <v>-0.57640000000000002</v>
      </c>
      <c r="BK8" s="230">
        <v>7496</v>
      </c>
      <c r="BL8" s="230">
        <v>11223</v>
      </c>
      <c r="BM8" s="230">
        <v>-3727</v>
      </c>
      <c r="BN8" s="229">
        <v>-0.33210000000000001</v>
      </c>
      <c r="BO8" s="230">
        <v>18489</v>
      </c>
      <c r="BP8" s="230">
        <v>36928</v>
      </c>
      <c r="BQ8" s="230">
        <v>-18439</v>
      </c>
      <c r="BR8" s="229">
        <v>-0.49930000000000002</v>
      </c>
      <c r="BS8" s="230">
        <v>1562184</v>
      </c>
      <c r="BT8" s="230">
        <v>2126627</v>
      </c>
      <c r="BU8" s="230">
        <v>-564443</v>
      </c>
      <c r="BV8" s="229">
        <v>-0.26540000000000002</v>
      </c>
      <c r="BW8" s="230">
        <v>11751750</v>
      </c>
      <c r="BX8" s="230">
        <v>11627500</v>
      </c>
      <c r="BY8" s="230">
        <v>124250</v>
      </c>
      <c r="BZ8" s="229">
        <v>1.0699999999999999E-2</v>
      </c>
      <c r="CA8" s="230">
        <v>10101750</v>
      </c>
      <c r="CB8" s="230">
        <v>9999250</v>
      </c>
      <c r="CC8" s="230">
        <v>102500</v>
      </c>
      <c r="CD8" s="229">
        <v>1.03E-2</v>
      </c>
      <c r="CE8" s="230">
        <v>1588250</v>
      </c>
      <c r="CF8" s="230">
        <v>1567000</v>
      </c>
      <c r="CG8" s="230">
        <v>21250</v>
      </c>
      <c r="CH8" s="229">
        <v>1.3599999999999999E-2</v>
      </c>
      <c r="CI8" s="230">
        <v>61750</v>
      </c>
      <c r="CJ8" s="230">
        <v>61250</v>
      </c>
      <c r="CK8" s="228">
        <v>500</v>
      </c>
      <c r="CL8" s="229">
        <v>8.2000000000000007E-3</v>
      </c>
      <c r="CM8" s="230">
        <v>3050250</v>
      </c>
      <c r="CN8" s="230">
        <v>2976750</v>
      </c>
      <c r="CO8" s="230">
        <v>73500</v>
      </c>
      <c r="CP8" s="229">
        <v>2.47E-2</v>
      </c>
      <c r="CQ8" s="230">
        <v>3356000</v>
      </c>
      <c r="CR8" s="230">
        <v>3002750</v>
      </c>
      <c r="CS8" s="230">
        <v>353250</v>
      </c>
      <c r="CT8" s="229">
        <v>0.1176</v>
      </c>
      <c r="CU8" s="230">
        <v>18158000</v>
      </c>
      <c r="CV8" s="230">
        <v>17607000</v>
      </c>
      <c r="CW8" s="230">
        <v>551000</v>
      </c>
      <c r="CX8" s="229">
        <v>3.1300000000000001E-2</v>
      </c>
      <c r="CY8" s="228">
        <v>29.24</v>
      </c>
      <c r="CZ8" s="228">
        <v>29.43</v>
      </c>
      <c r="DA8" s="228">
        <v>-0.19</v>
      </c>
      <c r="DB8" s="228">
        <v>-0.19</v>
      </c>
      <c r="DC8" s="228">
        <v>30.65</v>
      </c>
      <c r="DD8" s="228">
        <v>30.69</v>
      </c>
      <c r="DE8" s="228">
        <v>-1.41</v>
      </c>
      <c r="DF8" s="228">
        <v>-0.04</v>
      </c>
      <c r="DG8" s="228">
        <v>28.43</v>
      </c>
      <c r="DH8" s="228">
        <v>28.12</v>
      </c>
      <c r="DI8" s="228">
        <v>0.31</v>
      </c>
      <c r="DJ8" s="228">
        <v>0.31</v>
      </c>
      <c r="DK8" s="228">
        <v>30.11</v>
      </c>
      <c r="DL8" s="228">
        <v>31.65</v>
      </c>
      <c r="DM8" s="228">
        <v>-1.54</v>
      </c>
      <c r="DN8" s="228">
        <v>-1.54</v>
      </c>
      <c r="DO8" s="228">
        <v>1.1000000000000001</v>
      </c>
      <c r="DP8" s="228">
        <v>1.01</v>
      </c>
      <c r="DQ8" s="228">
        <v>0.09</v>
      </c>
      <c r="DR8" s="229">
        <v>8.9099999999999999E-2</v>
      </c>
      <c r="DS8" s="231">
        <v>1760</v>
      </c>
      <c r="DT8" s="231">
        <v>1620</v>
      </c>
      <c r="DU8" s="228">
        <v>0.93</v>
      </c>
      <c r="DV8" s="228">
        <v>0.59</v>
      </c>
      <c r="DW8" s="228">
        <v>0.34</v>
      </c>
      <c r="DX8" s="229">
        <v>0.57630000000000003</v>
      </c>
      <c r="DY8" s="229">
        <v>0.1404</v>
      </c>
      <c r="DZ8" s="230">
        <v>1628250</v>
      </c>
      <c r="EA8" s="229">
        <v>6.3E-3</v>
      </c>
      <c r="EB8" s="229">
        <v>0.1404</v>
      </c>
      <c r="EC8" s="228">
        <v>10.78</v>
      </c>
      <c r="ED8" s="229">
        <v>6.1000000000000004E-3</v>
      </c>
      <c r="EE8" s="230">
        <v>885984</v>
      </c>
      <c r="EF8" s="230">
        <v>1058316</v>
      </c>
      <c r="EG8" s="229">
        <v>-0.1628</v>
      </c>
      <c r="EH8" s="229">
        <v>0.56710000000000005</v>
      </c>
      <c r="EI8" s="231">
        <v>37770.51</v>
      </c>
      <c r="EJ8" s="231">
        <v>32788.21</v>
      </c>
      <c r="EK8" s="231">
        <v>12920.46</v>
      </c>
      <c r="EL8" s="231">
        <v>5032</v>
      </c>
      <c r="EM8" s="231">
        <v>83479.179999999993</v>
      </c>
      <c r="EN8" s="231">
        <v>167834.63</v>
      </c>
      <c r="EO8" s="231">
        <v>-84355.45</v>
      </c>
      <c r="EP8" s="229">
        <v>-0.50260000000000005</v>
      </c>
      <c r="EQ8" s="231">
        <v>54988</v>
      </c>
      <c r="ER8" s="231">
        <v>56489</v>
      </c>
      <c r="ES8" s="231">
        <v>208601</v>
      </c>
      <c r="ET8" s="231">
        <v>65784745</v>
      </c>
      <c r="EU8" s="231">
        <v>320078</v>
      </c>
      <c r="EV8" s="231">
        <v>312687</v>
      </c>
      <c r="EW8" s="231">
        <v>7391</v>
      </c>
      <c r="EX8" s="229">
        <v>2.3599999999999999E-2</v>
      </c>
      <c r="EY8" s="229">
        <v>0.27600000000000002</v>
      </c>
    </row>
    <row r="9" spans="1:155" ht="17.25" thickBot="1" x14ac:dyDescent="0.3">
      <c r="A9" s="226">
        <v>46121</v>
      </c>
      <c r="B9" s="227" t="s">
        <v>175</v>
      </c>
      <c r="C9" s="227" t="s">
        <v>177</v>
      </c>
      <c r="D9" s="228">
        <v>904.25</v>
      </c>
      <c r="E9" s="228">
        <v>916.6</v>
      </c>
      <c r="F9" s="228">
        <v>-12.35</v>
      </c>
      <c r="G9" s="229">
        <v>-1.35E-2</v>
      </c>
      <c r="H9" s="228">
        <v>903.25</v>
      </c>
      <c r="I9" s="228">
        <v>915.05</v>
      </c>
      <c r="J9" s="228">
        <v>-11.8</v>
      </c>
      <c r="K9" s="229">
        <v>-1.29E-2</v>
      </c>
      <c r="L9" s="228">
        <v>904.25</v>
      </c>
      <c r="M9" s="228">
        <v>916.6</v>
      </c>
      <c r="N9" s="228">
        <v>-12.35</v>
      </c>
      <c r="O9" s="229">
        <v>-1.35E-2</v>
      </c>
      <c r="P9" s="228">
        <v>908.35</v>
      </c>
      <c r="Q9" s="228">
        <v>921.45</v>
      </c>
      <c r="R9" s="228">
        <v>-13.1</v>
      </c>
      <c r="S9" s="229">
        <v>-1.4200000000000001E-2</v>
      </c>
      <c r="T9" s="228">
        <v>911.7</v>
      </c>
      <c r="U9" s="228">
        <v>925</v>
      </c>
      <c r="V9" s="228">
        <v>-13.3</v>
      </c>
      <c r="W9" s="229">
        <v>-1.44E-2</v>
      </c>
      <c r="X9" s="228">
        <v>1</v>
      </c>
      <c r="Y9" s="228">
        <v>1.55</v>
      </c>
      <c r="Z9" s="228">
        <v>-0.55000000000000004</v>
      </c>
      <c r="AA9" s="229">
        <v>1.1000000000000001E-3</v>
      </c>
      <c r="AB9" s="228">
        <v>1</v>
      </c>
      <c r="AC9" s="228">
        <v>1.55</v>
      </c>
      <c r="AD9" s="228">
        <v>-0.55000000000000004</v>
      </c>
      <c r="AE9" s="229">
        <v>1.1000000000000001E-3</v>
      </c>
      <c r="AF9" s="228">
        <v>5.0999999999999996</v>
      </c>
      <c r="AG9" s="228">
        <v>6.4</v>
      </c>
      <c r="AH9" s="228">
        <v>-1.3</v>
      </c>
      <c r="AI9" s="229">
        <v>5.5999999999999999E-3</v>
      </c>
      <c r="AJ9" s="228">
        <v>8.4499999999999993</v>
      </c>
      <c r="AK9" s="228">
        <v>9.9499999999999993</v>
      </c>
      <c r="AL9" s="228">
        <v>-1.5</v>
      </c>
      <c r="AM9" s="229">
        <v>9.4000000000000004E-3</v>
      </c>
      <c r="AN9" s="228">
        <v>905.21</v>
      </c>
      <c r="AO9" s="228">
        <v>909.48</v>
      </c>
      <c r="AP9" s="228">
        <v>0</v>
      </c>
      <c r="AQ9" s="230">
        <v>9386</v>
      </c>
      <c r="AR9" s="230">
        <v>18913</v>
      </c>
      <c r="AS9" s="230">
        <v>-9527</v>
      </c>
      <c r="AT9" s="229">
        <v>-0.50370000000000004</v>
      </c>
      <c r="AU9" s="230">
        <v>8573</v>
      </c>
      <c r="AV9" s="230">
        <v>17511</v>
      </c>
      <c r="AW9" s="230">
        <v>-8938</v>
      </c>
      <c r="AX9" s="229">
        <v>-0.51039999999999996</v>
      </c>
      <c r="AY9" s="228">
        <v>667</v>
      </c>
      <c r="AZ9" s="230">
        <v>1213</v>
      </c>
      <c r="BA9" s="228">
        <v>-546</v>
      </c>
      <c r="BB9" s="229">
        <v>-0.4501</v>
      </c>
      <c r="BC9" s="228">
        <v>146</v>
      </c>
      <c r="BD9" s="228">
        <v>189</v>
      </c>
      <c r="BE9" s="228">
        <v>-43</v>
      </c>
      <c r="BF9" s="229">
        <v>-0.22750000000000001</v>
      </c>
      <c r="BG9" s="230">
        <v>20910</v>
      </c>
      <c r="BH9" s="230">
        <v>48491</v>
      </c>
      <c r="BI9" s="230">
        <v>-27581</v>
      </c>
      <c r="BJ9" s="229">
        <v>-0.56879999999999997</v>
      </c>
      <c r="BK9" s="230">
        <v>18775</v>
      </c>
      <c r="BL9" s="230">
        <v>31370</v>
      </c>
      <c r="BM9" s="230">
        <v>-12595</v>
      </c>
      <c r="BN9" s="229">
        <v>-0.40150000000000002</v>
      </c>
      <c r="BO9" s="230">
        <v>49071</v>
      </c>
      <c r="BP9" s="230">
        <v>98774</v>
      </c>
      <c r="BQ9" s="230">
        <v>-49703</v>
      </c>
      <c r="BR9" s="229">
        <v>-0.50319999999999998</v>
      </c>
      <c r="BS9" s="230">
        <v>10308972</v>
      </c>
      <c r="BT9" s="230">
        <v>14568175</v>
      </c>
      <c r="BU9" s="230">
        <v>-4259203</v>
      </c>
      <c r="BV9" s="229">
        <v>-0.29239999999999999</v>
      </c>
      <c r="BW9" s="230">
        <v>71964000</v>
      </c>
      <c r="BX9" s="230">
        <v>71412000</v>
      </c>
      <c r="BY9" s="230">
        <v>552000</v>
      </c>
      <c r="BZ9" s="229">
        <v>7.7000000000000002E-3</v>
      </c>
      <c r="CA9" s="230">
        <v>67948500</v>
      </c>
      <c r="CB9" s="230">
        <v>67518750</v>
      </c>
      <c r="CC9" s="230">
        <v>429750</v>
      </c>
      <c r="CD9" s="229">
        <v>6.4000000000000003E-3</v>
      </c>
      <c r="CE9" s="230">
        <v>3657000</v>
      </c>
      <c r="CF9" s="230">
        <v>3563250</v>
      </c>
      <c r="CG9" s="230">
        <v>93750</v>
      </c>
      <c r="CH9" s="229">
        <v>2.63E-2</v>
      </c>
      <c r="CI9" s="230">
        <v>358500</v>
      </c>
      <c r="CJ9" s="230">
        <v>330000</v>
      </c>
      <c r="CK9" s="230">
        <v>28500</v>
      </c>
      <c r="CL9" s="229">
        <v>8.6400000000000005E-2</v>
      </c>
      <c r="CM9" s="230">
        <v>17810250</v>
      </c>
      <c r="CN9" s="230">
        <v>16935000</v>
      </c>
      <c r="CO9" s="230">
        <v>875250</v>
      </c>
      <c r="CP9" s="229">
        <v>5.1700000000000003E-2</v>
      </c>
      <c r="CQ9" s="230">
        <v>14820750</v>
      </c>
      <c r="CR9" s="230">
        <v>13967250</v>
      </c>
      <c r="CS9" s="230">
        <v>853500</v>
      </c>
      <c r="CT9" s="229">
        <v>6.1100000000000002E-2</v>
      </c>
      <c r="CU9" s="230">
        <v>104595000</v>
      </c>
      <c r="CV9" s="230">
        <v>102314250</v>
      </c>
      <c r="CW9" s="230">
        <v>2280750</v>
      </c>
      <c r="CX9" s="229">
        <v>2.23E-2</v>
      </c>
      <c r="CY9" s="228">
        <v>33.869999999999997</v>
      </c>
      <c r="CZ9" s="228">
        <v>33.57</v>
      </c>
      <c r="DA9" s="228">
        <v>0.3</v>
      </c>
      <c r="DB9" s="228">
        <v>0.3</v>
      </c>
      <c r="DC9" s="228">
        <v>36.03</v>
      </c>
      <c r="DD9" s="228">
        <v>36.08</v>
      </c>
      <c r="DE9" s="228">
        <v>-2.16</v>
      </c>
      <c r="DF9" s="228">
        <v>-0.05</v>
      </c>
      <c r="DG9" s="228">
        <v>32.1</v>
      </c>
      <c r="DH9" s="228">
        <v>31.24</v>
      </c>
      <c r="DI9" s="228">
        <v>0.86</v>
      </c>
      <c r="DJ9" s="228">
        <v>0.86</v>
      </c>
      <c r="DK9" s="228">
        <v>35.85</v>
      </c>
      <c r="DL9" s="228">
        <v>37.18</v>
      </c>
      <c r="DM9" s="228">
        <v>-1.33</v>
      </c>
      <c r="DN9" s="228">
        <v>-1.33</v>
      </c>
      <c r="DO9" s="228">
        <v>0.83</v>
      </c>
      <c r="DP9" s="228">
        <v>0.82</v>
      </c>
      <c r="DQ9" s="228">
        <v>0.01</v>
      </c>
      <c r="DR9" s="229">
        <v>1.2200000000000001E-2</v>
      </c>
      <c r="DS9" s="231">
        <v>1000</v>
      </c>
      <c r="DT9" s="228">
        <v>800</v>
      </c>
      <c r="DU9" s="228">
        <v>0.9</v>
      </c>
      <c r="DV9" s="228">
        <v>0.65</v>
      </c>
      <c r="DW9" s="228">
        <v>0.25</v>
      </c>
      <c r="DX9" s="229">
        <v>0.3846</v>
      </c>
      <c r="DY9" s="229">
        <v>5.5800000000000002E-2</v>
      </c>
      <c r="DZ9" s="230">
        <v>3893250</v>
      </c>
      <c r="EA9" s="229">
        <v>4.4999999999999997E-3</v>
      </c>
      <c r="EB9" s="229">
        <v>5.5800000000000002E-2</v>
      </c>
      <c r="EC9" s="228">
        <v>4.2699999999999996</v>
      </c>
      <c r="ED9" s="229">
        <v>4.7000000000000002E-3</v>
      </c>
      <c r="EE9" s="230">
        <v>4965740</v>
      </c>
      <c r="EF9" s="230">
        <v>7885299</v>
      </c>
      <c r="EG9" s="229">
        <v>-0.37030000000000002</v>
      </c>
      <c r="EH9" s="229">
        <v>0.48170000000000002</v>
      </c>
      <c r="EI9" s="231">
        <v>149632.82</v>
      </c>
      <c r="EJ9" s="231">
        <v>124597.07</v>
      </c>
      <c r="EK9" s="231">
        <v>63753.01</v>
      </c>
      <c r="EL9" s="231">
        <v>15898</v>
      </c>
      <c r="EM9" s="231">
        <v>337982.9</v>
      </c>
      <c r="EN9" s="231">
        <v>681535.32</v>
      </c>
      <c r="EO9" s="231">
        <v>-343552.42</v>
      </c>
      <c r="EP9" s="229">
        <v>-0.50409999999999999</v>
      </c>
      <c r="EQ9" s="231">
        <v>161337</v>
      </c>
      <c r="ER9" s="231">
        <v>126849</v>
      </c>
      <c r="ES9" s="231">
        <v>650911</v>
      </c>
      <c r="ET9" s="231">
        <v>387962395</v>
      </c>
      <c r="EU9" s="231">
        <v>939098</v>
      </c>
      <c r="EV9" s="231">
        <v>926385</v>
      </c>
      <c r="EW9" s="231">
        <v>12713</v>
      </c>
      <c r="EX9" s="229">
        <v>1.37E-2</v>
      </c>
      <c r="EY9" s="229">
        <v>0.26960000000000001</v>
      </c>
    </row>
    <row r="10" spans="1:155" ht="17.25" thickBot="1" x14ac:dyDescent="0.3">
      <c r="A10" s="226">
        <v>46121</v>
      </c>
      <c r="B10" s="227" t="s">
        <v>184</v>
      </c>
      <c r="C10" s="227" t="s">
        <v>185</v>
      </c>
      <c r="D10" s="228">
        <v>441.85</v>
      </c>
      <c r="E10" s="228">
        <v>435.1</v>
      </c>
      <c r="F10" s="228">
        <v>6.75</v>
      </c>
      <c r="G10" s="229">
        <v>1.55E-2</v>
      </c>
      <c r="H10" s="228">
        <v>439.75</v>
      </c>
      <c r="I10" s="228">
        <v>433.1</v>
      </c>
      <c r="J10" s="228">
        <v>6.65</v>
      </c>
      <c r="K10" s="229">
        <v>1.54E-2</v>
      </c>
      <c r="L10" s="228">
        <v>441.85</v>
      </c>
      <c r="M10" s="228">
        <v>435.1</v>
      </c>
      <c r="N10" s="228">
        <v>6.75</v>
      </c>
      <c r="O10" s="229">
        <v>1.55E-2</v>
      </c>
      <c r="P10" s="228">
        <v>444.2</v>
      </c>
      <c r="Q10" s="228">
        <v>437.5</v>
      </c>
      <c r="R10" s="228">
        <v>6.7</v>
      </c>
      <c r="S10" s="229">
        <v>1.5299999999999999E-2</v>
      </c>
      <c r="T10" s="228">
        <v>447.1</v>
      </c>
      <c r="U10" s="228">
        <v>440.45</v>
      </c>
      <c r="V10" s="228">
        <v>6.65</v>
      </c>
      <c r="W10" s="229">
        <v>1.5100000000000001E-2</v>
      </c>
      <c r="X10" s="228">
        <v>2.1</v>
      </c>
      <c r="Y10" s="228">
        <v>2</v>
      </c>
      <c r="Z10" s="228">
        <v>0.1</v>
      </c>
      <c r="AA10" s="229">
        <v>4.7999999999999996E-3</v>
      </c>
      <c r="AB10" s="228">
        <v>2.1</v>
      </c>
      <c r="AC10" s="228">
        <v>2</v>
      </c>
      <c r="AD10" s="228">
        <v>0.1</v>
      </c>
      <c r="AE10" s="229">
        <v>4.7999999999999996E-3</v>
      </c>
      <c r="AF10" s="228">
        <v>4.45</v>
      </c>
      <c r="AG10" s="228">
        <v>4.4000000000000004</v>
      </c>
      <c r="AH10" s="228">
        <v>0.05</v>
      </c>
      <c r="AI10" s="229">
        <v>1.01E-2</v>
      </c>
      <c r="AJ10" s="228">
        <v>7.35</v>
      </c>
      <c r="AK10" s="228">
        <v>7.35</v>
      </c>
      <c r="AL10" s="228">
        <v>0</v>
      </c>
      <c r="AM10" s="229">
        <v>1.67E-2</v>
      </c>
      <c r="AN10" s="228">
        <v>441.35</v>
      </c>
      <c r="AO10" s="228">
        <v>444.55</v>
      </c>
      <c r="AP10" s="228">
        <v>0</v>
      </c>
      <c r="AQ10" s="230">
        <v>12814</v>
      </c>
      <c r="AR10" s="230">
        <v>15569</v>
      </c>
      <c r="AS10" s="230">
        <v>-2755</v>
      </c>
      <c r="AT10" s="229">
        <v>-0.17699999999999999</v>
      </c>
      <c r="AU10" s="230">
        <v>11143</v>
      </c>
      <c r="AV10" s="230">
        <v>13850</v>
      </c>
      <c r="AW10" s="230">
        <v>-2707</v>
      </c>
      <c r="AX10" s="229">
        <v>-0.19550000000000001</v>
      </c>
      <c r="AY10" s="230">
        <v>1396</v>
      </c>
      <c r="AZ10" s="230">
        <v>1361</v>
      </c>
      <c r="BA10" s="228">
        <v>35</v>
      </c>
      <c r="BB10" s="229">
        <v>2.5700000000000001E-2</v>
      </c>
      <c r="BC10" s="228">
        <v>275</v>
      </c>
      <c r="BD10" s="228">
        <v>358</v>
      </c>
      <c r="BE10" s="228">
        <v>-83</v>
      </c>
      <c r="BF10" s="229">
        <v>-0.23180000000000001</v>
      </c>
      <c r="BG10" s="230">
        <v>58176</v>
      </c>
      <c r="BH10" s="230">
        <v>42555</v>
      </c>
      <c r="BI10" s="230">
        <v>15621</v>
      </c>
      <c r="BJ10" s="229">
        <v>0.36709999999999998</v>
      </c>
      <c r="BK10" s="230">
        <v>23419</v>
      </c>
      <c r="BL10" s="230">
        <v>20898</v>
      </c>
      <c r="BM10" s="230">
        <v>2521</v>
      </c>
      <c r="BN10" s="229">
        <v>0.1206</v>
      </c>
      <c r="BO10" s="230">
        <v>94409</v>
      </c>
      <c r="BP10" s="230">
        <v>79022</v>
      </c>
      <c r="BQ10" s="230">
        <v>15387</v>
      </c>
      <c r="BR10" s="229">
        <v>0.19470000000000001</v>
      </c>
      <c r="BS10" s="230">
        <v>20925439</v>
      </c>
      <c r="BT10" s="230">
        <v>21219911</v>
      </c>
      <c r="BU10" s="230">
        <v>-294472</v>
      </c>
      <c r="BV10" s="229">
        <v>-1.3899999999999999E-2</v>
      </c>
      <c r="BW10" s="230">
        <v>102547275</v>
      </c>
      <c r="BX10" s="230">
        <v>103885350</v>
      </c>
      <c r="BY10" s="230">
        <v>-1338075</v>
      </c>
      <c r="BZ10" s="229">
        <v>-1.29E-2</v>
      </c>
      <c r="CA10" s="230">
        <v>93829125</v>
      </c>
      <c r="CB10" s="230">
        <v>95725800</v>
      </c>
      <c r="CC10" s="230">
        <v>-1896675</v>
      </c>
      <c r="CD10" s="229">
        <v>-1.9800000000000002E-2</v>
      </c>
      <c r="CE10" s="230">
        <v>7817550</v>
      </c>
      <c r="CF10" s="230">
        <v>7251825</v>
      </c>
      <c r="CG10" s="230">
        <v>565725</v>
      </c>
      <c r="CH10" s="229">
        <v>7.8E-2</v>
      </c>
      <c r="CI10" s="230">
        <v>900600</v>
      </c>
      <c r="CJ10" s="230">
        <v>907725</v>
      </c>
      <c r="CK10" s="230">
        <v>-7125</v>
      </c>
      <c r="CL10" s="229">
        <v>-7.7999999999999996E-3</v>
      </c>
      <c r="CM10" s="230">
        <v>39213150</v>
      </c>
      <c r="CN10" s="230">
        <v>37791000</v>
      </c>
      <c r="CO10" s="230">
        <v>1422150</v>
      </c>
      <c r="CP10" s="229">
        <v>3.7600000000000001E-2</v>
      </c>
      <c r="CQ10" s="230">
        <v>25734075</v>
      </c>
      <c r="CR10" s="230">
        <v>23116350</v>
      </c>
      <c r="CS10" s="230">
        <v>2617725</v>
      </c>
      <c r="CT10" s="229">
        <v>0.1132</v>
      </c>
      <c r="CU10" s="230">
        <v>167494500</v>
      </c>
      <c r="CV10" s="230">
        <v>164792700</v>
      </c>
      <c r="CW10" s="230">
        <v>2701800</v>
      </c>
      <c r="CX10" s="229">
        <v>1.6400000000000001E-2</v>
      </c>
      <c r="CY10" s="228">
        <v>32.99</v>
      </c>
      <c r="CZ10" s="228">
        <v>32.799999999999997</v>
      </c>
      <c r="DA10" s="228">
        <v>0.19</v>
      </c>
      <c r="DB10" s="228">
        <v>0.19</v>
      </c>
      <c r="DC10" s="228">
        <v>37.58</v>
      </c>
      <c r="DD10" s="228">
        <v>37.61</v>
      </c>
      <c r="DE10" s="228">
        <v>-4.59</v>
      </c>
      <c r="DF10" s="228">
        <v>-0.03</v>
      </c>
      <c r="DG10" s="228">
        <v>32.340000000000003</v>
      </c>
      <c r="DH10" s="228">
        <v>31.79</v>
      </c>
      <c r="DI10" s="228">
        <v>0.55000000000000004</v>
      </c>
      <c r="DJ10" s="228">
        <v>0.55000000000000004</v>
      </c>
      <c r="DK10" s="228">
        <v>34.619999999999997</v>
      </c>
      <c r="DL10" s="228">
        <v>34.869999999999997</v>
      </c>
      <c r="DM10" s="228">
        <v>-0.25</v>
      </c>
      <c r="DN10" s="228">
        <v>-0.25</v>
      </c>
      <c r="DO10" s="228">
        <v>0.66</v>
      </c>
      <c r="DP10" s="228">
        <v>0.61</v>
      </c>
      <c r="DQ10" s="228">
        <v>0.05</v>
      </c>
      <c r="DR10" s="229">
        <v>8.2000000000000003E-2</v>
      </c>
      <c r="DS10" s="228">
        <v>500</v>
      </c>
      <c r="DT10" s="228">
        <v>400</v>
      </c>
      <c r="DU10" s="228">
        <v>0.4</v>
      </c>
      <c r="DV10" s="228">
        <v>0.49</v>
      </c>
      <c r="DW10" s="228">
        <v>-0.09</v>
      </c>
      <c r="DX10" s="229">
        <v>-0.1837</v>
      </c>
      <c r="DY10" s="229">
        <v>8.5000000000000006E-2</v>
      </c>
      <c r="DZ10" s="230">
        <v>8159550</v>
      </c>
      <c r="EA10" s="229">
        <v>5.3E-3</v>
      </c>
      <c r="EB10" s="229">
        <v>8.5000000000000006E-2</v>
      </c>
      <c r="EC10" s="228">
        <v>3.2</v>
      </c>
      <c r="ED10" s="229">
        <v>7.3000000000000001E-3</v>
      </c>
      <c r="EE10" s="230">
        <v>7744290</v>
      </c>
      <c r="EF10" s="230">
        <v>9125585</v>
      </c>
      <c r="EG10" s="229">
        <v>-0.15140000000000001</v>
      </c>
      <c r="EH10" s="229">
        <v>0.37009999999999998</v>
      </c>
      <c r="EI10" s="231">
        <v>385926.88</v>
      </c>
      <c r="EJ10" s="231">
        <v>143339.13</v>
      </c>
      <c r="EK10" s="231">
        <v>80675.06</v>
      </c>
      <c r="EL10" s="231">
        <v>11371</v>
      </c>
      <c r="EM10" s="231">
        <v>609941.06999999995</v>
      </c>
      <c r="EN10" s="231">
        <v>499446.1</v>
      </c>
      <c r="EO10" s="231">
        <v>110494.97</v>
      </c>
      <c r="EP10" s="229">
        <v>0.22120000000000001</v>
      </c>
      <c r="EQ10" s="231">
        <v>178219</v>
      </c>
      <c r="ER10" s="231">
        <v>106966</v>
      </c>
      <c r="ES10" s="231">
        <v>453336</v>
      </c>
      <c r="ET10" s="231">
        <v>535778534</v>
      </c>
      <c r="EU10" s="231">
        <v>738521</v>
      </c>
      <c r="EV10" s="231">
        <v>718955</v>
      </c>
      <c r="EW10" s="231">
        <v>19566</v>
      </c>
      <c r="EX10" s="229">
        <v>2.7199999999999998E-2</v>
      </c>
      <c r="EY10" s="229">
        <v>0.31259999999999999</v>
      </c>
    </row>
    <row r="11" spans="1:155" ht="17.25" thickBot="1" x14ac:dyDescent="0.3">
      <c r="A11" s="226">
        <v>46121</v>
      </c>
      <c r="B11" s="227" t="s">
        <v>188</v>
      </c>
      <c r="C11" s="227" t="s">
        <v>189</v>
      </c>
      <c r="D11" s="231">
        <v>1866.1</v>
      </c>
      <c r="E11" s="231">
        <v>1865.5</v>
      </c>
      <c r="F11" s="228">
        <v>0.6</v>
      </c>
      <c r="G11" s="229">
        <v>2.9999999999999997E-4</v>
      </c>
      <c r="H11" s="231">
        <v>1859.4</v>
      </c>
      <c r="I11" s="231">
        <v>1861.6</v>
      </c>
      <c r="J11" s="228">
        <v>-2.2000000000000002</v>
      </c>
      <c r="K11" s="229">
        <v>-1.1999999999999999E-3</v>
      </c>
      <c r="L11" s="231">
        <v>1866.1</v>
      </c>
      <c r="M11" s="231">
        <v>1865.5</v>
      </c>
      <c r="N11" s="228">
        <v>0.6</v>
      </c>
      <c r="O11" s="229">
        <v>2.9999999999999997E-4</v>
      </c>
      <c r="P11" s="231">
        <v>1877</v>
      </c>
      <c r="Q11" s="231">
        <v>1876.9</v>
      </c>
      <c r="R11" s="228">
        <v>0.1</v>
      </c>
      <c r="S11" s="229">
        <v>1E-4</v>
      </c>
      <c r="T11" s="231">
        <v>1886.1</v>
      </c>
      <c r="U11" s="231">
        <v>1888</v>
      </c>
      <c r="V11" s="228">
        <v>-1.9</v>
      </c>
      <c r="W11" s="229">
        <v>-1E-3</v>
      </c>
      <c r="X11" s="228">
        <v>6.7</v>
      </c>
      <c r="Y11" s="228">
        <v>3.9</v>
      </c>
      <c r="Z11" s="228">
        <v>2.8</v>
      </c>
      <c r="AA11" s="229">
        <v>3.5999999999999999E-3</v>
      </c>
      <c r="AB11" s="228">
        <v>6.7</v>
      </c>
      <c r="AC11" s="228">
        <v>3.9</v>
      </c>
      <c r="AD11" s="228">
        <v>2.8</v>
      </c>
      <c r="AE11" s="229">
        <v>3.5999999999999999E-3</v>
      </c>
      <c r="AF11" s="228">
        <v>17.600000000000001</v>
      </c>
      <c r="AG11" s="228">
        <v>15.3</v>
      </c>
      <c r="AH11" s="228">
        <v>2.2999999999999998</v>
      </c>
      <c r="AI11" s="229">
        <v>9.4999999999999998E-3</v>
      </c>
      <c r="AJ11" s="228">
        <v>26.7</v>
      </c>
      <c r="AK11" s="228">
        <v>26.4</v>
      </c>
      <c r="AL11" s="228">
        <v>0.3</v>
      </c>
      <c r="AM11" s="229">
        <v>1.44E-2</v>
      </c>
      <c r="AN11" s="231">
        <v>1862.17</v>
      </c>
      <c r="AO11" s="231">
        <v>1872.14</v>
      </c>
      <c r="AP11" s="228">
        <v>0</v>
      </c>
      <c r="AQ11" s="230">
        <v>8294</v>
      </c>
      <c r="AR11" s="230">
        <v>11993</v>
      </c>
      <c r="AS11" s="230">
        <v>-3699</v>
      </c>
      <c r="AT11" s="229">
        <v>-0.30840000000000001</v>
      </c>
      <c r="AU11" s="230">
        <v>6695</v>
      </c>
      <c r="AV11" s="230">
        <v>11051</v>
      </c>
      <c r="AW11" s="230">
        <v>-4356</v>
      </c>
      <c r="AX11" s="229">
        <v>-0.39419999999999999</v>
      </c>
      <c r="AY11" s="228">
        <v>565</v>
      </c>
      <c r="AZ11" s="228">
        <v>822</v>
      </c>
      <c r="BA11" s="228">
        <v>-257</v>
      </c>
      <c r="BB11" s="229">
        <v>-0.31269999999999998</v>
      </c>
      <c r="BC11" s="230">
        <v>1034</v>
      </c>
      <c r="BD11" s="228">
        <v>120</v>
      </c>
      <c r="BE11" s="228">
        <v>914</v>
      </c>
      <c r="BF11" s="229">
        <v>7.6166999999999998</v>
      </c>
      <c r="BG11" s="230">
        <v>22951</v>
      </c>
      <c r="BH11" s="230">
        <v>53320</v>
      </c>
      <c r="BI11" s="230">
        <v>-30369</v>
      </c>
      <c r="BJ11" s="229">
        <v>-0.5696</v>
      </c>
      <c r="BK11" s="230">
        <v>13018</v>
      </c>
      <c r="BL11" s="230">
        <v>21702</v>
      </c>
      <c r="BM11" s="230">
        <v>-8684</v>
      </c>
      <c r="BN11" s="229">
        <v>-0.40010000000000001</v>
      </c>
      <c r="BO11" s="230">
        <v>44263</v>
      </c>
      <c r="BP11" s="230">
        <v>87015</v>
      </c>
      <c r="BQ11" s="230">
        <v>-42752</v>
      </c>
      <c r="BR11" s="229">
        <v>-0.49130000000000001</v>
      </c>
      <c r="BS11" s="230">
        <v>11381891</v>
      </c>
      <c r="BT11" s="230">
        <v>11935125</v>
      </c>
      <c r="BU11" s="230">
        <v>-553234</v>
      </c>
      <c r="BV11" s="229">
        <v>-4.6399999999999997E-2</v>
      </c>
      <c r="BW11" s="230">
        <v>59022550</v>
      </c>
      <c r="BX11" s="230">
        <v>59053425</v>
      </c>
      <c r="BY11" s="230">
        <v>-30875</v>
      </c>
      <c r="BZ11" s="229">
        <v>-5.0000000000000001E-4</v>
      </c>
      <c r="CA11" s="230">
        <v>50047425</v>
      </c>
      <c r="CB11" s="230">
        <v>50645925</v>
      </c>
      <c r="CC11" s="230">
        <v>-598500</v>
      </c>
      <c r="CD11" s="229">
        <v>-1.18E-2</v>
      </c>
      <c r="CE11" s="230">
        <v>7709725</v>
      </c>
      <c r="CF11" s="230">
        <v>7617575</v>
      </c>
      <c r="CG11" s="230">
        <v>92150</v>
      </c>
      <c r="CH11" s="229">
        <v>1.21E-2</v>
      </c>
      <c r="CI11" s="230">
        <v>1265400</v>
      </c>
      <c r="CJ11" s="230">
        <v>789925</v>
      </c>
      <c r="CK11" s="230">
        <v>475475</v>
      </c>
      <c r="CL11" s="229">
        <v>0.60189999999999999</v>
      </c>
      <c r="CM11" s="230">
        <v>8754250</v>
      </c>
      <c r="CN11" s="230">
        <v>8681100</v>
      </c>
      <c r="CO11" s="230">
        <v>73150</v>
      </c>
      <c r="CP11" s="229">
        <v>8.3999999999999995E-3</v>
      </c>
      <c r="CQ11" s="230">
        <v>7681225</v>
      </c>
      <c r="CR11" s="230">
        <v>7587650</v>
      </c>
      <c r="CS11" s="230">
        <v>93575</v>
      </c>
      <c r="CT11" s="229">
        <v>1.23E-2</v>
      </c>
      <c r="CU11" s="230">
        <v>75458025</v>
      </c>
      <c r="CV11" s="230">
        <v>75322175</v>
      </c>
      <c r="CW11" s="230">
        <v>135850</v>
      </c>
      <c r="CX11" s="229">
        <v>1.8E-3</v>
      </c>
      <c r="CY11" s="228">
        <v>22.61</v>
      </c>
      <c r="CZ11" s="228">
        <v>22.96</v>
      </c>
      <c r="DA11" s="228">
        <v>-0.35</v>
      </c>
      <c r="DB11" s="228">
        <v>-0.35</v>
      </c>
      <c r="DC11" s="228">
        <v>24.45</v>
      </c>
      <c r="DD11" s="228">
        <v>24.51</v>
      </c>
      <c r="DE11" s="228">
        <v>-1.84</v>
      </c>
      <c r="DF11" s="228">
        <v>-0.06</v>
      </c>
      <c r="DG11" s="228">
        <v>21.76</v>
      </c>
      <c r="DH11" s="228">
        <v>21.99</v>
      </c>
      <c r="DI11" s="228">
        <v>-0.23</v>
      </c>
      <c r="DJ11" s="228">
        <v>-0.23</v>
      </c>
      <c r="DK11" s="228">
        <v>24.11</v>
      </c>
      <c r="DL11" s="228">
        <v>25.33</v>
      </c>
      <c r="DM11" s="228">
        <v>-1.22</v>
      </c>
      <c r="DN11" s="228">
        <v>-1.22</v>
      </c>
      <c r="DO11" s="228">
        <v>0.88</v>
      </c>
      <c r="DP11" s="228">
        <v>0.87</v>
      </c>
      <c r="DQ11" s="228">
        <v>0.01</v>
      </c>
      <c r="DR11" s="229">
        <v>1.15E-2</v>
      </c>
      <c r="DS11" s="231">
        <v>1900</v>
      </c>
      <c r="DT11" s="231">
        <v>1800</v>
      </c>
      <c r="DU11" s="228">
        <v>0.56999999999999995</v>
      </c>
      <c r="DV11" s="228">
        <v>0.41</v>
      </c>
      <c r="DW11" s="228">
        <v>0.16</v>
      </c>
      <c r="DX11" s="229">
        <v>0.39019999999999999</v>
      </c>
      <c r="DY11" s="229">
        <v>0.15210000000000001</v>
      </c>
      <c r="DZ11" s="230">
        <v>8407500</v>
      </c>
      <c r="EA11" s="229">
        <v>5.7999999999999996E-3</v>
      </c>
      <c r="EB11" s="229">
        <v>0.15210000000000001</v>
      </c>
      <c r="EC11" s="228">
        <v>9.9700000000000006</v>
      </c>
      <c r="ED11" s="229">
        <v>5.4000000000000003E-3</v>
      </c>
      <c r="EE11" s="230">
        <v>4080084</v>
      </c>
      <c r="EF11" s="230">
        <v>6968538</v>
      </c>
      <c r="EG11" s="229">
        <v>-0.41449999999999998</v>
      </c>
      <c r="EH11" s="229">
        <v>0.35849999999999999</v>
      </c>
      <c r="EI11" s="231">
        <v>210364.96</v>
      </c>
      <c r="EJ11" s="231">
        <v>114080.48</v>
      </c>
      <c r="EK11" s="231">
        <v>73490.12</v>
      </c>
      <c r="EL11" s="231">
        <v>13846</v>
      </c>
      <c r="EM11" s="231">
        <v>397935.56</v>
      </c>
      <c r="EN11" s="231">
        <v>781786.61</v>
      </c>
      <c r="EO11" s="231">
        <v>-383851.05</v>
      </c>
      <c r="EP11" s="229">
        <v>-0.49099999999999999</v>
      </c>
      <c r="EQ11" s="231">
        <v>165411</v>
      </c>
      <c r="ER11" s="231">
        <v>137242</v>
      </c>
      <c r="ES11" s="231">
        <v>1102513</v>
      </c>
      <c r="ET11" s="231">
        <v>342859930</v>
      </c>
      <c r="EU11" s="231">
        <v>1405166</v>
      </c>
      <c r="EV11" s="231">
        <v>1402270</v>
      </c>
      <c r="EW11" s="231">
        <v>2896</v>
      </c>
      <c r="EX11" s="229">
        <v>2.0999999999999999E-3</v>
      </c>
      <c r="EY11" s="229">
        <v>0.22009999999999999</v>
      </c>
    </row>
    <row r="12" spans="1:155" ht="17.25" thickBot="1" x14ac:dyDescent="0.3">
      <c r="A12" s="226">
        <v>46121</v>
      </c>
      <c r="B12" s="227" t="s">
        <v>170</v>
      </c>
      <c r="C12" s="227" t="s">
        <v>199</v>
      </c>
      <c r="D12" s="231">
        <v>1227.2</v>
      </c>
      <c r="E12" s="231">
        <v>1221.8</v>
      </c>
      <c r="F12" s="228">
        <v>5.4</v>
      </c>
      <c r="G12" s="229">
        <v>4.4000000000000003E-3</v>
      </c>
      <c r="H12" s="231">
        <v>1224.4000000000001</v>
      </c>
      <c r="I12" s="231">
        <v>1215.9000000000001</v>
      </c>
      <c r="J12" s="228">
        <v>8.5</v>
      </c>
      <c r="K12" s="229">
        <v>7.0000000000000001E-3</v>
      </c>
      <c r="L12" s="231">
        <v>1227.2</v>
      </c>
      <c r="M12" s="231">
        <v>1221.8</v>
      </c>
      <c r="N12" s="228">
        <v>5.4</v>
      </c>
      <c r="O12" s="229">
        <v>4.4000000000000003E-3</v>
      </c>
      <c r="P12" s="231">
        <v>1235</v>
      </c>
      <c r="Q12" s="231">
        <v>1229</v>
      </c>
      <c r="R12" s="228">
        <v>6</v>
      </c>
      <c r="S12" s="229">
        <v>4.8999999999999998E-3</v>
      </c>
      <c r="T12" s="231">
        <v>1238.2</v>
      </c>
      <c r="U12" s="231">
        <v>1234.5999999999999</v>
      </c>
      <c r="V12" s="228">
        <v>3.6</v>
      </c>
      <c r="W12" s="229">
        <v>2.8999999999999998E-3</v>
      </c>
      <c r="X12" s="228">
        <v>2.8</v>
      </c>
      <c r="Y12" s="228">
        <v>5.9</v>
      </c>
      <c r="Z12" s="228">
        <v>-3.1</v>
      </c>
      <c r="AA12" s="229">
        <v>2.3E-3</v>
      </c>
      <c r="AB12" s="228">
        <v>2.8</v>
      </c>
      <c r="AC12" s="228">
        <v>5.9</v>
      </c>
      <c r="AD12" s="228">
        <v>-3.1</v>
      </c>
      <c r="AE12" s="229">
        <v>2.3E-3</v>
      </c>
      <c r="AF12" s="228">
        <v>10.6</v>
      </c>
      <c r="AG12" s="228">
        <v>13.1</v>
      </c>
      <c r="AH12" s="228">
        <v>-2.5</v>
      </c>
      <c r="AI12" s="229">
        <v>8.6999999999999994E-3</v>
      </c>
      <c r="AJ12" s="228">
        <v>13.8</v>
      </c>
      <c r="AK12" s="228">
        <v>18.7</v>
      </c>
      <c r="AL12" s="228">
        <v>-4.9000000000000004</v>
      </c>
      <c r="AM12" s="229">
        <v>1.1299999999999999E-2</v>
      </c>
      <c r="AN12" s="231">
        <v>1228.23</v>
      </c>
      <c r="AO12" s="231">
        <v>1235.67</v>
      </c>
      <c r="AP12" s="228">
        <v>0</v>
      </c>
      <c r="AQ12" s="230">
        <v>3022</v>
      </c>
      <c r="AR12" s="230">
        <v>4795</v>
      </c>
      <c r="AS12" s="230">
        <v>-1773</v>
      </c>
      <c r="AT12" s="229">
        <v>-0.36980000000000002</v>
      </c>
      <c r="AU12" s="230">
        <v>2803</v>
      </c>
      <c r="AV12" s="230">
        <v>4061</v>
      </c>
      <c r="AW12" s="230">
        <v>-1258</v>
      </c>
      <c r="AX12" s="229">
        <v>-0.30980000000000002</v>
      </c>
      <c r="AY12" s="228">
        <v>188</v>
      </c>
      <c r="AZ12" s="228">
        <v>670</v>
      </c>
      <c r="BA12" s="228">
        <v>-482</v>
      </c>
      <c r="BB12" s="229">
        <v>-0.71940000000000004</v>
      </c>
      <c r="BC12" s="228">
        <v>31</v>
      </c>
      <c r="BD12" s="228">
        <v>64</v>
      </c>
      <c r="BE12" s="228">
        <v>-33</v>
      </c>
      <c r="BF12" s="229">
        <v>-0.51559999999999995</v>
      </c>
      <c r="BG12" s="230">
        <v>14497</v>
      </c>
      <c r="BH12" s="230">
        <v>17710</v>
      </c>
      <c r="BI12" s="230">
        <v>-3213</v>
      </c>
      <c r="BJ12" s="229">
        <v>-0.18140000000000001</v>
      </c>
      <c r="BK12" s="230">
        <v>3781</v>
      </c>
      <c r="BL12" s="230">
        <v>5010</v>
      </c>
      <c r="BM12" s="230">
        <v>-1229</v>
      </c>
      <c r="BN12" s="229">
        <v>-0.24529999999999999</v>
      </c>
      <c r="BO12" s="230">
        <v>21300</v>
      </c>
      <c r="BP12" s="230">
        <v>27515</v>
      </c>
      <c r="BQ12" s="230">
        <v>-6215</v>
      </c>
      <c r="BR12" s="229">
        <v>-0.22589999999999999</v>
      </c>
      <c r="BS12" s="230">
        <v>2591554</v>
      </c>
      <c r="BT12" s="230">
        <v>2608638</v>
      </c>
      <c r="BU12" s="230">
        <v>-17084</v>
      </c>
      <c r="BV12" s="229">
        <v>-6.4999999999999997E-3</v>
      </c>
      <c r="BW12" s="230">
        <v>14906250</v>
      </c>
      <c r="BX12" s="230">
        <v>14947125</v>
      </c>
      <c r="BY12" s="230">
        <v>-40875</v>
      </c>
      <c r="BZ12" s="229">
        <v>-2.7000000000000001E-3</v>
      </c>
      <c r="CA12" s="230">
        <v>13645125</v>
      </c>
      <c r="CB12" s="230">
        <v>13708125</v>
      </c>
      <c r="CC12" s="230">
        <v>-63000</v>
      </c>
      <c r="CD12" s="229">
        <v>-4.5999999999999999E-3</v>
      </c>
      <c r="CE12" s="230">
        <v>1176750</v>
      </c>
      <c r="CF12" s="230">
        <v>1156125</v>
      </c>
      <c r="CG12" s="230">
        <v>20625</v>
      </c>
      <c r="CH12" s="229">
        <v>1.78E-2</v>
      </c>
      <c r="CI12" s="230">
        <v>84375</v>
      </c>
      <c r="CJ12" s="230">
        <v>82875</v>
      </c>
      <c r="CK12" s="230">
        <v>1500</v>
      </c>
      <c r="CL12" s="229">
        <v>1.8100000000000002E-2</v>
      </c>
      <c r="CM12" s="230">
        <v>4484625</v>
      </c>
      <c r="CN12" s="230">
        <v>4174125</v>
      </c>
      <c r="CO12" s="230">
        <v>310500</v>
      </c>
      <c r="CP12" s="229">
        <v>7.4399999999999994E-2</v>
      </c>
      <c r="CQ12" s="230">
        <v>3490125</v>
      </c>
      <c r="CR12" s="230">
        <v>3431625</v>
      </c>
      <c r="CS12" s="230">
        <v>58500</v>
      </c>
      <c r="CT12" s="229">
        <v>1.7000000000000001E-2</v>
      </c>
      <c r="CU12" s="230">
        <v>22881000</v>
      </c>
      <c r="CV12" s="230">
        <v>22552875</v>
      </c>
      <c r="CW12" s="230">
        <v>328125</v>
      </c>
      <c r="CX12" s="229">
        <v>1.4500000000000001E-2</v>
      </c>
      <c r="CY12" s="228">
        <v>25.1</v>
      </c>
      <c r="CZ12" s="228">
        <v>25.68</v>
      </c>
      <c r="DA12" s="228">
        <v>-0.57999999999999996</v>
      </c>
      <c r="DB12" s="228">
        <v>-0.57999999999999996</v>
      </c>
      <c r="DC12" s="228">
        <v>25.15</v>
      </c>
      <c r="DD12" s="228">
        <v>25.2</v>
      </c>
      <c r="DE12" s="228">
        <v>-0.05</v>
      </c>
      <c r="DF12" s="228">
        <v>-0.05</v>
      </c>
      <c r="DG12" s="228">
        <v>24.85</v>
      </c>
      <c r="DH12" s="228">
        <v>25.39</v>
      </c>
      <c r="DI12" s="228">
        <v>-0.54</v>
      </c>
      <c r="DJ12" s="228">
        <v>-0.54</v>
      </c>
      <c r="DK12" s="228">
        <v>26.05</v>
      </c>
      <c r="DL12" s="228">
        <v>26.71</v>
      </c>
      <c r="DM12" s="228">
        <v>-0.66</v>
      </c>
      <c r="DN12" s="228">
        <v>-0.66</v>
      </c>
      <c r="DO12" s="228">
        <v>0.78</v>
      </c>
      <c r="DP12" s="228">
        <v>0.82</v>
      </c>
      <c r="DQ12" s="228">
        <v>-0.04</v>
      </c>
      <c r="DR12" s="229">
        <v>-4.8800000000000003E-2</v>
      </c>
      <c r="DS12" s="231">
        <v>1300</v>
      </c>
      <c r="DT12" s="231">
        <v>1160</v>
      </c>
      <c r="DU12" s="228">
        <v>0.26</v>
      </c>
      <c r="DV12" s="228">
        <v>0.28000000000000003</v>
      </c>
      <c r="DW12" s="228">
        <v>-0.02</v>
      </c>
      <c r="DX12" s="229">
        <v>-7.1400000000000005E-2</v>
      </c>
      <c r="DY12" s="229">
        <v>8.4599999999999995E-2</v>
      </c>
      <c r="DZ12" s="230">
        <v>1239000</v>
      </c>
      <c r="EA12" s="229">
        <v>6.4000000000000003E-3</v>
      </c>
      <c r="EB12" s="229">
        <v>8.4599999999999995E-2</v>
      </c>
      <c r="EC12" s="228">
        <v>7.44</v>
      </c>
      <c r="ED12" s="229">
        <v>6.1000000000000004E-3</v>
      </c>
      <c r="EE12" s="230">
        <v>1702405</v>
      </c>
      <c r="EF12" s="230">
        <v>1499339</v>
      </c>
      <c r="EG12" s="229">
        <v>0.13539999999999999</v>
      </c>
      <c r="EH12" s="229">
        <v>0.65690000000000004</v>
      </c>
      <c r="EI12" s="231">
        <v>69209.460000000006</v>
      </c>
      <c r="EJ12" s="231">
        <v>17154.47</v>
      </c>
      <c r="EK12" s="231">
        <v>13925.69</v>
      </c>
      <c r="EL12" s="231">
        <v>4948</v>
      </c>
      <c r="EM12" s="231">
        <v>100289.62</v>
      </c>
      <c r="EN12" s="231">
        <v>128672.53</v>
      </c>
      <c r="EO12" s="231">
        <v>-28382.91</v>
      </c>
      <c r="EP12" s="229">
        <v>-0.22059999999999999</v>
      </c>
      <c r="EQ12" s="231">
        <v>57546</v>
      </c>
      <c r="ER12" s="231">
        <v>41056</v>
      </c>
      <c r="ES12" s="231">
        <v>183031</v>
      </c>
      <c r="ET12" s="231">
        <v>76385219</v>
      </c>
      <c r="EU12" s="231">
        <v>281632</v>
      </c>
      <c r="EV12" s="231">
        <v>276549</v>
      </c>
      <c r="EW12" s="231">
        <v>5083</v>
      </c>
      <c r="EX12" s="229">
        <v>1.84E-2</v>
      </c>
      <c r="EY12" s="229">
        <v>0.29949999999999999</v>
      </c>
    </row>
    <row r="13" spans="1:155" ht="17.25" thickBot="1" x14ac:dyDescent="0.3">
      <c r="A13" s="226">
        <v>46121</v>
      </c>
      <c r="B13" s="227" t="s">
        <v>227</v>
      </c>
      <c r="C13" s="227" t="s">
        <v>200</v>
      </c>
      <c r="D13" s="228">
        <v>452.9</v>
      </c>
      <c r="E13" s="228">
        <v>445.65</v>
      </c>
      <c r="F13" s="228">
        <v>7.25</v>
      </c>
      <c r="G13" s="229">
        <v>1.6299999999999999E-2</v>
      </c>
      <c r="H13" s="228">
        <v>454.1</v>
      </c>
      <c r="I13" s="228">
        <v>449.25</v>
      </c>
      <c r="J13" s="228">
        <v>4.8499999999999996</v>
      </c>
      <c r="K13" s="229">
        <v>1.0800000000000001E-2</v>
      </c>
      <c r="L13" s="228">
        <v>452.9</v>
      </c>
      <c r="M13" s="228">
        <v>445.65</v>
      </c>
      <c r="N13" s="228">
        <v>7.25</v>
      </c>
      <c r="O13" s="229">
        <v>1.6299999999999999E-2</v>
      </c>
      <c r="P13" s="228">
        <v>452.4</v>
      </c>
      <c r="Q13" s="228">
        <v>445.4</v>
      </c>
      <c r="R13" s="228">
        <v>7</v>
      </c>
      <c r="S13" s="229">
        <v>1.5699999999999999E-2</v>
      </c>
      <c r="T13" s="228">
        <v>453.6</v>
      </c>
      <c r="U13" s="228">
        <v>446.3</v>
      </c>
      <c r="V13" s="228">
        <v>7.3</v>
      </c>
      <c r="W13" s="229">
        <v>1.6400000000000001E-2</v>
      </c>
      <c r="X13" s="228">
        <v>-1.2</v>
      </c>
      <c r="Y13" s="228">
        <v>-3.6</v>
      </c>
      <c r="Z13" s="228">
        <v>2.4</v>
      </c>
      <c r="AA13" s="229">
        <v>-2.5999999999999999E-3</v>
      </c>
      <c r="AB13" s="228">
        <v>-1.2</v>
      </c>
      <c r="AC13" s="228">
        <v>-3.6</v>
      </c>
      <c r="AD13" s="228">
        <v>2.4</v>
      </c>
      <c r="AE13" s="229">
        <v>-2.5999999999999999E-3</v>
      </c>
      <c r="AF13" s="228">
        <v>-1.7</v>
      </c>
      <c r="AG13" s="228">
        <v>-3.85</v>
      </c>
      <c r="AH13" s="228">
        <v>2.15</v>
      </c>
      <c r="AI13" s="229">
        <v>-3.7000000000000002E-3</v>
      </c>
      <c r="AJ13" s="228">
        <v>-0.5</v>
      </c>
      <c r="AK13" s="228">
        <v>-2.95</v>
      </c>
      <c r="AL13" s="228">
        <v>2.4500000000000002</v>
      </c>
      <c r="AM13" s="229">
        <v>-1.1000000000000001E-3</v>
      </c>
      <c r="AN13" s="228">
        <v>451.97</v>
      </c>
      <c r="AO13" s="228">
        <v>450.75</v>
      </c>
      <c r="AP13" s="228">
        <v>0</v>
      </c>
      <c r="AQ13" s="230">
        <v>8108</v>
      </c>
      <c r="AR13" s="230">
        <v>13926</v>
      </c>
      <c r="AS13" s="230">
        <v>-5818</v>
      </c>
      <c r="AT13" s="229">
        <v>-0.4178</v>
      </c>
      <c r="AU13" s="230">
        <v>7214</v>
      </c>
      <c r="AV13" s="230">
        <v>12737</v>
      </c>
      <c r="AW13" s="230">
        <v>-5523</v>
      </c>
      <c r="AX13" s="229">
        <v>-0.43359999999999999</v>
      </c>
      <c r="AY13" s="228">
        <v>736</v>
      </c>
      <c r="AZ13" s="230">
        <v>1020</v>
      </c>
      <c r="BA13" s="228">
        <v>-284</v>
      </c>
      <c r="BB13" s="229">
        <v>-0.27839999999999998</v>
      </c>
      <c r="BC13" s="228">
        <v>158</v>
      </c>
      <c r="BD13" s="228">
        <v>169</v>
      </c>
      <c r="BE13" s="228">
        <v>-11</v>
      </c>
      <c r="BF13" s="229">
        <v>-6.5100000000000005E-2</v>
      </c>
      <c r="BG13" s="230">
        <v>29350</v>
      </c>
      <c r="BH13" s="230">
        <v>37826</v>
      </c>
      <c r="BI13" s="230">
        <v>-8476</v>
      </c>
      <c r="BJ13" s="229">
        <v>-0.22409999999999999</v>
      </c>
      <c r="BK13" s="230">
        <v>10957</v>
      </c>
      <c r="BL13" s="230">
        <v>17279</v>
      </c>
      <c r="BM13" s="230">
        <v>-6322</v>
      </c>
      <c r="BN13" s="229">
        <v>-0.3659</v>
      </c>
      <c r="BO13" s="230">
        <v>48415</v>
      </c>
      <c r="BP13" s="230">
        <v>69031</v>
      </c>
      <c r="BQ13" s="230">
        <v>-20616</v>
      </c>
      <c r="BR13" s="229">
        <v>-0.29859999999999998</v>
      </c>
      <c r="BS13" s="230">
        <v>9973506</v>
      </c>
      <c r="BT13" s="230">
        <v>21201541</v>
      </c>
      <c r="BU13" s="230">
        <v>-11228035</v>
      </c>
      <c r="BV13" s="229">
        <v>-0.52959999999999996</v>
      </c>
      <c r="BW13" s="230">
        <v>60069600</v>
      </c>
      <c r="BX13" s="230">
        <v>61076700</v>
      </c>
      <c r="BY13" s="230">
        <v>-1007100</v>
      </c>
      <c r="BZ13" s="229">
        <v>-1.6500000000000001E-2</v>
      </c>
      <c r="CA13" s="230">
        <v>57962250</v>
      </c>
      <c r="CB13" s="230">
        <v>59167800</v>
      </c>
      <c r="CC13" s="230">
        <v>-1205550</v>
      </c>
      <c r="CD13" s="229">
        <v>-2.0400000000000001E-2</v>
      </c>
      <c r="CE13" s="230">
        <v>1711800</v>
      </c>
      <c r="CF13" s="230">
        <v>1582200</v>
      </c>
      <c r="CG13" s="230">
        <v>129600</v>
      </c>
      <c r="CH13" s="229">
        <v>8.1900000000000001E-2</v>
      </c>
      <c r="CI13" s="230">
        <v>395550</v>
      </c>
      <c r="CJ13" s="230">
        <v>326700</v>
      </c>
      <c r="CK13" s="230">
        <v>68850</v>
      </c>
      <c r="CL13" s="229">
        <v>0.2107</v>
      </c>
      <c r="CM13" s="230">
        <v>27876150</v>
      </c>
      <c r="CN13" s="230">
        <v>29579850</v>
      </c>
      <c r="CO13" s="230">
        <v>-1703700</v>
      </c>
      <c r="CP13" s="229">
        <v>-5.7599999999999998E-2</v>
      </c>
      <c r="CQ13" s="230">
        <v>17832150</v>
      </c>
      <c r="CR13" s="230">
        <v>16225650</v>
      </c>
      <c r="CS13" s="230">
        <v>1606500</v>
      </c>
      <c r="CT13" s="229">
        <v>9.9000000000000005E-2</v>
      </c>
      <c r="CU13" s="230">
        <v>105777900</v>
      </c>
      <c r="CV13" s="230">
        <v>106882200</v>
      </c>
      <c r="CW13" s="230">
        <v>-1104300</v>
      </c>
      <c r="CX13" s="229">
        <v>-1.03E-2</v>
      </c>
      <c r="CY13" s="228">
        <v>28.22</v>
      </c>
      <c r="CZ13" s="228">
        <v>30.21</v>
      </c>
      <c r="DA13" s="228">
        <v>-1.99</v>
      </c>
      <c r="DB13" s="228">
        <v>-1.99</v>
      </c>
      <c r="DC13" s="228">
        <v>30.71</v>
      </c>
      <c r="DD13" s="228">
        <v>30.71</v>
      </c>
      <c r="DE13" s="228">
        <v>-2.4900000000000002</v>
      </c>
      <c r="DF13" s="228">
        <v>0</v>
      </c>
      <c r="DG13" s="228">
        <v>28.1</v>
      </c>
      <c r="DH13" s="228">
        <v>30.46</v>
      </c>
      <c r="DI13" s="228">
        <v>-2.36</v>
      </c>
      <c r="DJ13" s="228">
        <v>-2.36</v>
      </c>
      <c r="DK13" s="228">
        <v>28.53</v>
      </c>
      <c r="DL13" s="228">
        <v>29.66</v>
      </c>
      <c r="DM13" s="228">
        <v>-1.1299999999999999</v>
      </c>
      <c r="DN13" s="228">
        <v>-1.1299999999999999</v>
      </c>
      <c r="DO13" s="228">
        <v>0.64</v>
      </c>
      <c r="DP13" s="228">
        <v>0.55000000000000004</v>
      </c>
      <c r="DQ13" s="228">
        <v>0.09</v>
      </c>
      <c r="DR13" s="229">
        <v>0.1636</v>
      </c>
      <c r="DS13" s="228">
        <v>500</v>
      </c>
      <c r="DT13" s="228">
        <v>450</v>
      </c>
      <c r="DU13" s="228">
        <v>0.37</v>
      </c>
      <c r="DV13" s="228">
        <v>0.46</v>
      </c>
      <c r="DW13" s="228">
        <v>-0.09</v>
      </c>
      <c r="DX13" s="229">
        <v>-0.19570000000000001</v>
      </c>
      <c r="DY13" s="229">
        <v>3.5099999999999999E-2</v>
      </c>
      <c r="DZ13" s="230">
        <v>1908900</v>
      </c>
      <c r="EA13" s="229">
        <v>-1.1000000000000001E-3</v>
      </c>
      <c r="EB13" s="229">
        <v>3.5099999999999999E-2</v>
      </c>
      <c r="EC13" s="228">
        <v>-1.22</v>
      </c>
      <c r="ED13" s="229">
        <v>-2.7000000000000001E-3</v>
      </c>
      <c r="EE13" s="230">
        <v>4169022</v>
      </c>
      <c r="EF13" s="230">
        <v>11338256</v>
      </c>
      <c r="EG13" s="229">
        <v>-0.63229999999999997</v>
      </c>
      <c r="EH13" s="229">
        <v>0.41799999999999998</v>
      </c>
      <c r="EI13" s="231">
        <v>187157.97</v>
      </c>
      <c r="EJ13" s="231">
        <v>66763.59</v>
      </c>
      <c r="EK13" s="231">
        <v>49457.97</v>
      </c>
      <c r="EL13" s="231">
        <v>8614</v>
      </c>
      <c r="EM13" s="231">
        <v>303379.53000000003</v>
      </c>
      <c r="EN13" s="231">
        <v>431214.98</v>
      </c>
      <c r="EO13" s="231">
        <v>-127835.45</v>
      </c>
      <c r="EP13" s="229">
        <v>-0.29649999999999999</v>
      </c>
      <c r="EQ13" s="231">
        <v>132465</v>
      </c>
      <c r="ER13" s="231">
        <v>77013</v>
      </c>
      <c r="ES13" s="231">
        <v>272049</v>
      </c>
      <c r="ET13" s="231">
        <v>320531323</v>
      </c>
      <c r="EU13" s="231">
        <v>481528</v>
      </c>
      <c r="EV13" s="231">
        <v>482081</v>
      </c>
      <c r="EW13" s="228">
        <v>-553</v>
      </c>
      <c r="EX13" s="229">
        <v>-1.1000000000000001E-3</v>
      </c>
      <c r="EY13" s="229">
        <v>0.33</v>
      </c>
    </row>
    <row r="14" spans="1:155" ht="17.25" thickBot="1" x14ac:dyDescent="0.3">
      <c r="A14" s="226">
        <v>46121</v>
      </c>
      <c r="B14" s="227" t="s">
        <v>170</v>
      </c>
      <c r="C14" s="227" t="s">
        <v>208</v>
      </c>
      <c r="D14" s="231">
        <v>1216.9000000000001</v>
      </c>
      <c r="E14" s="231">
        <v>1193</v>
      </c>
      <c r="F14" s="228">
        <v>23.9</v>
      </c>
      <c r="G14" s="229">
        <v>0.02</v>
      </c>
      <c r="H14" s="231">
        <v>1211.9000000000001</v>
      </c>
      <c r="I14" s="231">
        <v>1191.4000000000001</v>
      </c>
      <c r="J14" s="228">
        <v>20.5</v>
      </c>
      <c r="K14" s="229">
        <v>1.72E-2</v>
      </c>
      <c r="L14" s="231">
        <v>1216.9000000000001</v>
      </c>
      <c r="M14" s="231">
        <v>1193</v>
      </c>
      <c r="N14" s="228">
        <v>23.9</v>
      </c>
      <c r="O14" s="229">
        <v>0.02</v>
      </c>
      <c r="P14" s="231">
        <v>1221.9000000000001</v>
      </c>
      <c r="Q14" s="231">
        <v>1198.2</v>
      </c>
      <c r="R14" s="228">
        <v>23.7</v>
      </c>
      <c r="S14" s="229">
        <v>1.9800000000000002E-2</v>
      </c>
      <c r="T14" s="231">
        <v>1228.3</v>
      </c>
      <c r="U14" s="231">
        <v>1204.3</v>
      </c>
      <c r="V14" s="228">
        <v>24</v>
      </c>
      <c r="W14" s="229">
        <v>1.9900000000000001E-2</v>
      </c>
      <c r="X14" s="228">
        <v>5</v>
      </c>
      <c r="Y14" s="228">
        <v>1.6</v>
      </c>
      <c r="Z14" s="228">
        <v>3.4</v>
      </c>
      <c r="AA14" s="229">
        <v>4.1000000000000003E-3</v>
      </c>
      <c r="AB14" s="228">
        <v>5</v>
      </c>
      <c r="AC14" s="228">
        <v>1.6</v>
      </c>
      <c r="AD14" s="228">
        <v>3.4</v>
      </c>
      <c r="AE14" s="229">
        <v>4.1000000000000003E-3</v>
      </c>
      <c r="AF14" s="228">
        <v>10</v>
      </c>
      <c r="AG14" s="228">
        <v>6.8</v>
      </c>
      <c r="AH14" s="228">
        <v>3.2</v>
      </c>
      <c r="AI14" s="229">
        <v>8.3000000000000001E-3</v>
      </c>
      <c r="AJ14" s="228">
        <v>16.399999999999999</v>
      </c>
      <c r="AK14" s="228">
        <v>12.9</v>
      </c>
      <c r="AL14" s="228">
        <v>3.5</v>
      </c>
      <c r="AM14" s="229">
        <v>1.35E-2</v>
      </c>
      <c r="AN14" s="231">
        <v>1210.9000000000001</v>
      </c>
      <c r="AO14" s="231">
        <v>1215.02</v>
      </c>
      <c r="AP14" s="228">
        <v>0</v>
      </c>
      <c r="AQ14" s="230">
        <v>4328</v>
      </c>
      <c r="AR14" s="230">
        <v>5435</v>
      </c>
      <c r="AS14" s="230">
        <v>-1107</v>
      </c>
      <c r="AT14" s="229">
        <v>-0.20369999999999999</v>
      </c>
      <c r="AU14" s="230">
        <v>4069</v>
      </c>
      <c r="AV14" s="230">
        <v>5096</v>
      </c>
      <c r="AW14" s="230">
        <v>-1027</v>
      </c>
      <c r="AX14" s="229">
        <v>-0.20150000000000001</v>
      </c>
      <c r="AY14" s="228">
        <v>216</v>
      </c>
      <c r="AZ14" s="228">
        <v>315</v>
      </c>
      <c r="BA14" s="228">
        <v>-99</v>
      </c>
      <c r="BB14" s="229">
        <v>-0.31430000000000002</v>
      </c>
      <c r="BC14" s="228">
        <v>43</v>
      </c>
      <c r="BD14" s="228">
        <v>24</v>
      </c>
      <c r="BE14" s="228">
        <v>19</v>
      </c>
      <c r="BF14" s="229">
        <v>0.79169999999999996</v>
      </c>
      <c r="BG14" s="230">
        <v>13354</v>
      </c>
      <c r="BH14" s="230">
        <v>13331</v>
      </c>
      <c r="BI14" s="228">
        <v>23</v>
      </c>
      <c r="BJ14" s="229">
        <v>1.6999999999999999E-3</v>
      </c>
      <c r="BK14" s="230">
        <v>9003</v>
      </c>
      <c r="BL14" s="230">
        <v>7915</v>
      </c>
      <c r="BM14" s="230">
        <v>1088</v>
      </c>
      <c r="BN14" s="229">
        <v>0.13750000000000001</v>
      </c>
      <c r="BO14" s="230">
        <v>26685</v>
      </c>
      <c r="BP14" s="230">
        <v>26681</v>
      </c>
      <c r="BQ14" s="228">
        <v>4</v>
      </c>
      <c r="BR14" s="229">
        <v>1E-4</v>
      </c>
      <c r="BS14" s="230">
        <v>2822468</v>
      </c>
      <c r="BT14" s="230">
        <v>2493528</v>
      </c>
      <c r="BU14" s="230">
        <v>328940</v>
      </c>
      <c r="BV14" s="229">
        <v>0.13189999999999999</v>
      </c>
      <c r="BW14" s="230">
        <v>13411875</v>
      </c>
      <c r="BX14" s="230">
        <v>13710000</v>
      </c>
      <c r="BY14" s="230">
        <v>-298125</v>
      </c>
      <c r="BZ14" s="229">
        <v>-2.1700000000000001E-2</v>
      </c>
      <c r="CA14" s="230">
        <v>12988125</v>
      </c>
      <c r="CB14" s="230">
        <v>13260625</v>
      </c>
      <c r="CC14" s="230">
        <v>-272500</v>
      </c>
      <c r="CD14" s="229">
        <v>-2.0500000000000001E-2</v>
      </c>
      <c r="CE14" s="230">
        <v>344375</v>
      </c>
      <c r="CF14" s="230">
        <v>365625</v>
      </c>
      <c r="CG14" s="230">
        <v>-21250</v>
      </c>
      <c r="CH14" s="229">
        <v>-5.8099999999999999E-2</v>
      </c>
      <c r="CI14" s="230">
        <v>79375</v>
      </c>
      <c r="CJ14" s="230">
        <v>83750</v>
      </c>
      <c r="CK14" s="230">
        <v>-4375</v>
      </c>
      <c r="CL14" s="229">
        <v>-5.2200000000000003E-2</v>
      </c>
      <c r="CM14" s="230">
        <v>5693125</v>
      </c>
      <c r="CN14" s="230">
        <v>6451250</v>
      </c>
      <c r="CO14" s="230">
        <v>-758125</v>
      </c>
      <c r="CP14" s="229">
        <v>-0.11749999999999999</v>
      </c>
      <c r="CQ14" s="230">
        <v>4359375</v>
      </c>
      <c r="CR14" s="230">
        <v>5103750</v>
      </c>
      <c r="CS14" s="230">
        <v>-744375</v>
      </c>
      <c r="CT14" s="229">
        <v>-0.14580000000000001</v>
      </c>
      <c r="CU14" s="230">
        <v>23464375</v>
      </c>
      <c r="CV14" s="230">
        <v>25265000</v>
      </c>
      <c r="CW14" s="230">
        <v>-1800625</v>
      </c>
      <c r="CX14" s="229">
        <v>-7.1300000000000002E-2</v>
      </c>
      <c r="CY14" s="228">
        <v>26.7</v>
      </c>
      <c r="CZ14" s="228">
        <v>28.07</v>
      </c>
      <c r="DA14" s="228">
        <v>-1.37</v>
      </c>
      <c r="DB14" s="228">
        <v>-1.37</v>
      </c>
      <c r="DC14" s="228">
        <v>26.14</v>
      </c>
      <c r="DD14" s="228">
        <v>26.11</v>
      </c>
      <c r="DE14" s="228">
        <v>0.56000000000000005</v>
      </c>
      <c r="DF14" s="228">
        <v>0.03</v>
      </c>
      <c r="DG14" s="228">
        <v>25.77</v>
      </c>
      <c r="DH14" s="228">
        <v>27.93</v>
      </c>
      <c r="DI14" s="228">
        <v>-2.16</v>
      </c>
      <c r="DJ14" s="228">
        <v>-2.16</v>
      </c>
      <c r="DK14" s="228">
        <v>28.07</v>
      </c>
      <c r="DL14" s="228">
        <v>28.32</v>
      </c>
      <c r="DM14" s="228">
        <v>-0.25</v>
      </c>
      <c r="DN14" s="228">
        <v>-0.25</v>
      </c>
      <c r="DO14" s="228">
        <v>0.77</v>
      </c>
      <c r="DP14" s="228">
        <v>0.79</v>
      </c>
      <c r="DQ14" s="228">
        <v>-0.02</v>
      </c>
      <c r="DR14" s="229">
        <v>-2.53E-2</v>
      </c>
      <c r="DS14" s="231">
        <v>1260</v>
      </c>
      <c r="DT14" s="231">
        <v>1200</v>
      </c>
      <c r="DU14" s="228">
        <v>0.67</v>
      </c>
      <c r="DV14" s="228">
        <v>0.59</v>
      </c>
      <c r="DW14" s="228">
        <v>0.08</v>
      </c>
      <c r="DX14" s="229">
        <v>0.1356</v>
      </c>
      <c r="DY14" s="229">
        <v>3.1600000000000003E-2</v>
      </c>
      <c r="DZ14" s="230">
        <v>449375</v>
      </c>
      <c r="EA14" s="229">
        <v>4.1000000000000003E-3</v>
      </c>
      <c r="EB14" s="229">
        <v>3.1600000000000003E-2</v>
      </c>
      <c r="EC14" s="228">
        <v>4.12</v>
      </c>
      <c r="ED14" s="229">
        <v>3.3999999999999998E-3</v>
      </c>
      <c r="EE14" s="230">
        <v>1753449</v>
      </c>
      <c r="EF14" s="230">
        <v>1474197</v>
      </c>
      <c r="EG14" s="229">
        <v>0.18940000000000001</v>
      </c>
      <c r="EH14" s="229">
        <v>0.62119999999999997</v>
      </c>
      <c r="EI14" s="231">
        <v>104804.95</v>
      </c>
      <c r="EJ14" s="231">
        <v>66390.710000000006</v>
      </c>
      <c r="EK14" s="231">
        <v>32763.5</v>
      </c>
      <c r="EL14" s="231">
        <v>5339</v>
      </c>
      <c r="EM14" s="231">
        <v>203959.16</v>
      </c>
      <c r="EN14" s="231">
        <v>203684.12</v>
      </c>
      <c r="EO14" s="228">
        <v>275.04000000000002</v>
      </c>
      <c r="EP14" s="229">
        <v>1.4E-3</v>
      </c>
      <c r="EQ14" s="231">
        <v>71733</v>
      </c>
      <c r="ER14" s="231">
        <v>51409</v>
      </c>
      <c r="ES14" s="231">
        <v>163235</v>
      </c>
      <c r="ET14" s="231">
        <v>61026255</v>
      </c>
      <c r="EU14" s="231">
        <v>286377</v>
      </c>
      <c r="EV14" s="231">
        <v>304398</v>
      </c>
      <c r="EW14" s="231">
        <v>-18021</v>
      </c>
      <c r="EX14" s="229">
        <v>-5.9200000000000003E-2</v>
      </c>
      <c r="EY14" s="229">
        <v>0.38450000000000001</v>
      </c>
    </row>
    <row r="15" spans="1:155" ht="17.25" thickBot="1" x14ac:dyDescent="0.3">
      <c r="A15" s="226">
        <v>46121</v>
      </c>
      <c r="B15" s="227" t="s">
        <v>162</v>
      </c>
      <c r="C15" s="227" t="s">
        <v>209</v>
      </c>
      <c r="D15" s="231">
        <v>7161</v>
      </c>
      <c r="E15" s="231">
        <v>7163</v>
      </c>
      <c r="F15" s="228">
        <v>-2</v>
      </c>
      <c r="G15" s="229">
        <v>-2.9999999999999997E-4</v>
      </c>
      <c r="H15" s="231">
        <v>7147.5</v>
      </c>
      <c r="I15" s="231">
        <v>7131</v>
      </c>
      <c r="J15" s="228">
        <v>16.5</v>
      </c>
      <c r="K15" s="229">
        <v>2.3E-3</v>
      </c>
      <c r="L15" s="231">
        <v>7161</v>
      </c>
      <c r="M15" s="231">
        <v>7163</v>
      </c>
      <c r="N15" s="228">
        <v>-2</v>
      </c>
      <c r="O15" s="229">
        <v>-2.9999999999999997E-4</v>
      </c>
      <c r="P15" s="231">
        <v>7202</v>
      </c>
      <c r="Q15" s="231">
        <v>7200.5</v>
      </c>
      <c r="R15" s="228">
        <v>1.5</v>
      </c>
      <c r="S15" s="229">
        <v>2.0000000000000001E-4</v>
      </c>
      <c r="T15" s="231">
        <v>7236.5</v>
      </c>
      <c r="U15" s="231">
        <v>7235.5</v>
      </c>
      <c r="V15" s="228">
        <v>1</v>
      </c>
      <c r="W15" s="229">
        <v>1E-4</v>
      </c>
      <c r="X15" s="228">
        <v>13.5</v>
      </c>
      <c r="Y15" s="228">
        <v>32</v>
      </c>
      <c r="Z15" s="228">
        <v>-18.5</v>
      </c>
      <c r="AA15" s="229">
        <v>1.9E-3</v>
      </c>
      <c r="AB15" s="228">
        <v>13.5</v>
      </c>
      <c r="AC15" s="228">
        <v>32</v>
      </c>
      <c r="AD15" s="228">
        <v>-18.5</v>
      </c>
      <c r="AE15" s="229">
        <v>1.9E-3</v>
      </c>
      <c r="AF15" s="228">
        <v>54.5</v>
      </c>
      <c r="AG15" s="228">
        <v>69.5</v>
      </c>
      <c r="AH15" s="228">
        <v>-15</v>
      </c>
      <c r="AI15" s="229">
        <v>7.6E-3</v>
      </c>
      <c r="AJ15" s="228">
        <v>89</v>
      </c>
      <c r="AK15" s="228">
        <v>104.5</v>
      </c>
      <c r="AL15" s="228">
        <v>-15.5</v>
      </c>
      <c r="AM15" s="229">
        <v>1.2500000000000001E-2</v>
      </c>
      <c r="AN15" s="231">
        <v>7136.4</v>
      </c>
      <c r="AO15" s="231">
        <v>7170.08</v>
      </c>
      <c r="AP15" s="228">
        <v>0</v>
      </c>
      <c r="AQ15" s="230">
        <v>7104</v>
      </c>
      <c r="AR15" s="230">
        <v>10199</v>
      </c>
      <c r="AS15" s="230">
        <v>-3095</v>
      </c>
      <c r="AT15" s="229">
        <v>-0.30349999999999999</v>
      </c>
      <c r="AU15" s="230">
        <v>6324</v>
      </c>
      <c r="AV15" s="230">
        <v>9685</v>
      </c>
      <c r="AW15" s="230">
        <v>-3361</v>
      </c>
      <c r="AX15" s="229">
        <v>-0.34699999999999998</v>
      </c>
      <c r="AY15" s="228">
        <v>238</v>
      </c>
      <c r="AZ15" s="228">
        <v>459</v>
      </c>
      <c r="BA15" s="228">
        <v>-221</v>
      </c>
      <c r="BB15" s="229">
        <v>-0.48149999999999998</v>
      </c>
      <c r="BC15" s="228">
        <v>542</v>
      </c>
      <c r="BD15" s="228">
        <v>55</v>
      </c>
      <c r="BE15" s="228">
        <v>487</v>
      </c>
      <c r="BF15" s="229">
        <v>8.8544999999999998</v>
      </c>
      <c r="BG15" s="230">
        <v>20197</v>
      </c>
      <c r="BH15" s="230">
        <v>44628</v>
      </c>
      <c r="BI15" s="230">
        <v>-24431</v>
      </c>
      <c r="BJ15" s="229">
        <v>-0.5474</v>
      </c>
      <c r="BK15" s="230">
        <v>15869</v>
      </c>
      <c r="BL15" s="230">
        <v>19650</v>
      </c>
      <c r="BM15" s="230">
        <v>-3781</v>
      </c>
      <c r="BN15" s="229">
        <v>-0.19239999999999999</v>
      </c>
      <c r="BO15" s="230">
        <v>43170</v>
      </c>
      <c r="BP15" s="230">
        <v>74477</v>
      </c>
      <c r="BQ15" s="230">
        <v>-31307</v>
      </c>
      <c r="BR15" s="229">
        <v>-0.4204</v>
      </c>
      <c r="BS15" s="230">
        <v>670487</v>
      </c>
      <c r="BT15" s="230">
        <v>964888</v>
      </c>
      <c r="BU15" s="230">
        <v>-294401</v>
      </c>
      <c r="BV15" s="229">
        <v>-0.30509999999999998</v>
      </c>
      <c r="BW15" s="230">
        <v>4174800</v>
      </c>
      <c r="BX15" s="230">
        <v>4258600</v>
      </c>
      <c r="BY15" s="230">
        <v>-83800</v>
      </c>
      <c r="BZ15" s="229">
        <v>-1.9699999999999999E-2</v>
      </c>
      <c r="CA15" s="230">
        <v>3795300</v>
      </c>
      <c r="CB15" s="230">
        <v>3933800</v>
      </c>
      <c r="CC15" s="230">
        <v>-138500</v>
      </c>
      <c r="CD15" s="229">
        <v>-3.5200000000000002E-2</v>
      </c>
      <c r="CE15" s="230">
        <v>251500</v>
      </c>
      <c r="CF15" s="230">
        <v>247000</v>
      </c>
      <c r="CG15" s="230">
        <v>4500</v>
      </c>
      <c r="CH15" s="229">
        <v>1.8200000000000001E-2</v>
      </c>
      <c r="CI15" s="230">
        <v>128000</v>
      </c>
      <c r="CJ15" s="230">
        <v>77800</v>
      </c>
      <c r="CK15" s="230">
        <v>50200</v>
      </c>
      <c r="CL15" s="229">
        <v>0.6452</v>
      </c>
      <c r="CM15" s="230">
        <v>1401800</v>
      </c>
      <c r="CN15" s="230">
        <v>1388900</v>
      </c>
      <c r="CO15" s="230">
        <v>12900</v>
      </c>
      <c r="CP15" s="229">
        <v>9.2999999999999992E-3</v>
      </c>
      <c r="CQ15" s="230">
        <v>1233300</v>
      </c>
      <c r="CR15" s="230">
        <v>1079000</v>
      </c>
      <c r="CS15" s="230">
        <v>154300</v>
      </c>
      <c r="CT15" s="229">
        <v>0.14299999999999999</v>
      </c>
      <c r="CU15" s="230">
        <v>6809900</v>
      </c>
      <c r="CV15" s="230">
        <v>6726500</v>
      </c>
      <c r="CW15" s="230">
        <v>83400</v>
      </c>
      <c r="CX15" s="229">
        <v>1.24E-2</v>
      </c>
      <c r="CY15" s="228">
        <v>32.159999999999997</v>
      </c>
      <c r="CZ15" s="228">
        <v>31.67</v>
      </c>
      <c r="DA15" s="228">
        <v>0.49</v>
      </c>
      <c r="DB15" s="228">
        <v>0.49</v>
      </c>
      <c r="DC15" s="228">
        <v>33.11</v>
      </c>
      <c r="DD15" s="228">
        <v>33.200000000000003</v>
      </c>
      <c r="DE15" s="228">
        <v>-0.95</v>
      </c>
      <c r="DF15" s="228">
        <v>-0.09</v>
      </c>
      <c r="DG15" s="228">
        <v>30.58</v>
      </c>
      <c r="DH15" s="228">
        <v>30.67</v>
      </c>
      <c r="DI15" s="228">
        <v>-0.09</v>
      </c>
      <c r="DJ15" s="228">
        <v>-0.09</v>
      </c>
      <c r="DK15" s="228">
        <v>34.17</v>
      </c>
      <c r="DL15" s="228">
        <v>33.94</v>
      </c>
      <c r="DM15" s="228">
        <v>0.23</v>
      </c>
      <c r="DN15" s="228">
        <v>0.23</v>
      </c>
      <c r="DO15" s="228">
        <v>0.88</v>
      </c>
      <c r="DP15" s="228">
        <v>0.78</v>
      </c>
      <c r="DQ15" s="228">
        <v>0.1</v>
      </c>
      <c r="DR15" s="229">
        <v>0.12820000000000001</v>
      </c>
      <c r="DS15" s="231">
        <v>8000</v>
      </c>
      <c r="DT15" s="231">
        <v>6500</v>
      </c>
      <c r="DU15" s="228">
        <v>0.79</v>
      </c>
      <c r="DV15" s="228">
        <v>0.44</v>
      </c>
      <c r="DW15" s="228">
        <v>0.35</v>
      </c>
      <c r="DX15" s="229">
        <v>0.79549999999999998</v>
      </c>
      <c r="DY15" s="229">
        <v>9.0899999999999995E-2</v>
      </c>
      <c r="DZ15" s="230">
        <v>324800</v>
      </c>
      <c r="EA15" s="229">
        <v>5.7000000000000002E-3</v>
      </c>
      <c r="EB15" s="229">
        <v>9.0899999999999995E-2</v>
      </c>
      <c r="EC15" s="228">
        <v>33.68</v>
      </c>
      <c r="ED15" s="229">
        <v>4.7000000000000002E-3</v>
      </c>
      <c r="EE15" s="230">
        <v>338274</v>
      </c>
      <c r="EF15" s="230">
        <v>450967</v>
      </c>
      <c r="EG15" s="229">
        <v>-0.24990000000000001</v>
      </c>
      <c r="EH15" s="229">
        <v>0.50449999999999995</v>
      </c>
      <c r="EI15" s="231">
        <v>151790.34</v>
      </c>
      <c r="EJ15" s="231">
        <v>110081.22</v>
      </c>
      <c r="EK15" s="231">
        <v>50758.26</v>
      </c>
      <c r="EL15" s="231">
        <v>7806</v>
      </c>
      <c r="EM15" s="231">
        <v>312629.82</v>
      </c>
      <c r="EN15" s="231">
        <v>539412.43999999994</v>
      </c>
      <c r="EO15" s="231">
        <v>-226782.62</v>
      </c>
      <c r="EP15" s="229">
        <v>-0.4204</v>
      </c>
      <c r="EQ15" s="231">
        <v>102993</v>
      </c>
      <c r="ER15" s="231">
        <v>84600</v>
      </c>
      <c r="ES15" s="231">
        <v>299157</v>
      </c>
      <c r="ET15" s="231">
        <v>20960143</v>
      </c>
      <c r="EU15" s="231">
        <v>486751</v>
      </c>
      <c r="EV15" s="231">
        <v>481258</v>
      </c>
      <c r="EW15" s="231">
        <v>5493</v>
      </c>
      <c r="EX15" s="229">
        <v>1.14E-2</v>
      </c>
      <c r="EY15" s="229">
        <v>0.32490000000000002</v>
      </c>
    </row>
    <row r="16" spans="1:155" ht="17.25" thickBot="1" x14ac:dyDescent="0.3">
      <c r="A16" s="226">
        <v>46121</v>
      </c>
      <c r="B16" s="227" t="s">
        <v>614</v>
      </c>
      <c r="C16" s="227" t="s">
        <v>665</v>
      </c>
      <c r="D16" s="228">
        <v>238.9</v>
      </c>
      <c r="E16" s="228">
        <v>244.92</v>
      </c>
      <c r="F16" s="228">
        <v>-6.02</v>
      </c>
      <c r="G16" s="229">
        <v>-2.46E-2</v>
      </c>
      <c r="H16" s="228">
        <v>237.89</v>
      </c>
      <c r="I16" s="228">
        <v>243.62</v>
      </c>
      <c r="J16" s="228">
        <v>-5.73</v>
      </c>
      <c r="K16" s="229">
        <v>-2.35E-2</v>
      </c>
      <c r="L16" s="228">
        <v>238.9</v>
      </c>
      <c r="M16" s="228">
        <v>244.92</v>
      </c>
      <c r="N16" s="228">
        <v>-6.02</v>
      </c>
      <c r="O16" s="229">
        <v>-2.46E-2</v>
      </c>
      <c r="P16" s="228">
        <v>240.17</v>
      </c>
      <c r="Q16" s="228">
        <v>246.38</v>
      </c>
      <c r="R16" s="228">
        <v>-6.21</v>
      </c>
      <c r="S16" s="229">
        <v>-2.52E-2</v>
      </c>
      <c r="T16" s="228">
        <v>241.54</v>
      </c>
      <c r="U16" s="228">
        <v>247.97</v>
      </c>
      <c r="V16" s="228">
        <v>-6.43</v>
      </c>
      <c r="W16" s="229">
        <v>-2.5899999999999999E-2</v>
      </c>
      <c r="X16" s="228">
        <v>1.01</v>
      </c>
      <c r="Y16" s="228">
        <v>1.3</v>
      </c>
      <c r="Z16" s="228">
        <v>-0.28999999999999998</v>
      </c>
      <c r="AA16" s="229">
        <v>4.1999999999999997E-3</v>
      </c>
      <c r="AB16" s="228">
        <v>1.01</v>
      </c>
      <c r="AC16" s="228">
        <v>1.3</v>
      </c>
      <c r="AD16" s="228">
        <v>-0.28999999999999998</v>
      </c>
      <c r="AE16" s="229">
        <v>4.1999999999999997E-3</v>
      </c>
      <c r="AF16" s="228">
        <v>2.2799999999999998</v>
      </c>
      <c r="AG16" s="228">
        <v>2.76</v>
      </c>
      <c r="AH16" s="228">
        <v>-0.48</v>
      </c>
      <c r="AI16" s="229">
        <v>9.5999999999999992E-3</v>
      </c>
      <c r="AJ16" s="228">
        <v>3.65</v>
      </c>
      <c r="AK16" s="228">
        <v>4.3499999999999996</v>
      </c>
      <c r="AL16" s="228">
        <v>-0.7</v>
      </c>
      <c r="AM16" s="229">
        <v>1.5299999999999999E-2</v>
      </c>
      <c r="AN16" s="228">
        <v>239.81</v>
      </c>
      <c r="AO16" s="228">
        <v>241.6</v>
      </c>
      <c r="AP16" s="228">
        <v>0</v>
      </c>
      <c r="AQ16" s="230">
        <v>10330</v>
      </c>
      <c r="AR16" s="230">
        <v>14171</v>
      </c>
      <c r="AS16" s="230">
        <v>-3841</v>
      </c>
      <c r="AT16" s="229">
        <v>-0.27100000000000002</v>
      </c>
      <c r="AU16" s="230">
        <v>9481</v>
      </c>
      <c r="AV16" s="230">
        <v>13258</v>
      </c>
      <c r="AW16" s="230">
        <v>-3777</v>
      </c>
      <c r="AX16" s="229">
        <v>-0.28489999999999999</v>
      </c>
      <c r="AY16" s="228">
        <v>774</v>
      </c>
      <c r="AZ16" s="228">
        <v>757</v>
      </c>
      <c r="BA16" s="228">
        <v>17</v>
      </c>
      <c r="BB16" s="229">
        <v>2.2499999999999999E-2</v>
      </c>
      <c r="BC16" s="228">
        <v>75</v>
      </c>
      <c r="BD16" s="228">
        <v>156</v>
      </c>
      <c r="BE16" s="228">
        <v>-81</v>
      </c>
      <c r="BF16" s="229">
        <v>-0.51919999999999999</v>
      </c>
      <c r="BG16" s="230">
        <v>21688</v>
      </c>
      <c r="BH16" s="230">
        <v>30180</v>
      </c>
      <c r="BI16" s="230">
        <v>-8492</v>
      </c>
      <c r="BJ16" s="229">
        <v>-0.28139999999999998</v>
      </c>
      <c r="BK16" s="230">
        <v>10745</v>
      </c>
      <c r="BL16" s="230">
        <v>14178</v>
      </c>
      <c r="BM16" s="230">
        <v>-3433</v>
      </c>
      <c r="BN16" s="229">
        <v>-0.24210000000000001</v>
      </c>
      <c r="BO16" s="230">
        <v>42763</v>
      </c>
      <c r="BP16" s="230">
        <v>58529</v>
      </c>
      <c r="BQ16" s="230">
        <v>-15766</v>
      </c>
      <c r="BR16" s="229">
        <v>-0.26939999999999997</v>
      </c>
      <c r="BS16" s="230">
        <v>41044908</v>
      </c>
      <c r="BT16" s="230">
        <v>67096573</v>
      </c>
      <c r="BU16" s="230">
        <v>-26051665</v>
      </c>
      <c r="BV16" s="229">
        <v>-0.38829999999999998</v>
      </c>
      <c r="BW16" s="230">
        <v>201558725</v>
      </c>
      <c r="BX16" s="230">
        <v>200828800</v>
      </c>
      <c r="BY16" s="230">
        <v>729925</v>
      </c>
      <c r="BZ16" s="229">
        <v>3.5999999999999999E-3</v>
      </c>
      <c r="CA16" s="230">
        <v>186817150</v>
      </c>
      <c r="CB16" s="230">
        <v>186865650</v>
      </c>
      <c r="CC16" s="230">
        <v>-48500</v>
      </c>
      <c r="CD16" s="229">
        <v>-2.9999999999999997E-4</v>
      </c>
      <c r="CE16" s="230">
        <v>12389325</v>
      </c>
      <c r="CF16" s="230">
        <v>11664250</v>
      </c>
      <c r="CG16" s="230">
        <v>725075</v>
      </c>
      <c r="CH16" s="229">
        <v>6.2199999999999998E-2</v>
      </c>
      <c r="CI16" s="230">
        <v>2352250</v>
      </c>
      <c r="CJ16" s="230">
        <v>2298900</v>
      </c>
      <c r="CK16" s="230">
        <v>53350</v>
      </c>
      <c r="CL16" s="229">
        <v>2.3199999999999998E-2</v>
      </c>
      <c r="CM16" s="230">
        <v>56897775</v>
      </c>
      <c r="CN16" s="230">
        <v>50085950</v>
      </c>
      <c r="CO16" s="230">
        <v>6811825</v>
      </c>
      <c r="CP16" s="229">
        <v>0.13600000000000001</v>
      </c>
      <c r="CQ16" s="230">
        <v>39382000</v>
      </c>
      <c r="CR16" s="230">
        <v>37968225</v>
      </c>
      <c r="CS16" s="230">
        <v>1413775</v>
      </c>
      <c r="CT16" s="229">
        <v>3.7199999999999997E-2</v>
      </c>
      <c r="CU16" s="230">
        <v>297838500</v>
      </c>
      <c r="CV16" s="230">
        <v>288882975</v>
      </c>
      <c r="CW16" s="230">
        <v>8955525</v>
      </c>
      <c r="CX16" s="229">
        <v>3.1E-2</v>
      </c>
      <c r="CY16" s="228">
        <v>46.65</v>
      </c>
      <c r="CZ16" s="228">
        <v>45.76</v>
      </c>
      <c r="DA16" s="228">
        <v>0.89</v>
      </c>
      <c r="DB16" s="228">
        <v>0.89</v>
      </c>
      <c r="DC16" s="228">
        <v>46.26</v>
      </c>
      <c r="DD16" s="228">
        <v>46.27</v>
      </c>
      <c r="DE16" s="228">
        <v>0.39</v>
      </c>
      <c r="DF16" s="228">
        <v>-0.01</v>
      </c>
      <c r="DG16" s="228">
        <v>45.26</v>
      </c>
      <c r="DH16" s="228">
        <v>44.35</v>
      </c>
      <c r="DI16" s="228">
        <v>0.91</v>
      </c>
      <c r="DJ16" s="228">
        <v>0.91</v>
      </c>
      <c r="DK16" s="228">
        <v>49.47</v>
      </c>
      <c r="DL16" s="228">
        <v>48.77</v>
      </c>
      <c r="DM16" s="228">
        <v>0.7</v>
      </c>
      <c r="DN16" s="228">
        <v>0.7</v>
      </c>
      <c r="DO16" s="228">
        <v>0.69</v>
      </c>
      <c r="DP16" s="228">
        <v>0.76</v>
      </c>
      <c r="DQ16" s="228">
        <v>-7.0000000000000007E-2</v>
      </c>
      <c r="DR16" s="229">
        <v>-9.2100000000000001E-2</v>
      </c>
      <c r="DS16" s="228">
        <v>240</v>
      </c>
      <c r="DT16" s="228">
        <v>230</v>
      </c>
      <c r="DU16" s="228">
        <v>0.5</v>
      </c>
      <c r="DV16" s="228">
        <v>0.47</v>
      </c>
      <c r="DW16" s="228">
        <v>0.03</v>
      </c>
      <c r="DX16" s="229">
        <v>6.3799999999999996E-2</v>
      </c>
      <c r="DY16" s="229">
        <v>7.3099999999999998E-2</v>
      </c>
      <c r="DZ16" s="230">
        <v>13963150</v>
      </c>
      <c r="EA16" s="229">
        <v>5.3E-3</v>
      </c>
      <c r="EB16" s="229">
        <v>7.3099999999999998E-2</v>
      </c>
      <c r="EC16" s="228">
        <v>1.79</v>
      </c>
      <c r="ED16" s="229">
        <v>7.4999999999999997E-3</v>
      </c>
      <c r="EE16" s="230">
        <v>19885960</v>
      </c>
      <c r="EF16" s="230">
        <v>35600509</v>
      </c>
      <c r="EG16" s="229">
        <v>-0.44140000000000001</v>
      </c>
      <c r="EH16" s="229">
        <v>0.48449999999999999</v>
      </c>
      <c r="EI16" s="231">
        <v>136469.49</v>
      </c>
      <c r="EJ16" s="231">
        <v>61721.4</v>
      </c>
      <c r="EK16" s="231">
        <v>60110.86</v>
      </c>
      <c r="EL16" s="231">
        <v>13151</v>
      </c>
      <c r="EM16" s="231">
        <v>258301.75</v>
      </c>
      <c r="EN16" s="231">
        <v>357126.34</v>
      </c>
      <c r="EO16" s="231">
        <v>-98824.59</v>
      </c>
      <c r="EP16" s="229">
        <v>-0.2767</v>
      </c>
      <c r="EQ16" s="231">
        <v>143919</v>
      </c>
      <c r="ER16" s="231">
        <v>92510</v>
      </c>
      <c r="ES16" s="231">
        <v>481743</v>
      </c>
      <c r="ET16" s="231">
        <v>1366821859</v>
      </c>
      <c r="EU16" s="231">
        <v>718172</v>
      </c>
      <c r="EV16" s="231">
        <v>708310</v>
      </c>
      <c r="EW16" s="231">
        <v>9862</v>
      </c>
      <c r="EX16" s="229">
        <v>1.3899999999999999E-2</v>
      </c>
      <c r="EY16" s="229">
        <v>0.21790000000000001</v>
      </c>
    </row>
    <row r="17" spans="1:155" ht="17.25" thickBot="1" x14ac:dyDescent="0.3">
      <c r="A17" s="226">
        <v>46121</v>
      </c>
      <c r="B17" s="227" t="s">
        <v>157</v>
      </c>
      <c r="C17" s="227" t="s">
        <v>219</v>
      </c>
      <c r="D17" s="231">
        <v>2746.7</v>
      </c>
      <c r="E17" s="231">
        <v>2766.4</v>
      </c>
      <c r="F17" s="228">
        <v>-19.7</v>
      </c>
      <c r="G17" s="229">
        <v>-7.1000000000000004E-3</v>
      </c>
      <c r="H17" s="231">
        <v>2740.5</v>
      </c>
      <c r="I17" s="231">
        <v>2756.2</v>
      </c>
      <c r="J17" s="228">
        <v>-15.7</v>
      </c>
      <c r="K17" s="229">
        <v>-5.7000000000000002E-3</v>
      </c>
      <c r="L17" s="231">
        <v>2746.7</v>
      </c>
      <c r="M17" s="231">
        <v>2766.4</v>
      </c>
      <c r="N17" s="228">
        <v>-19.7</v>
      </c>
      <c r="O17" s="229">
        <v>-7.1000000000000004E-3</v>
      </c>
      <c r="P17" s="231">
        <v>2760.2</v>
      </c>
      <c r="Q17" s="231">
        <v>2785.6</v>
      </c>
      <c r="R17" s="228">
        <v>-25.4</v>
      </c>
      <c r="S17" s="229">
        <v>-9.1000000000000004E-3</v>
      </c>
      <c r="T17" s="231">
        <v>2777.6</v>
      </c>
      <c r="U17" s="231">
        <v>2798.6</v>
      </c>
      <c r="V17" s="228">
        <v>-21</v>
      </c>
      <c r="W17" s="229">
        <v>-7.4999999999999997E-3</v>
      </c>
      <c r="X17" s="228">
        <v>6.2</v>
      </c>
      <c r="Y17" s="228">
        <v>10.199999999999999</v>
      </c>
      <c r="Z17" s="228">
        <v>-4</v>
      </c>
      <c r="AA17" s="229">
        <v>2.3E-3</v>
      </c>
      <c r="AB17" s="228">
        <v>6.2</v>
      </c>
      <c r="AC17" s="228">
        <v>10.199999999999999</v>
      </c>
      <c r="AD17" s="228">
        <v>-4</v>
      </c>
      <c r="AE17" s="229">
        <v>2.3E-3</v>
      </c>
      <c r="AF17" s="228">
        <v>19.7</v>
      </c>
      <c r="AG17" s="228">
        <v>29.4</v>
      </c>
      <c r="AH17" s="228">
        <v>-9.6999999999999993</v>
      </c>
      <c r="AI17" s="229">
        <v>7.1999999999999998E-3</v>
      </c>
      <c r="AJ17" s="228">
        <v>37.1</v>
      </c>
      <c r="AK17" s="228">
        <v>42.4</v>
      </c>
      <c r="AL17" s="228">
        <v>-5.3</v>
      </c>
      <c r="AM17" s="229">
        <v>1.35E-2</v>
      </c>
      <c r="AN17" s="231">
        <v>2750.96</v>
      </c>
      <c r="AO17" s="231">
        <v>2770.33</v>
      </c>
      <c r="AP17" s="228">
        <v>0</v>
      </c>
      <c r="AQ17" s="230">
        <v>3110</v>
      </c>
      <c r="AR17" s="230">
        <v>4438</v>
      </c>
      <c r="AS17" s="230">
        <v>-1328</v>
      </c>
      <c r="AT17" s="229">
        <v>-0.29920000000000002</v>
      </c>
      <c r="AU17" s="230">
        <v>2970</v>
      </c>
      <c r="AV17" s="230">
        <v>4260</v>
      </c>
      <c r="AW17" s="230">
        <v>-1290</v>
      </c>
      <c r="AX17" s="229">
        <v>-0.30280000000000001</v>
      </c>
      <c r="AY17" s="228">
        <v>129</v>
      </c>
      <c r="AZ17" s="228">
        <v>163</v>
      </c>
      <c r="BA17" s="228">
        <v>-34</v>
      </c>
      <c r="BB17" s="229">
        <v>-0.20860000000000001</v>
      </c>
      <c r="BC17" s="228">
        <v>11</v>
      </c>
      <c r="BD17" s="228">
        <v>15</v>
      </c>
      <c r="BE17" s="228">
        <v>-4</v>
      </c>
      <c r="BF17" s="229">
        <v>-0.26669999999999999</v>
      </c>
      <c r="BG17" s="230">
        <v>2952</v>
      </c>
      <c r="BH17" s="230">
        <v>6396</v>
      </c>
      <c r="BI17" s="230">
        <v>-3444</v>
      </c>
      <c r="BJ17" s="229">
        <v>-0.53849999999999998</v>
      </c>
      <c r="BK17" s="230">
        <v>2246</v>
      </c>
      <c r="BL17" s="230">
        <v>4300</v>
      </c>
      <c r="BM17" s="230">
        <v>-2054</v>
      </c>
      <c r="BN17" s="229">
        <v>-0.47770000000000001</v>
      </c>
      <c r="BO17" s="230">
        <v>8308</v>
      </c>
      <c r="BP17" s="230">
        <v>15134</v>
      </c>
      <c r="BQ17" s="230">
        <v>-6826</v>
      </c>
      <c r="BR17" s="229">
        <v>-0.45100000000000001</v>
      </c>
      <c r="BS17" s="230">
        <v>822992</v>
      </c>
      <c r="BT17" s="230">
        <v>828080</v>
      </c>
      <c r="BU17" s="230">
        <v>-5088</v>
      </c>
      <c r="BV17" s="229">
        <v>-6.1000000000000004E-3</v>
      </c>
      <c r="BW17" s="230">
        <v>14093750</v>
      </c>
      <c r="BX17" s="230">
        <v>14198750</v>
      </c>
      <c r="BY17" s="230">
        <v>-105000</v>
      </c>
      <c r="BZ17" s="229">
        <v>-7.4000000000000003E-3</v>
      </c>
      <c r="CA17" s="230">
        <v>13797750</v>
      </c>
      <c r="CB17" s="230">
        <v>13912000</v>
      </c>
      <c r="CC17" s="230">
        <v>-114250</v>
      </c>
      <c r="CD17" s="229">
        <v>-8.2000000000000007E-3</v>
      </c>
      <c r="CE17" s="230">
        <v>184500</v>
      </c>
      <c r="CF17" s="230">
        <v>176250</v>
      </c>
      <c r="CG17" s="230">
        <v>8250</v>
      </c>
      <c r="CH17" s="229">
        <v>4.6800000000000001E-2</v>
      </c>
      <c r="CI17" s="230">
        <v>111500</v>
      </c>
      <c r="CJ17" s="230">
        <v>110500</v>
      </c>
      <c r="CK17" s="230">
        <v>1000</v>
      </c>
      <c r="CL17" s="229">
        <v>8.9999999999999993E-3</v>
      </c>
      <c r="CM17" s="230">
        <v>1669000</v>
      </c>
      <c r="CN17" s="230">
        <v>1545750</v>
      </c>
      <c r="CO17" s="230">
        <v>123250</v>
      </c>
      <c r="CP17" s="229">
        <v>7.9699999999999993E-2</v>
      </c>
      <c r="CQ17" s="230">
        <v>1220750</v>
      </c>
      <c r="CR17" s="230">
        <v>1143750</v>
      </c>
      <c r="CS17" s="230">
        <v>77000</v>
      </c>
      <c r="CT17" s="229">
        <v>6.7299999999999999E-2</v>
      </c>
      <c r="CU17" s="230">
        <v>16983500</v>
      </c>
      <c r="CV17" s="230">
        <v>16888250</v>
      </c>
      <c r="CW17" s="230">
        <v>95250</v>
      </c>
      <c r="CX17" s="229">
        <v>5.5999999999999999E-3</v>
      </c>
      <c r="CY17" s="228">
        <v>30.28</v>
      </c>
      <c r="CZ17" s="228">
        <v>29.97</v>
      </c>
      <c r="DA17" s="228">
        <v>0.31</v>
      </c>
      <c r="DB17" s="228">
        <v>0.31</v>
      </c>
      <c r="DC17" s="228">
        <v>28.61</v>
      </c>
      <c r="DD17" s="228">
        <v>28.66</v>
      </c>
      <c r="DE17" s="228">
        <v>1.67</v>
      </c>
      <c r="DF17" s="228">
        <v>-0.05</v>
      </c>
      <c r="DG17" s="228">
        <v>28.34</v>
      </c>
      <c r="DH17" s="228">
        <v>28.59</v>
      </c>
      <c r="DI17" s="228">
        <v>-0.25</v>
      </c>
      <c r="DJ17" s="228">
        <v>-0.25</v>
      </c>
      <c r="DK17" s="228">
        <v>32.83</v>
      </c>
      <c r="DL17" s="228">
        <v>32.020000000000003</v>
      </c>
      <c r="DM17" s="228">
        <v>0.81</v>
      </c>
      <c r="DN17" s="228">
        <v>0.81</v>
      </c>
      <c r="DO17" s="228">
        <v>0.73</v>
      </c>
      <c r="DP17" s="228">
        <v>0.74</v>
      </c>
      <c r="DQ17" s="228">
        <v>-0.01</v>
      </c>
      <c r="DR17" s="229">
        <v>-1.35E-2</v>
      </c>
      <c r="DS17" s="231">
        <v>2620</v>
      </c>
      <c r="DT17" s="231">
        <v>2600</v>
      </c>
      <c r="DU17" s="228">
        <v>0.76</v>
      </c>
      <c r="DV17" s="228">
        <v>0.67</v>
      </c>
      <c r="DW17" s="228">
        <v>0.09</v>
      </c>
      <c r="DX17" s="229">
        <v>0.1343</v>
      </c>
      <c r="DY17" s="229">
        <v>2.1000000000000001E-2</v>
      </c>
      <c r="DZ17" s="230">
        <v>286750</v>
      </c>
      <c r="EA17" s="229">
        <v>4.8999999999999998E-3</v>
      </c>
      <c r="EB17" s="229">
        <v>2.1000000000000001E-2</v>
      </c>
      <c r="EC17" s="228">
        <v>19.37</v>
      </c>
      <c r="ED17" s="229">
        <v>7.0000000000000001E-3</v>
      </c>
      <c r="EE17" s="230">
        <v>487131</v>
      </c>
      <c r="EF17" s="230">
        <v>402735</v>
      </c>
      <c r="EG17" s="229">
        <v>0.20960000000000001</v>
      </c>
      <c r="EH17" s="229">
        <v>0.59189999999999998</v>
      </c>
      <c r="EI17" s="231">
        <v>21225.42</v>
      </c>
      <c r="EJ17" s="231">
        <v>14963.22</v>
      </c>
      <c r="EK17" s="231">
        <v>21395.93</v>
      </c>
      <c r="EL17" s="231">
        <v>3979</v>
      </c>
      <c r="EM17" s="231">
        <v>57584.57</v>
      </c>
      <c r="EN17" s="231">
        <v>105612.6</v>
      </c>
      <c r="EO17" s="231">
        <v>-48028.03</v>
      </c>
      <c r="EP17" s="229">
        <v>-0.45479999999999998</v>
      </c>
      <c r="EQ17" s="231">
        <v>45799</v>
      </c>
      <c r="ER17" s="231">
        <v>31241</v>
      </c>
      <c r="ES17" s="231">
        <v>387172</v>
      </c>
      <c r="ET17" s="231">
        <v>38401443</v>
      </c>
      <c r="EU17" s="231">
        <v>464212</v>
      </c>
      <c r="EV17" s="231">
        <v>464424</v>
      </c>
      <c r="EW17" s="228">
        <v>-212</v>
      </c>
      <c r="EX17" s="229">
        <v>-5.0000000000000001E-4</v>
      </c>
      <c r="EY17" s="229">
        <v>0.44230000000000003</v>
      </c>
    </row>
    <row r="18" spans="1:155" ht="17.25" thickBot="1" x14ac:dyDescent="0.3">
      <c r="A18" s="226">
        <v>46121</v>
      </c>
      <c r="B18" s="227" t="s">
        <v>221</v>
      </c>
      <c r="C18" s="227" t="s">
        <v>222</v>
      </c>
      <c r="D18" s="231">
        <v>1444.3</v>
      </c>
      <c r="E18" s="231">
        <v>1427.4</v>
      </c>
      <c r="F18" s="228">
        <v>16.899999999999999</v>
      </c>
      <c r="G18" s="229">
        <v>1.18E-2</v>
      </c>
      <c r="H18" s="231">
        <v>1464.9</v>
      </c>
      <c r="I18" s="231">
        <v>1461</v>
      </c>
      <c r="J18" s="228">
        <v>3.9</v>
      </c>
      <c r="K18" s="229">
        <v>2.7000000000000001E-3</v>
      </c>
      <c r="L18" s="231">
        <v>1444.3</v>
      </c>
      <c r="M18" s="231">
        <v>1427.4</v>
      </c>
      <c r="N18" s="228">
        <v>16.899999999999999</v>
      </c>
      <c r="O18" s="229">
        <v>1.18E-2</v>
      </c>
      <c r="P18" s="231">
        <v>1434.7</v>
      </c>
      <c r="Q18" s="231">
        <v>1419.2</v>
      </c>
      <c r="R18" s="228">
        <v>15.5</v>
      </c>
      <c r="S18" s="229">
        <v>1.09E-2</v>
      </c>
      <c r="T18" s="231">
        <v>1428.6</v>
      </c>
      <c r="U18" s="231">
        <v>1413.7</v>
      </c>
      <c r="V18" s="228">
        <v>14.9</v>
      </c>
      <c r="W18" s="229">
        <v>1.0500000000000001E-2</v>
      </c>
      <c r="X18" s="228">
        <v>-20.6</v>
      </c>
      <c r="Y18" s="228">
        <v>-33.6</v>
      </c>
      <c r="Z18" s="228">
        <v>13</v>
      </c>
      <c r="AA18" s="229">
        <v>-1.41E-2</v>
      </c>
      <c r="AB18" s="228">
        <v>-20.6</v>
      </c>
      <c r="AC18" s="228">
        <v>-33.6</v>
      </c>
      <c r="AD18" s="228">
        <v>13</v>
      </c>
      <c r="AE18" s="229">
        <v>-1.41E-2</v>
      </c>
      <c r="AF18" s="228">
        <v>-30.2</v>
      </c>
      <c r="AG18" s="228">
        <v>-41.8</v>
      </c>
      <c r="AH18" s="228">
        <v>11.6</v>
      </c>
      <c r="AI18" s="229">
        <v>-2.06E-2</v>
      </c>
      <c r="AJ18" s="228">
        <v>-36.299999999999997</v>
      </c>
      <c r="AK18" s="228">
        <v>-47.3</v>
      </c>
      <c r="AL18" s="228">
        <v>11</v>
      </c>
      <c r="AM18" s="229">
        <v>-2.4799999999999999E-2</v>
      </c>
      <c r="AN18" s="231">
        <v>1428.31</v>
      </c>
      <c r="AO18" s="231">
        <v>1416.2</v>
      </c>
      <c r="AP18" s="228">
        <v>0</v>
      </c>
      <c r="AQ18" s="230">
        <v>10590</v>
      </c>
      <c r="AR18" s="230">
        <v>11262</v>
      </c>
      <c r="AS18" s="228">
        <v>-672</v>
      </c>
      <c r="AT18" s="229">
        <v>-5.9700000000000003E-2</v>
      </c>
      <c r="AU18" s="230">
        <v>9686</v>
      </c>
      <c r="AV18" s="230">
        <v>8903</v>
      </c>
      <c r="AW18" s="228">
        <v>783</v>
      </c>
      <c r="AX18" s="229">
        <v>8.7900000000000006E-2</v>
      </c>
      <c r="AY18" s="228">
        <v>771</v>
      </c>
      <c r="AZ18" s="230">
        <v>2181</v>
      </c>
      <c r="BA18" s="230">
        <v>-1410</v>
      </c>
      <c r="BB18" s="229">
        <v>-0.64649999999999996</v>
      </c>
      <c r="BC18" s="228">
        <v>133</v>
      </c>
      <c r="BD18" s="228">
        <v>178</v>
      </c>
      <c r="BE18" s="228">
        <v>-45</v>
      </c>
      <c r="BF18" s="229">
        <v>-0.25280000000000002</v>
      </c>
      <c r="BG18" s="230">
        <v>26105</v>
      </c>
      <c r="BH18" s="230">
        <v>22480</v>
      </c>
      <c r="BI18" s="230">
        <v>3625</v>
      </c>
      <c r="BJ18" s="229">
        <v>0.1613</v>
      </c>
      <c r="BK18" s="230">
        <v>17177</v>
      </c>
      <c r="BL18" s="230">
        <v>11371</v>
      </c>
      <c r="BM18" s="230">
        <v>5806</v>
      </c>
      <c r="BN18" s="229">
        <v>0.51060000000000005</v>
      </c>
      <c r="BO18" s="230">
        <v>53872</v>
      </c>
      <c r="BP18" s="230">
        <v>45113</v>
      </c>
      <c r="BQ18" s="230">
        <v>8759</v>
      </c>
      <c r="BR18" s="229">
        <v>0.19420000000000001</v>
      </c>
      <c r="BS18" s="230">
        <v>4052080</v>
      </c>
      <c r="BT18" s="230">
        <v>4478980</v>
      </c>
      <c r="BU18" s="230">
        <v>-426900</v>
      </c>
      <c r="BV18" s="229">
        <v>-9.5299999999999996E-2</v>
      </c>
      <c r="BW18" s="230">
        <v>37048550</v>
      </c>
      <c r="BX18" s="230">
        <v>36820000</v>
      </c>
      <c r="BY18" s="230">
        <v>228550</v>
      </c>
      <c r="BZ18" s="229">
        <v>6.1999999999999998E-3</v>
      </c>
      <c r="CA18" s="230">
        <v>35074200</v>
      </c>
      <c r="CB18" s="230">
        <v>34950650</v>
      </c>
      <c r="CC18" s="230">
        <v>123550</v>
      </c>
      <c r="CD18" s="229">
        <v>3.5000000000000001E-3</v>
      </c>
      <c r="CE18" s="230">
        <v>1828050</v>
      </c>
      <c r="CF18" s="230">
        <v>1728300</v>
      </c>
      <c r="CG18" s="230">
        <v>99750</v>
      </c>
      <c r="CH18" s="229">
        <v>5.7700000000000001E-2</v>
      </c>
      <c r="CI18" s="230">
        <v>146300</v>
      </c>
      <c r="CJ18" s="230">
        <v>141050</v>
      </c>
      <c r="CK18" s="230">
        <v>5250</v>
      </c>
      <c r="CL18" s="229">
        <v>3.7199999999999997E-2</v>
      </c>
      <c r="CM18" s="230">
        <v>4880050</v>
      </c>
      <c r="CN18" s="230">
        <v>3860150</v>
      </c>
      <c r="CO18" s="230">
        <v>1019900</v>
      </c>
      <c r="CP18" s="229">
        <v>0.26419999999999999</v>
      </c>
      <c r="CQ18" s="230">
        <v>4959150</v>
      </c>
      <c r="CR18" s="230">
        <v>3788750</v>
      </c>
      <c r="CS18" s="230">
        <v>1170400</v>
      </c>
      <c r="CT18" s="229">
        <v>0.30890000000000001</v>
      </c>
      <c r="CU18" s="230">
        <v>46887750</v>
      </c>
      <c r="CV18" s="230">
        <v>44468900</v>
      </c>
      <c r="CW18" s="230">
        <v>2418850</v>
      </c>
      <c r="CX18" s="229">
        <v>5.4399999999999997E-2</v>
      </c>
      <c r="CY18" s="228">
        <v>34.39</v>
      </c>
      <c r="CZ18" s="228">
        <v>34.07</v>
      </c>
      <c r="DA18" s="228">
        <v>0.32</v>
      </c>
      <c r="DB18" s="228">
        <v>0.32</v>
      </c>
      <c r="DC18" s="228">
        <v>29.53</v>
      </c>
      <c r="DD18" s="228">
        <v>29.6</v>
      </c>
      <c r="DE18" s="228">
        <v>4.8600000000000003</v>
      </c>
      <c r="DF18" s="228">
        <v>-7.0000000000000007E-2</v>
      </c>
      <c r="DG18" s="228">
        <v>33.04</v>
      </c>
      <c r="DH18" s="228">
        <v>33.21</v>
      </c>
      <c r="DI18" s="228">
        <v>-0.17</v>
      </c>
      <c r="DJ18" s="228">
        <v>-0.17</v>
      </c>
      <c r="DK18" s="228">
        <v>36.450000000000003</v>
      </c>
      <c r="DL18" s="228">
        <v>35.75</v>
      </c>
      <c r="DM18" s="228">
        <v>0.7</v>
      </c>
      <c r="DN18" s="228">
        <v>0.7</v>
      </c>
      <c r="DO18" s="228">
        <v>1.02</v>
      </c>
      <c r="DP18" s="228">
        <v>0.98</v>
      </c>
      <c r="DQ18" s="228">
        <v>0.04</v>
      </c>
      <c r="DR18" s="229">
        <v>4.0800000000000003E-2</v>
      </c>
      <c r="DS18" s="231">
        <v>1500</v>
      </c>
      <c r="DT18" s="231">
        <v>1360</v>
      </c>
      <c r="DU18" s="228">
        <v>0.66</v>
      </c>
      <c r="DV18" s="228">
        <v>0.51</v>
      </c>
      <c r="DW18" s="228">
        <v>0.15</v>
      </c>
      <c r="DX18" s="229">
        <v>0.29409999999999997</v>
      </c>
      <c r="DY18" s="229">
        <v>5.33E-2</v>
      </c>
      <c r="DZ18" s="230">
        <v>1869350</v>
      </c>
      <c r="EA18" s="229">
        <v>-6.6E-3</v>
      </c>
      <c r="EB18" s="229">
        <v>5.33E-2</v>
      </c>
      <c r="EC18" s="228">
        <v>-12.11</v>
      </c>
      <c r="ED18" s="229">
        <v>-8.5000000000000006E-3</v>
      </c>
      <c r="EE18" s="230">
        <v>2584221</v>
      </c>
      <c r="EF18" s="230">
        <v>2510607</v>
      </c>
      <c r="EG18" s="229">
        <v>2.93E-2</v>
      </c>
      <c r="EH18" s="229">
        <v>0.63780000000000003</v>
      </c>
      <c r="EI18" s="231">
        <v>137001.81</v>
      </c>
      <c r="EJ18" s="231">
        <v>84953.38</v>
      </c>
      <c r="EK18" s="231">
        <v>52901.49</v>
      </c>
      <c r="EL18" s="231">
        <v>10813</v>
      </c>
      <c r="EM18" s="231">
        <v>274856.68</v>
      </c>
      <c r="EN18" s="231">
        <v>229598.07999999999</v>
      </c>
      <c r="EO18" s="231">
        <v>45258.6</v>
      </c>
      <c r="EP18" s="229">
        <v>0.1971</v>
      </c>
      <c r="EQ18" s="231">
        <v>71172</v>
      </c>
      <c r="ER18" s="231">
        <v>66970</v>
      </c>
      <c r="ES18" s="231">
        <v>534894</v>
      </c>
      <c r="ET18" s="231">
        <v>145140505</v>
      </c>
      <c r="EU18" s="231">
        <v>673036</v>
      </c>
      <c r="EV18" s="231">
        <v>632233</v>
      </c>
      <c r="EW18" s="231">
        <v>40803</v>
      </c>
      <c r="EX18" s="229">
        <v>6.4500000000000002E-2</v>
      </c>
      <c r="EY18" s="229">
        <v>0.3231</v>
      </c>
    </row>
    <row r="19" spans="1:155" ht="17.25" thickBot="1" x14ac:dyDescent="0.3">
      <c r="A19" s="226">
        <v>46121</v>
      </c>
      <c r="B19" s="227" t="s">
        <v>172</v>
      </c>
      <c r="C19" s="227" t="s">
        <v>224</v>
      </c>
      <c r="D19" s="228">
        <v>801.1</v>
      </c>
      <c r="E19" s="228">
        <v>818.05</v>
      </c>
      <c r="F19" s="228">
        <v>-16.95</v>
      </c>
      <c r="G19" s="229">
        <v>-2.07E-2</v>
      </c>
      <c r="H19" s="228">
        <v>797.7</v>
      </c>
      <c r="I19" s="228">
        <v>816.1</v>
      </c>
      <c r="J19" s="228">
        <v>-18.399999999999999</v>
      </c>
      <c r="K19" s="229">
        <v>-2.2499999999999999E-2</v>
      </c>
      <c r="L19" s="228">
        <v>801.1</v>
      </c>
      <c r="M19" s="228">
        <v>818.05</v>
      </c>
      <c r="N19" s="228">
        <v>-16.95</v>
      </c>
      <c r="O19" s="229">
        <v>-2.07E-2</v>
      </c>
      <c r="P19" s="228">
        <v>801.95</v>
      </c>
      <c r="Q19" s="228">
        <v>819.3</v>
      </c>
      <c r="R19" s="228">
        <v>-17.350000000000001</v>
      </c>
      <c r="S19" s="229">
        <v>-2.12E-2</v>
      </c>
      <c r="T19" s="228">
        <v>798.8</v>
      </c>
      <c r="U19" s="228">
        <v>817.35</v>
      </c>
      <c r="V19" s="228">
        <v>-18.55</v>
      </c>
      <c r="W19" s="229">
        <v>-2.2700000000000001E-2</v>
      </c>
      <c r="X19" s="228">
        <v>3.4</v>
      </c>
      <c r="Y19" s="228">
        <v>1.95</v>
      </c>
      <c r="Z19" s="228">
        <v>1.45</v>
      </c>
      <c r="AA19" s="229">
        <v>4.3E-3</v>
      </c>
      <c r="AB19" s="228">
        <v>3.4</v>
      </c>
      <c r="AC19" s="228">
        <v>1.95</v>
      </c>
      <c r="AD19" s="228">
        <v>1.45</v>
      </c>
      <c r="AE19" s="229">
        <v>4.3E-3</v>
      </c>
      <c r="AF19" s="228">
        <v>4.25</v>
      </c>
      <c r="AG19" s="228">
        <v>3.2</v>
      </c>
      <c r="AH19" s="228">
        <v>1.05</v>
      </c>
      <c r="AI19" s="229">
        <v>5.3E-3</v>
      </c>
      <c r="AJ19" s="228">
        <v>1.1000000000000001</v>
      </c>
      <c r="AK19" s="228">
        <v>1.25</v>
      </c>
      <c r="AL19" s="228">
        <v>-0.15</v>
      </c>
      <c r="AM19" s="229">
        <v>1.4E-3</v>
      </c>
      <c r="AN19" s="228">
        <v>803.05</v>
      </c>
      <c r="AO19" s="228">
        <v>804.63</v>
      </c>
      <c r="AP19" s="228">
        <v>0</v>
      </c>
      <c r="AQ19" s="230">
        <v>89619</v>
      </c>
      <c r="AR19" s="230">
        <v>89303</v>
      </c>
      <c r="AS19" s="228">
        <v>316</v>
      </c>
      <c r="AT19" s="229">
        <v>3.5000000000000001E-3</v>
      </c>
      <c r="AU19" s="230">
        <v>66384</v>
      </c>
      <c r="AV19" s="230">
        <v>81761</v>
      </c>
      <c r="AW19" s="230">
        <v>-15377</v>
      </c>
      <c r="AX19" s="229">
        <v>-0.18809999999999999</v>
      </c>
      <c r="AY19" s="230">
        <v>4964</v>
      </c>
      <c r="AZ19" s="230">
        <v>5784</v>
      </c>
      <c r="BA19" s="228">
        <v>-820</v>
      </c>
      <c r="BB19" s="229">
        <v>-0.14180000000000001</v>
      </c>
      <c r="BC19" s="230">
        <v>18271</v>
      </c>
      <c r="BD19" s="230">
        <v>1758</v>
      </c>
      <c r="BE19" s="230">
        <v>16513</v>
      </c>
      <c r="BF19" s="229">
        <v>9.3931000000000004</v>
      </c>
      <c r="BG19" s="230">
        <v>125814</v>
      </c>
      <c r="BH19" s="230">
        <v>230165</v>
      </c>
      <c r="BI19" s="230">
        <v>-104351</v>
      </c>
      <c r="BJ19" s="229">
        <v>-0.45340000000000003</v>
      </c>
      <c r="BK19" s="230">
        <v>82370</v>
      </c>
      <c r="BL19" s="230">
        <v>131098</v>
      </c>
      <c r="BM19" s="230">
        <v>-48728</v>
      </c>
      <c r="BN19" s="229">
        <v>-0.37169999999999997</v>
      </c>
      <c r="BO19" s="230">
        <v>297803</v>
      </c>
      <c r="BP19" s="230">
        <v>450566</v>
      </c>
      <c r="BQ19" s="230">
        <v>-152763</v>
      </c>
      <c r="BR19" s="229">
        <v>-0.33900000000000002</v>
      </c>
      <c r="BS19" s="230">
        <v>53915984</v>
      </c>
      <c r="BT19" s="230">
        <v>73522672</v>
      </c>
      <c r="BU19" s="230">
        <v>-19606688</v>
      </c>
      <c r="BV19" s="229">
        <v>-0.26669999999999999</v>
      </c>
      <c r="BW19" s="230">
        <v>338103700</v>
      </c>
      <c r="BX19" s="230">
        <v>332286350</v>
      </c>
      <c r="BY19" s="230">
        <v>5817350</v>
      </c>
      <c r="BZ19" s="229">
        <v>1.7500000000000002E-2</v>
      </c>
      <c r="CA19" s="230">
        <v>310885850</v>
      </c>
      <c r="CB19" s="230">
        <v>316240650</v>
      </c>
      <c r="CC19" s="230">
        <v>-5354800</v>
      </c>
      <c r="CD19" s="229">
        <v>-1.6899999999999998E-2</v>
      </c>
      <c r="CE19" s="230">
        <v>13207700</v>
      </c>
      <c r="CF19" s="230">
        <v>11779900</v>
      </c>
      <c r="CG19" s="230">
        <v>1427800</v>
      </c>
      <c r="CH19" s="229">
        <v>0.1212</v>
      </c>
      <c r="CI19" s="230">
        <v>14010150</v>
      </c>
      <c r="CJ19" s="230">
        <v>4265800</v>
      </c>
      <c r="CK19" s="230">
        <v>9744350</v>
      </c>
      <c r="CL19" s="229">
        <v>2.2843</v>
      </c>
      <c r="CM19" s="230">
        <v>71218400</v>
      </c>
      <c r="CN19" s="230">
        <v>66580800</v>
      </c>
      <c r="CO19" s="230">
        <v>4637600</v>
      </c>
      <c r="CP19" s="229">
        <v>6.9699999999999998E-2</v>
      </c>
      <c r="CQ19" s="230">
        <v>42053000</v>
      </c>
      <c r="CR19" s="230">
        <v>42100300</v>
      </c>
      <c r="CS19" s="230">
        <v>-47300</v>
      </c>
      <c r="CT19" s="229">
        <v>-1.1000000000000001E-3</v>
      </c>
      <c r="CU19" s="230">
        <v>451375100</v>
      </c>
      <c r="CV19" s="230">
        <v>440967450</v>
      </c>
      <c r="CW19" s="230">
        <v>10407650</v>
      </c>
      <c r="CX19" s="229">
        <v>2.3599999999999999E-2</v>
      </c>
      <c r="CY19" s="228">
        <v>30.74</v>
      </c>
      <c r="CZ19" s="228">
        <v>29.2</v>
      </c>
      <c r="DA19" s="228">
        <v>1.54</v>
      </c>
      <c r="DB19" s="228">
        <v>1.54</v>
      </c>
      <c r="DC19" s="228">
        <v>25.18</v>
      </c>
      <c r="DD19" s="228">
        <v>25.06</v>
      </c>
      <c r="DE19" s="228">
        <v>5.56</v>
      </c>
      <c r="DF19" s="228">
        <v>0.12</v>
      </c>
      <c r="DG19" s="228">
        <v>30.08</v>
      </c>
      <c r="DH19" s="228">
        <v>28.33</v>
      </c>
      <c r="DI19" s="228">
        <v>1.75</v>
      </c>
      <c r="DJ19" s="228">
        <v>1.75</v>
      </c>
      <c r="DK19" s="228">
        <v>31.74</v>
      </c>
      <c r="DL19" s="228">
        <v>30.71</v>
      </c>
      <c r="DM19" s="228">
        <v>1.03</v>
      </c>
      <c r="DN19" s="228">
        <v>1.03</v>
      </c>
      <c r="DO19" s="228">
        <v>0.59</v>
      </c>
      <c r="DP19" s="228">
        <v>0.63</v>
      </c>
      <c r="DQ19" s="228">
        <v>-0.04</v>
      </c>
      <c r="DR19" s="229">
        <v>-6.3500000000000001E-2</v>
      </c>
      <c r="DS19" s="228">
        <v>800</v>
      </c>
      <c r="DT19" s="228">
        <v>750</v>
      </c>
      <c r="DU19" s="228">
        <v>0.65</v>
      </c>
      <c r="DV19" s="228">
        <v>0.56999999999999995</v>
      </c>
      <c r="DW19" s="228">
        <v>0.08</v>
      </c>
      <c r="DX19" s="229">
        <v>0.1404</v>
      </c>
      <c r="DY19" s="229">
        <v>8.0500000000000002E-2</v>
      </c>
      <c r="DZ19" s="230">
        <v>16045700</v>
      </c>
      <c r="EA19" s="229">
        <v>1.1000000000000001E-3</v>
      </c>
      <c r="EB19" s="229">
        <v>8.0500000000000002E-2</v>
      </c>
      <c r="EC19" s="228">
        <v>1.58</v>
      </c>
      <c r="ED19" s="229">
        <v>2E-3</v>
      </c>
      <c r="EE19" s="230">
        <v>22278392</v>
      </c>
      <c r="EF19" s="230">
        <v>43557505</v>
      </c>
      <c r="EG19" s="229">
        <v>-0.48849999999999999</v>
      </c>
      <c r="EH19" s="229">
        <v>0.41320000000000001</v>
      </c>
      <c r="EI19" s="231">
        <v>585729.1</v>
      </c>
      <c r="EJ19" s="231">
        <v>358279.7</v>
      </c>
      <c r="EK19" s="231">
        <v>395443.37</v>
      </c>
      <c r="EL19" s="231">
        <v>61720</v>
      </c>
      <c r="EM19" s="231">
        <v>1339452.17</v>
      </c>
      <c r="EN19" s="231">
        <v>2043181.28</v>
      </c>
      <c r="EO19" s="231">
        <v>-703729.11</v>
      </c>
      <c r="EP19" s="229">
        <v>-0.34439999999999998</v>
      </c>
      <c r="EQ19" s="231">
        <v>593605</v>
      </c>
      <c r="ER19" s="231">
        <v>325218</v>
      </c>
      <c r="ES19" s="231">
        <v>2708339</v>
      </c>
      <c r="ET19" s="231">
        <v>1496665645</v>
      </c>
      <c r="EU19" s="231">
        <v>3627161</v>
      </c>
      <c r="EV19" s="231">
        <v>3597136</v>
      </c>
      <c r="EW19" s="231">
        <v>30025</v>
      </c>
      <c r="EX19" s="229">
        <v>8.3000000000000001E-3</v>
      </c>
      <c r="EY19" s="229">
        <v>0.30159999999999998</v>
      </c>
    </row>
    <row r="20" spans="1:155" ht="17.25" thickBot="1" x14ac:dyDescent="0.3">
      <c r="A20" s="226">
        <v>46121</v>
      </c>
      <c r="B20" s="227" t="s">
        <v>175</v>
      </c>
      <c r="C20" s="227" t="s">
        <v>225</v>
      </c>
      <c r="D20" s="228">
        <v>593.1</v>
      </c>
      <c r="E20" s="228">
        <v>601.5</v>
      </c>
      <c r="F20" s="228">
        <v>-8.4</v>
      </c>
      <c r="G20" s="229">
        <v>-1.4E-2</v>
      </c>
      <c r="H20" s="228">
        <v>591.20000000000005</v>
      </c>
      <c r="I20" s="228">
        <v>598.29999999999995</v>
      </c>
      <c r="J20" s="228">
        <v>-7.1</v>
      </c>
      <c r="K20" s="229">
        <v>-1.1900000000000001E-2</v>
      </c>
      <c r="L20" s="228">
        <v>593.1</v>
      </c>
      <c r="M20" s="228">
        <v>601.5</v>
      </c>
      <c r="N20" s="228">
        <v>-8.4</v>
      </c>
      <c r="O20" s="229">
        <v>-1.4E-2</v>
      </c>
      <c r="P20" s="228">
        <v>596.45000000000005</v>
      </c>
      <c r="Q20" s="228">
        <v>604.54999999999995</v>
      </c>
      <c r="R20" s="228">
        <v>-8.1</v>
      </c>
      <c r="S20" s="229">
        <v>-1.34E-2</v>
      </c>
      <c r="T20" s="228">
        <v>598.15</v>
      </c>
      <c r="U20" s="228">
        <v>606.35</v>
      </c>
      <c r="V20" s="228">
        <v>-8.1999999999999993</v>
      </c>
      <c r="W20" s="229">
        <v>-1.35E-2</v>
      </c>
      <c r="X20" s="228">
        <v>1.9</v>
      </c>
      <c r="Y20" s="228">
        <v>3.2</v>
      </c>
      <c r="Z20" s="228">
        <v>-1.3</v>
      </c>
      <c r="AA20" s="229">
        <v>3.2000000000000002E-3</v>
      </c>
      <c r="AB20" s="228">
        <v>1.9</v>
      </c>
      <c r="AC20" s="228">
        <v>3.2</v>
      </c>
      <c r="AD20" s="228">
        <v>-1.3</v>
      </c>
      <c r="AE20" s="229">
        <v>3.2000000000000002E-3</v>
      </c>
      <c r="AF20" s="228">
        <v>5.25</v>
      </c>
      <c r="AG20" s="228">
        <v>6.25</v>
      </c>
      <c r="AH20" s="228">
        <v>-1</v>
      </c>
      <c r="AI20" s="229">
        <v>8.8999999999999999E-3</v>
      </c>
      <c r="AJ20" s="228">
        <v>6.95</v>
      </c>
      <c r="AK20" s="228">
        <v>8.0500000000000007</v>
      </c>
      <c r="AL20" s="228">
        <v>-1.1000000000000001</v>
      </c>
      <c r="AM20" s="229">
        <v>1.18E-2</v>
      </c>
      <c r="AN20" s="228">
        <v>592.92999999999995</v>
      </c>
      <c r="AO20" s="228">
        <v>596.33000000000004</v>
      </c>
      <c r="AP20" s="228">
        <v>0</v>
      </c>
      <c r="AQ20" s="230">
        <v>3594</v>
      </c>
      <c r="AR20" s="230">
        <v>4919</v>
      </c>
      <c r="AS20" s="230">
        <v>-1325</v>
      </c>
      <c r="AT20" s="229">
        <v>-0.26939999999999997</v>
      </c>
      <c r="AU20" s="230">
        <v>3185</v>
      </c>
      <c r="AV20" s="230">
        <v>4554</v>
      </c>
      <c r="AW20" s="230">
        <v>-1369</v>
      </c>
      <c r="AX20" s="229">
        <v>-0.30059999999999998</v>
      </c>
      <c r="AY20" s="228">
        <v>358</v>
      </c>
      <c r="AZ20" s="228">
        <v>264</v>
      </c>
      <c r="BA20" s="228">
        <v>94</v>
      </c>
      <c r="BB20" s="229">
        <v>0.35610000000000003</v>
      </c>
      <c r="BC20" s="228">
        <v>51</v>
      </c>
      <c r="BD20" s="228">
        <v>101</v>
      </c>
      <c r="BE20" s="228">
        <v>-50</v>
      </c>
      <c r="BF20" s="229">
        <v>-0.495</v>
      </c>
      <c r="BG20" s="230">
        <v>8784</v>
      </c>
      <c r="BH20" s="230">
        <v>11583</v>
      </c>
      <c r="BI20" s="230">
        <v>-2799</v>
      </c>
      <c r="BJ20" s="229">
        <v>-0.24160000000000001</v>
      </c>
      <c r="BK20" s="230">
        <v>4110</v>
      </c>
      <c r="BL20" s="230">
        <v>5215</v>
      </c>
      <c r="BM20" s="230">
        <v>-1105</v>
      </c>
      <c r="BN20" s="229">
        <v>-0.21190000000000001</v>
      </c>
      <c r="BO20" s="230">
        <v>16488</v>
      </c>
      <c r="BP20" s="230">
        <v>21717</v>
      </c>
      <c r="BQ20" s="230">
        <v>-5229</v>
      </c>
      <c r="BR20" s="229">
        <v>-0.24079999999999999</v>
      </c>
      <c r="BS20" s="230">
        <v>4226364</v>
      </c>
      <c r="BT20" s="230">
        <v>6110627</v>
      </c>
      <c r="BU20" s="230">
        <v>-1884263</v>
      </c>
      <c r="BV20" s="229">
        <v>-0.30840000000000001</v>
      </c>
      <c r="BW20" s="230">
        <v>45740200</v>
      </c>
      <c r="BX20" s="230">
        <v>45190200</v>
      </c>
      <c r="BY20" s="230">
        <v>550000</v>
      </c>
      <c r="BZ20" s="229">
        <v>1.2200000000000001E-2</v>
      </c>
      <c r="CA20" s="230">
        <v>44008800</v>
      </c>
      <c r="CB20" s="230">
        <v>43700800</v>
      </c>
      <c r="CC20" s="230">
        <v>308000</v>
      </c>
      <c r="CD20" s="229">
        <v>7.0000000000000001E-3</v>
      </c>
      <c r="CE20" s="230">
        <v>1557600</v>
      </c>
      <c r="CF20" s="230">
        <v>1342000</v>
      </c>
      <c r="CG20" s="230">
        <v>215600</v>
      </c>
      <c r="CH20" s="229">
        <v>0.16070000000000001</v>
      </c>
      <c r="CI20" s="230">
        <v>173800</v>
      </c>
      <c r="CJ20" s="230">
        <v>147400</v>
      </c>
      <c r="CK20" s="230">
        <v>26400</v>
      </c>
      <c r="CL20" s="229">
        <v>0.17910000000000001</v>
      </c>
      <c r="CM20" s="230">
        <v>11159500</v>
      </c>
      <c r="CN20" s="230">
        <v>11046200</v>
      </c>
      <c r="CO20" s="230">
        <v>113300</v>
      </c>
      <c r="CP20" s="229">
        <v>1.03E-2</v>
      </c>
      <c r="CQ20" s="230">
        <v>6947600</v>
      </c>
      <c r="CR20" s="230">
        <v>6539500</v>
      </c>
      <c r="CS20" s="230">
        <v>408100</v>
      </c>
      <c r="CT20" s="229">
        <v>6.2399999999999997E-2</v>
      </c>
      <c r="CU20" s="230">
        <v>63847300</v>
      </c>
      <c r="CV20" s="230">
        <v>62775900</v>
      </c>
      <c r="CW20" s="230">
        <v>1071400</v>
      </c>
      <c r="CX20" s="229">
        <v>1.7100000000000001E-2</v>
      </c>
      <c r="CY20" s="228">
        <v>29.74</v>
      </c>
      <c r="CZ20" s="228">
        <v>28.05</v>
      </c>
      <c r="DA20" s="228">
        <v>1.69</v>
      </c>
      <c r="DB20" s="228">
        <v>1.69</v>
      </c>
      <c r="DC20" s="228">
        <v>27.13</v>
      </c>
      <c r="DD20" s="228">
        <v>27.15</v>
      </c>
      <c r="DE20" s="228">
        <v>2.61</v>
      </c>
      <c r="DF20" s="228">
        <v>-0.02</v>
      </c>
      <c r="DG20" s="228">
        <v>29.32</v>
      </c>
      <c r="DH20" s="228">
        <v>27.51</v>
      </c>
      <c r="DI20" s="228">
        <v>1.81</v>
      </c>
      <c r="DJ20" s="228">
        <v>1.81</v>
      </c>
      <c r="DK20" s="228">
        <v>30.63</v>
      </c>
      <c r="DL20" s="228">
        <v>29.25</v>
      </c>
      <c r="DM20" s="228">
        <v>1.38</v>
      </c>
      <c r="DN20" s="228">
        <v>1.38</v>
      </c>
      <c r="DO20" s="228">
        <v>0.62</v>
      </c>
      <c r="DP20" s="228">
        <v>0.59</v>
      </c>
      <c r="DQ20" s="228">
        <v>0.03</v>
      </c>
      <c r="DR20" s="229">
        <v>5.0799999999999998E-2</v>
      </c>
      <c r="DS20" s="228">
        <v>600</v>
      </c>
      <c r="DT20" s="228">
        <v>520</v>
      </c>
      <c r="DU20" s="228">
        <v>0.47</v>
      </c>
      <c r="DV20" s="228">
        <v>0.45</v>
      </c>
      <c r="DW20" s="228">
        <v>0.02</v>
      </c>
      <c r="DX20" s="229">
        <v>4.4400000000000002E-2</v>
      </c>
      <c r="DY20" s="229">
        <v>3.7900000000000003E-2</v>
      </c>
      <c r="DZ20" s="230">
        <v>1489400</v>
      </c>
      <c r="EA20" s="229">
        <v>5.5999999999999999E-3</v>
      </c>
      <c r="EB20" s="229">
        <v>3.7900000000000003E-2</v>
      </c>
      <c r="EC20" s="228">
        <v>3.4</v>
      </c>
      <c r="ED20" s="229">
        <v>5.7000000000000002E-3</v>
      </c>
      <c r="EE20" s="230">
        <v>2704997</v>
      </c>
      <c r="EF20" s="230">
        <v>4001311</v>
      </c>
      <c r="EG20" s="229">
        <v>-0.32400000000000001</v>
      </c>
      <c r="EH20" s="229">
        <v>0.64</v>
      </c>
      <c r="EI20" s="231">
        <v>61522.94</v>
      </c>
      <c r="EJ20" s="231">
        <v>26680.65</v>
      </c>
      <c r="EK20" s="231">
        <v>23457.24</v>
      </c>
      <c r="EL20" s="231">
        <v>3912</v>
      </c>
      <c r="EM20" s="231">
        <v>111660.83</v>
      </c>
      <c r="EN20" s="231">
        <v>147714.4</v>
      </c>
      <c r="EO20" s="231">
        <v>-36053.57</v>
      </c>
      <c r="EP20" s="229">
        <v>-0.24410000000000001</v>
      </c>
      <c r="EQ20" s="231">
        <v>70074</v>
      </c>
      <c r="ER20" s="231">
        <v>39494</v>
      </c>
      <c r="ES20" s="231">
        <v>271346</v>
      </c>
      <c r="ET20" s="231">
        <v>156090005</v>
      </c>
      <c r="EU20" s="231">
        <v>380914</v>
      </c>
      <c r="EV20" s="231">
        <v>378705</v>
      </c>
      <c r="EW20" s="231">
        <v>2209</v>
      </c>
      <c r="EX20" s="229">
        <v>5.7999999999999996E-3</v>
      </c>
      <c r="EY20" s="229">
        <v>0.40899999999999997</v>
      </c>
    </row>
    <row r="21" spans="1:155" ht="17.25" thickBot="1" x14ac:dyDescent="0.3">
      <c r="A21" s="226">
        <v>46121</v>
      </c>
      <c r="B21" s="227" t="s">
        <v>227</v>
      </c>
      <c r="C21" s="227" t="s">
        <v>228</v>
      </c>
      <c r="D21" s="228">
        <v>988.35</v>
      </c>
      <c r="E21" s="228">
        <v>955.75</v>
      </c>
      <c r="F21" s="228">
        <v>32.6</v>
      </c>
      <c r="G21" s="229">
        <v>3.4099999999999998E-2</v>
      </c>
      <c r="H21" s="228">
        <v>985.65</v>
      </c>
      <c r="I21" s="228">
        <v>951.8</v>
      </c>
      <c r="J21" s="228">
        <v>33.85</v>
      </c>
      <c r="K21" s="229">
        <v>3.56E-2</v>
      </c>
      <c r="L21" s="228">
        <v>988.35</v>
      </c>
      <c r="M21" s="228">
        <v>955.75</v>
      </c>
      <c r="N21" s="228">
        <v>32.6</v>
      </c>
      <c r="O21" s="229">
        <v>3.4099999999999998E-2</v>
      </c>
      <c r="P21" s="228">
        <v>993.95</v>
      </c>
      <c r="Q21" s="228">
        <v>961.7</v>
      </c>
      <c r="R21" s="228">
        <v>32.25</v>
      </c>
      <c r="S21" s="229">
        <v>3.3500000000000002E-2</v>
      </c>
      <c r="T21" s="228">
        <v>999.9</v>
      </c>
      <c r="U21" s="228">
        <v>967.35</v>
      </c>
      <c r="V21" s="228">
        <v>32.549999999999997</v>
      </c>
      <c r="W21" s="229">
        <v>3.3599999999999998E-2</v>
      </c>
      <c r="X21" s="228">
        <v>2.7</v>
      </c>
      <c r="Y21" s="228">
        <v>3.95</v>
      </c>
      <c r="Z21" s="228">
        <v>-1.25</v>
      </c>
      <c r="AA21" s="229">
        <v>2.7000000000000001E-3</v>
      </c>
      <c r="AB21" s="228">
        <v>2.7</v>
      </c>
      <c r="AC21" s="228">
        <v>3.95</v>
      </c>
      <c r="AD21" s="228">
        <v>-1.25</v>
      </c>
      <c r="AE21" s="229">
        <v>2.7000000000000001E-3</v>
      </c>
      <c r="AF21" s="228">
        <v>8.3000000000000007</v>
      </c>
      <c r="AG21" s="228">
        <v>9.9</v>
      </c>
      <c r="AH21" s="228">
        <v>-1.6</v>
      </c>
      <c r="AI21" s="229">
        <v>8.3999999999999995E-3</v>
      </c>
      <c r="AJ21" s="228">
        <v>14.25</v>
      </c>
      <c r="AK21" s="228">
        <v>15.55</v>
      </c>
      <c r="AL21" s="228">
        <v>-1.3</v>
      </c>
      <c r="AM21" s="229">
        <v>1.4500000000000001E-2</v>
      </c>
      <c r="AN21" s="228">
        <v>982.76</v>
      </c>
      <c r="AO21" s="228">
        <v>987.98</v>
      </c>
      <c r="AP21" s="228">
        <v>0</v>
      </c>
      <c r="AQ21" s="230">
        <v>14623</v>
      </c>
      <c r="AR21" s="230">
        <v>15175</v>
      </c>
      <c r="AS21" s="228">
        <v>-552</v>
      </c>
      <c r="AT21" s="229">
        <v>-3.6400000000000002E-2</v>
      </c>
      <c r="AU21" s="230">
        <v>13425</v>
      </c>
      <c r="AV21" s="230">
        <v>14378</v>
      </c>
      <c r="AW21" s="228">
        <v>-953</v>
      </c>
      <c r="AX21" s="229">
        <v>-6.6299999999999998E-2</v>
      </c>
      <c r="AY21" s="228">
        <v>616</v>
      </c>
      <c r="AZ21" s="228">
        <v>737</v>
      </c>
      <c r="BA21" s="228">
        <v>-121</v>
      </c>
      <c r="BB21" s="229">
        <v>-0.16420000000000001</v>
      </c>
      <c r="BC21" s="228">
        <v>582</v>
      </c>
      <c r="BD21" s="228">
        <v>60</v>
      </c>
      <c r="BE21" s="228">
        <v>522</v>
      </c>
      <c r="BF21" s="229">
        <v>8.6999999999999993</v>
      </c>
      <c r="BG21" s="230">
        <v>63579</v>
      </c>
      <c r="BH21" s="230">
        <v>32002</v>
      </c>
      <c r="BI21" s="230">
        <v>31577</v>
      </c>
      <c r="BJ21" s="229">
        <v>0.98670000000000002</v>
      </c>
      <c r="BK21" s="230">
        <v>27410</v>
      </c>
      <c r="BL21" s="230">
        <v>21567</v>
      </c>
      <c r="BM21" s="230">
        <v>5843</v>
      </c>
      <c r="BN21" s="229">
        <v>0.27089999999999997</v>
      </c>
      <c r="BO21" s="230">
        <v>105612</v>
      </c>
      <c r="BP21" s="230">
        <v>68744</v>
      </c>
      <c r="BQ21" s="230">
        <v>36868</v>
      </c>
      <c r="BR21" s="229">
        <v>0.5363</v>
      </c>
      <c r="BS21" s="230">
        <v>10318662</v>
      </c>
      <c r="BT21" s="230">
        <v>8752775</v>
      </c>
      <c r="BU21" s="230">
        <v>1565887</v>
      </c>
      <c r="BV21" s="229">
        <v>0.1789</v>
      </c>
      <c r="BW21" s="230">
        <v>38245900</v>
      </c>
      <c r="BX21" s="230">
        <v>37806300</v>
      </c>
      <c r="BY21" s="230">
        <v>439600</v>
      </c>
      <c r="BZ21" s="229">
        <v>1.1599999999999999E-2</v>
      </c>
      <c r="CA21" s="230">
        <v>35024500</v>
      </c>
      <c r="CB21" s="230">
        <v>35017500</v>
      </c>
      <c r="CC21" s="230">
        <v>7000</v>
      </c>
      <c r="CD21" s="229">
        <v>2.0000000000000001E-4</v>
      </c>
      <c r="CE21" s="230">
        <v>2256800</v>
      </c>
      <c r="CF21" s="230">
        <v>2174900</v>
      </c>
      <c r="CG21" s="230">
        <v>81900</v>
      </c>
      <c r="CH21" s="229">
        <v>3.7699999999999997E-2</v>
      </c>
      <c r="CI21" s="230">
        <v>964600</v>
      </c>
      <c r="CJ21" s="230">
        <v>613900</v>
      </c>
      <c r="CK21" s="230">
        <v>350700</v>
      </c>
      <c r="CL21" s="229">
        <v>0.57130000000000003</v>
      </c>
      <c r="CM21" s="230">
        <v>13001100</v>
      </c>
      <c r="CN21" s="230">
        <v>12842900</v>
      </c>
      <c r="CO21" s="230">
        <v>158200</v>
      </c>
      <c r="CP21" s="229">
        <v>1.23E-2</v>
      </c>
      <c r="CQ21" s="230">
        <v>9327500</v>
      </c>
      <c r="CR21" s="230">
        <v>7916300</v>
      </c>
      <c r="CS21" s="230">
        <v>1411200</v>
      </c>
      <c r="CT21" s="229">
        <v>0.17829999999999999</v>
      </c>
      <c r="CU21" s="230">
        <v>60574500</v>
      </c>
      <c r="CV21" s="230">
        <v>58565500</v>
      </c>
      <c r="CW21" s="230">
        <v>2009000</v>
      </c>
      <c r="CX21" s="229">
        <v>3.4299999999999997E-2</v>
      </c>
      <c r="CY21" s="228">
        <v>36.159999999999997</v>
      </c>
      <c r="CZ21" s="228">
        <v>35.340000000000003</v>
      </c>
      <c r="DA21" s="228">
        <v>0.82</v>
      </c>
      <c r="DB21" s="228">
        <v>0.82</v>
      </c>
      <c r="DC21" s="228">
        <v>36.51</v>
      </c>
      <c r="DD21" s="228">
        <v>36.29</v>
      </c>
      <c r="DE21" s="228">
        <v>-0.35</v>
      </c>
      <c r="DF21" s="228">
        <v>0.22</v>
      </c>
      <c r="DG21" s="228">
        <v>35.74</v>
      </c>
      <c r="DH21" s="228">
        <v>35.07</v>
      </c>
      <c r="DI21" s="228">
        <v>0.67</v>
      </c>
      <c r="DJ21" s="228">
        <v>0.67</v>
      </c>
      <c r="DK21" s="228">
        <v>37.130000000000003</v>
      </c>
      <c r="DL21" s="228">
        <v>35.729999999999997</v>
      </c>
      <c r="DM21" s="228">
        <v>1.4</v>
      </c>
      <c r="DN21" s="228">
        <v>1.4</v>
      </c>
      <c r="DO21" s="228">
        <v>0.72</v>
      </c>
      <c r="DP21" s="228">
        <v>0.62</v>
      </c>
      <c r="DQ21" s="228">
        <v>0.1</v>
      </c>
      <c r="DR21" s="229">
        <v>0.1613</v>
      </c>
      <c r="DS21" s="228">
        <v>900</v>
      </c>
      <c r="DT21" s="228">
        <v>900</v>
      </c>
      <c r="DU21" s="228">
        <v>0.43</v>
      </c>
      <c r="DV21" s="228">
        <v>0.67</v>
      </c>
      <c r="DW21" s="228">
        <v>-0.24</v>
      </c>
      <c r="DX21" s="229">
        <v>-0.35820000000000002</v>
      </c>
      <c r="DY21" s="229">
        <v>8.4199999999999997E-2</v>
      </c>
      <c r="DZ21" s="230">
        <v>2788800</v>
      </c>
      <c r="EA21" s="229">
        <v>5.7000000000000002E-3</v>
      </c>
      <c r="EB21" s="229">
        <v>8.4199999999999997E-2</v>
      </c>
      <c r="EC21" s="228">
        <v>5.22</v>
      </c>
      <c r="ED21" s="229">
        <v>5.3E-3</v>
      </c>
      <c r="EE21" s="230">
        <v>4117375</v>
      </c>
      <c r="EF21" s="230">
        <v>4366969</v>
      </c>
      <c r="EG21" s="229">
        <v>-5.7200000000000001E-2</v>
      </c>
      <c r="EH21" s="229">
        <v>0.39900000000000002</v>
      </c>
      <c r="EI21" s="231">
        <v>458224.3</v>
      </c>
      <c r="EJ21" s="231">
        <v>185033.25</v>
      </c>
      <c r="EK21" s="231">
        <v>100681.94</v>
      </c>
      <c r="EL21" s="231">
        <v>13920</v>
      </c>
      <c r="EM21" s="231">
        <v>743939.49</v>
      </c>
      <c r="EN21" s="231">
        <v>470477.58</v>
      </c>
      <c r="EO21" s="231">
        <v>273461.90999999997</v>
      </c>
      <c r="EP21" s="229">
        <v>0.58120000000000005</v>
      </c>
      <c r="EQ21" s="231">
        <v>125827</v>
      </c>
      <c r="ER21" s="231">
        <v>84391</v>
      </c>
      <c r="ES21" s="231">
        <v>378241</v>
      </c>
      <c r="ET21" s="231">
        <v>218611634</v>
      </c>
      <c r="EU21" s="231">
        <v>588460</v>
      </c>
      <c r="EV21" s="231">
        <v>555426</v>
      </c>
      <c r="EW21" s="231">
        <v>33034</v>
      </c>
      <c r="EX21" s="229">
        <v>5.9499999999999997E-2</v>
      </c>
      <c r="EY21" s="229">
        <v>0.27710000000000001</v>
      </c>
    </row>
    <row r="22" spans="1:155" ht="17.25" thickBot="1" x14ac:dyDescent="0.3">
      <c r="A22" s="226">
        <v>46121</v>
      </c>
      <c r="B22" s="227" t="s">
        <v>168</v>
      </c>
      <c r="C22" s="227" t="s">
        <v>230</v>
      </c>
      <c r="D22" s="231">
        <v>2143.3000000000002</v>
      </c>
      <c r="E22" s="231">
        <v>2156.6999999999998</v>
      </c>
      <c r="F22" s="228">
        <v>-13.4</v>
      </c>
      <c r="G22" s="229">
        <v>-6.1999999999999998E-3</v>
      </c>
      <c r="H22" s="231">
        <v>2133.1999999999998</v>
      </c>
      <c r="I22" s="231">
        <v>2145.6</v>
      </c>
      <c r="J22" s="228">
        <v>-12.4</v>
      </c>
      <c r="K22" s="229">
        <v>-5.7999999999999996E-3</v>
      </c>
      <c r="L22" s="231">
        <v>2143.3000000000002</v>
      </c>
      <c r="M22" s="231">
        <v>2156.6999999999998</v>
      </c>
      <c r="N22" s="228">
        <v>-13.4</v>
      </c>
      <c r="O22" s="229">
        <v>-6.1999999999999998E-3</v>
      </c>
      <c r="P22" s="231">
        <v>2153.6999999999998</v>
      </c>
      <c r="Q22" s="231">
        <v>2168.5</v>
      </c>
      <c r="R22" s="228">
        <v>-14.8</v>
      </c>
      <c r="S22" s="229">
        <v>-6.7999999999999996E-3</v>
      </c>
      <c r="T22" s="231">
        <v>2144.6999999999998</v>
      </c>
      <c r="U22" s="231">
        <v>2159.4</v>
      </c>
      <c r="V22" s="228">
        <v>-14.7</v>
      </c>
      <c r="W22" s="229">
        <v>-6.7999999999999996E-3</v>
      </c>
      <c r="X22" s="228">
        <v>10.1</v>
      </c>
      <c r="Y22" s="228">
        <v>11.1</v>
      </c>
      <c r="Z22" s="228">
        <v>-1</v>
      </c>
      <c r="AA22" s="229">
        <v>4.7000000000000002E-3</v>
      </c>
      <c r="AB22" s="228">
        <v>10.1</v>
      </c>
      <c r="AC22" s="228">
        <v>11.1</v>
      </c>
      <c r="AD22" s="228">
        <v>-1</v>
      </c>
      <c r="AE22" s="229">
        <v>4.7000000000000002E-3</v>
      </c>
      <c r="AF22" s="228">
        <v>20.5</v>
      </c>
      <c r="AG22" s="228">
        <v>22.9</v>
      </c>
      <c r="AH22" s="228">
        <v>-2.4</v>
      </c>
      <c r="AI22" s="229">
        <v>9.5999999999999992E-3</v>
      </c>
      <c r="AJ22" s="228">
        <v>11.5</v>
      </c>
      <c r="AK22" s="228">
        <v>13.8</v>
      </c>
      <c r="AL22" s="228">
        <v>-2.2999999999999998</v>
      </c>
      <c r="AM22" s="229">
        <v>5.4000000000000003E-3</v>
      </c>
      <c r="AN22" s="231">
        <v>2143.9299999999998</v>
      </c>
      <c r="AO22" s="231">
        <v>2154.27</v>
      </c>
      <c r="AP22" s="228">
        <v>0</v>
      </c>
      <c r="AQ22" s="230">
        <v>5084</v>
      </c>
      <c r="AR22" s="230">
        <v>14343</v>
      </c>
      <c r="AS22" s="230">
        <v>-9259</v>
      </c>
      <c r="AT22" s="229">
        <v>-0.64549999999999996</v>
      </c>
      <c r="AU22" s="230">
        <v>4670</v>
      </c>
      <c r="AV22" s="230">
        <v>13724</v>
      </c>
      <c r="AW22" s="230">
        <v>-9054</v>
      </c>
      <c r="AX22" s="229">
        <v>-0.65969999999999995</v>
      </c>
      <c r="AY22" s="228">
        <v>332</v>
      </c>
      <c r="AZ22" s="228">
        <v>516</v>
      </c>
      <c r="BA22" s="228">
        <v>-184</v>
      </c>
      <c r="BB22" s="229">
        <v>-0.35659999999999997</v>
      </c>
      <c r="BC22" s="228">
        <v>82</v>
      </c>
      <c r="BD22" s="228">
        <v>103</v>
      </c>
      <c r="BE22" s="228">
        <v>-21</v>
      </c>
      <c r="BF22" s="229">
        <v>-0.2039</v>
      </c>
      <c r="BG22" s="230">
        <v>16680</v>
      </c>
      <c r="BH22" s="230">
        <v>28222</v>
      </c>
      <c r="BI22" s="230">
        <v>-11542</v>
      </c>
      <c r="BJ22" s="229">
        <v>-0.40899999999999997</v>
      </c>
      <c r="BK22" s="230">
        <v>8773</v>
      </c>
      <c r="BL22" s="230">
        <v>21665</v>
      </c>
      <c r="BM22" s="230">
        <v>-12892</v>
      </c>
      <c r="BN22" s="229">
        <v>-0.59509999999999996</v>
      </c>
      <c r="BO22" s="230">
        <v>30537</v>
      </c>
      <c r="BP22" s="230">
        <v>64230</v>
      </c>
      <c r="BQ22" s="230">
        <v>-33693</v>
      </c>
      <c r="BR22" s="229">
        <v>-0.52459999999999996</v>
      </c>
      <c r="BS22" s="230">
        <v>2595377</v>
      </c>
      <c r="BT22" s="230">
        <v>4060526</v>
      </c>
      <c r="BU22" s="230">
        <v>-1465149</v>
      </c>
      <c r="BV22" s="229">
        <v>-0.36080000000000001</v>
      </c>
      <c r="BW22" s="230">
        <v>17107800</v>
      </c>
      <c r="BX22" s="230">
        <v>16785300</v>
      </c>
      <c r="BY22" s="230">
        <v>322500</v>
      </c>
      <c r="BZ22" s="229">
        <v>1.9199999999999998E-2</v>
      </c>
      <c r="CA22" s="230">
        <v>16396800</v>
      </c>
      <c r="CB22" s="230">
        <v>16116900</v>
      </c>
      <c r="CC22" s="230">
        <v>279900</v>
      </c>
      <c r="CD22" s="229">
        <v>1.7399999999999999E-2</v>
      </c>
      <c r="CE22" s="230">
        <v>585000</v>
      </c>
      <c r="CF22" s="230">
        <v>553800</v>
      </c>
      <c r="CG22" s="230">
        <v>31200</v>
      </c>
      <c r="CH22" s="229">
        <v>5.6300000000000003E-2</v>
      </c>
      <c r="CI22" s="230">
        <v>126000</v>
      </c>
      <c r="CJ22" s="230">
        <v>114600</v>
      </c>
      <c r="CK22" s="230">
        <v>11400</v>
      </c>
      <c r="CL22" s="229">
        <v>9.9500000000000005E-2</v>
      </c>
      <c r="CM22" s="230">
        <v>4317000</v>
      </c>
      <c r="CN22" s="230">
        <v>3936300</v>
      </c>
      <c r="CO22" s="230">
        <v>380700</v>
      </c>
      <c r="CP22" s="229">
        <v>9.6699999999999994E-2</v>
      </c>
      <c r="CQ22" s="230">
        <v>3335700</v>
      </c>
      <c r="CR22" s="230">
        <v>3259500</v>
      </c>
      <c r="CS22" s="230">
        <v>76200</v>
      </c>
      <c r="CT22" s="229">
        <v>2.3400000000000001E-2</v>
      </c>
      <c r="CU22" s="230">
        <v>24760500</v>
      </c>
      <c r="CV22" s="230">
        <v>23981100</v>
      </c>
      <c r="CW22" s="230">
        <v>779400</v>
      </c>
      <c r="CX22" s="229">
        <v>3.2500000000000001E-2</v>
      </c>
      <c r="CY22" s="228">
        <v>22.75</v>
      </c>
      <c r="CZ22" s="228">
        <v>23.17</v>
      </c>
      <c r="DA22" s="228">
        <v>-0.42</v>
      </c>
      <c r="DB22" s="228">
        <v>-0.42</v>
      </c>
      <c r="DC22" s="228">
        <v>23.16</v>
      </c>
      <c r="DD22" s="228">
        <v>23.21</v>
      </c>
      <c r="DE22" s="228">
        <v>-0.41</v>
      </c>
      <c r="DF22" s="228">
        <v>-0.05</v>
      </c>
      <c r="DG22" s="228">
        <v>22.3</v>
      </c>
      <c r="DH22" s="228">
        <v>22.2</v>
      </c>
      <c r="DI22" s="228">
        <v>0.1</v>
      </c>
      <c r="DJ22" s="228">
        <v>0.1</v>
      </c>
      <c r="DK22" s="228">
        <v>23.6</v>
      </c>
      <c r="DL22" s="228">
        <v>24.42</v>
      </c>
      <c r="DM22" s="228">
        <v>-0.82</v>
      </c>
      <c r="DN22" s="228">
        <v>-0.82</v>
      </c>
      <c r="DO22" s="228">
        <v>0.77</v>
      </c>
      <c r="DP22" s="228">
        <v>0.83</v>
      </c>
      <c r="DQ22" s="228">
        <v>-0.06</v>
      </c>
      <c r="DR22" s="229">
        <v>-7.2300000000000003E-2</v>
      </c>
      <c r="DS22" s="231">
        <v>2100</v>
      </c>
      <c r="DT22" s="231">
        <v>1900</v>
      </c>
      <c r="DU22" s="228">
        <v>0.53</v>
      </c>
      <c r="DV22" s="228">
        <v>0.77</v>
      </c>
      <c r="DW22" s="228">
        <v>-0.24</v>
      </c>
      <c r="DX22" s="229">
        <v>-0.31169999999999998</v>
      </c>
      <c r="DY22" s="229">
        <v>4.1599999999999998E-2</v>
      </c>
      <c r="DZ22" s="230">
        <v>668400</v>
      </c>
      <c r="EA22" s="229">
        <v>4.8999999999999998E-3</v>
      </c>
      <c r="EB22" s="229">
        <v>4.1599999999999998E-2</v>
      </c>
      <c r="EC22" s="228">
        <v>10.34</v>
      </c>
      <c r="ED22" s="229">
        <v>4.7999999999999996E-3</v>
      </c>
      <c r="EE22" s="230">
        <v>1446615</v>
      </c>
      <c r="EF22" s="230">
        <v>2504776</v>
      </c>
      <c r="EG22" s="229">
        <v>-0.42249999999999999</v>
      </c>
      <c r="EH22" s="229">
        <v>0.55740000000000001</v>
      </c>
      <c r="EI22" s="231">
        <v>111261</v>
      </c>
      <c r="EJ22" s="231">
        <v>55871.360000000001</v>
      </c>
      <c r="EK22" s="231">
        <v>32709.84</v>
      </c>
      <c r="EL22" s="231">
        <v>9032</v>
      </c>
      <c r="EM22" s="231">
        <v>199842.2</v>
      </c>
      <c r="EN22" s="231">
        <v>420496.52</v>
      </c>
      <c r="EO22" s="231">
        <v>-220654.32</v>
      </c>
      <c r="EP22" s="229">
        <v>-0.52470000000000006</v>
      </c>
      <c r="EQ22" s="231">
        <v>95518</v>
      </c>
      <c r="ER22" s="231">
        <v>68524</v>
      </c>
      <c r="ES22" s="231">
        <v>366734</v>
      </c>
      <c r="ET22" s="231">
        <v>89517840</v>
      </c>
      <c r="EU22" s="231">
        <v>530776</v>
      </c>
      <c r="EV22" s="231">
        <v>516231</v>
      </c>
      <c r="EW22" s="231">
        <v>14545</v>
      </c>
      <c r="EX22" s="229">
        <v>2.8199999999999999E-2</v>
      </c>
      <c r="EY22" s="229">
        <v>0.27660000000000001</v>
      </c>
    </row>
    <row r="23" spans="1:155" ht="17.25" thickBot="1" x14ac:dyDescent="0.3">
      <c r="A23" s="226">
        <v>46121</v>
      </c>
      <c r="B23" s="227" t="s">
        <v>172</v>
      </c>
      <c r="C23" s="227" t="s">
        <v>232</v>
      </c>
      <c r="D23" s="231">
        <v>1286.9000000000001</v>
      </c>
      <c r="E23" s="231">
        <v>1314.5</v>
      </c>
      <c r="F23" s="228">
        <v>-27.6</v>
      </c>
      <c r="G23" s="229">
        <v>-2.1000000000000001E-2</v>
      </c>
      <c r="H23" s="231">
        <v>1281.3</v>
      </c>
      <c r="I23" s="231">
        <v>1309.2</v>
      </c>
      <c r="J23" s="228">
        <v>-27.9</v>
      </c>
      <c r="K23" s="229">
        <v>-2.1299999999999999E-2</v>
      </c>
      <c r="L23" s="231">
        <v>1286.9000000000001</v>
      </c>
      <c r="M23" s="231">
        <v>1314.5</v>
      </c>
      <c r="N23" s="228">
        <v>-27.6</v>
      </c>
      <c r="O23" s="229">
        <v>-2.1000000000000001E-2</v>
      </c>
      <c r="P23" s="231">
        <v>1294.8</v>
      </c>
      <c r="Q23" s="231">
        <v>1322.3</v>
      </c>
      <c r="R23" s="228">
        <v>-27.5</v>
      </c>
      <c r="S23" s="229">
        <v>-2.0799999999999999E-2</v>
      </c>
      <c r="T23" s="231">
        <v>1303.5999999999999</v>
      </c>
      <c r="U23" s="231">
        <v>1329.6</v>
      </c>
      <c r="V23" s="228">
        <v>-26</v>
      </c>
      <c r="W23" s="229">
        <v>-1.9599999999999999E-2</v>
      </c>
      <c r="X23" s="228">
        <v>5.6</v>
      </c>
      <c r="Y23" s="228">
        <v>5.3</v>
      </c>
      <c r="Z23" s="228">
        <v>0.3</v>
      </c>
      <c r="AA23" s="229">
        <v>4.4000000000000003E-3</v>
      </c>
      <c r="AB23" s="228">
        <v>5.6</v>
      </c>
      <c r="AC23" s="228">
        <v>5.3</v>
      </c>
      <c r="AD23" s="228">
        <v>0.3</v>
      </c>
      <c r="AE23" s="229">
        <v>4.4000000000000003E-3</v>
      </c>
      <c r="AF23" s="228">
        <v>13.5</v>
      </c>
      <c r="AG23" s="228">
        <v>13.1</v>
      </c>
      <c r="AH23" s="228">
        <v>0.4</v>
      </c>
      <c r="AI23" s="229">
        <v>1.0500000000000001E-2</v>
      </c>
      <c r="AJ23" s="228">
        <v>22.3</v>
      </c>
      <c r="AK23" s="228">
        <v>20.399999999999999</v>
      </c>
      <c r="AL23" s="228">
        <v>1.9</v>
      </c>
      <c r="AM23" s="229">
        <v>1.7399999999999999E-2</v>
      </c>
      <c r="AN23" s="231">
        <v>1293.77</v>
      </c>
      <c r="AO23" s="231">
        <v>1302.1500000000001</v>
      </c>
      <c r="AP23" s="228">
        <v>0</v>
      </c>
      <c r="AQ23" s="230">
        <v>18234</v>
      </c>
      <c r="AR23" s="230">
        <v>27511</v>
      </c>
      <c r="AS23" s="230">
        <v>-9277</v>
      </c>
      <c r="AT23" s="229">
        <v>-0.3372</v>
      </c>
      <c r="AU23" s="230">
        <v>16539</v>
      </c>
      <c r="AV23" s="230">
        <v>26277</v>
      </c>
      <c r="AW23" s="230">
        <v>-9738</v>
      </c>
      <c r="AX23" s="229">
        <v>-0.37059999999999998</v>
      </c>
      <c r="AY23" s="230">
        <v>1551</v>
      </c>
      <c r="AZ23" s="230">
        <v>1084</v>
      </c>
      <c r="BA23" s="228">
        <v>467</v>
      </c>
      <c r="BB23" s="229">
        <v>0.43080000000000002</v>
      </c>
      <c r="BC23" s="228">
        <v>144</v>
      </c>
      <c r="BD23" s="228">
        <v>150</v>
      </c>
      <c r="BE23" s="228">
        <v>-6</v>
      </c>
      <c r="BF23" s="229">
        <v>-0.04</v>
      </c>
      <c r="BG23" s="230">
        <v>31929</v>
      </c>
      <c r="BH23" s="230">
        <v>47021</v>
      </c>
      <c r="BI23" s="230">
        <v>-15092</v>
      </c>
      <c r="BJ23" s="229">
        <v>-0.32100000000000001</v>
      </c>
      <c r="BK23" s="230">
        <v>29314</v>
      </c>
      <c r="BL23" s="230">
        <v>36027</v>
      </c>
      <c r="BM23" s="230">
        <v>-6713</v>
      </c>
      <c r="BN23" s="229">
        <v>-0.18629999999999999</v>
      </c>
      <c r="BO23" s="230">
        <v>79477</v>
      </c>
      <c r="BP23" s="230">
        <v>110559</v>
      </c>
      <c r="BQ23" s="230">
        <v>-31082</v>
      </c>
      <c r="BR23" s="229">
        <v>-0.28110000000000002</v>
      </c>
      <c r="BS23" s="230">
        <v>26043693</v>
      </c>
      <c r="BT23" s="230">
        <v>26029580</v>
      </c>
      <c r="BU23" s="230">
        <v>14113</v>
      </c>
      <c r="BV23" s="229">
        <v>5.0000000000000001E-4</v>
      </c>
      <c r="BW23" s="230">
        <v>118518400</v>
      </c>
      <c r="BX23" s="230">
        <v>118635300</v>
      </c>
      <c r="BY23" s="230">
        <v>-116900</v>
      </c>
      <c r="BZ23" s="229">
        <v>-1E-3</v>
      </c>
      <c r="CA23" s="230">
        <v>95197200</v>
      </c>
      <c r="CB23" s="230">
        <v>95564700</v>
      </c>
      <c r="CC23" s="230">
        <v>-367500</v>
      </c>
      <c r="CD23" s="229">
        <v>-3.8E-3</v>
      </c>
      <c r="CE23" s="230">
        <v>22165500</v>
      </c>
      <c r="CF23" s="230">
        <v>21980000</v>
      </c>
      <c r="CG23" s="230">
        <v>185500</v>
      </c>
      <c r="CH23" s="229">
        <v>8.3999999999999995E-3</v>
      </c>
      <c r="CI23" s="230">
        <v>1155700</v>
      </c>
      <c r="CJ23" s="230">
        <v>1090600</v>
      </c>
      <c r="CK23" s="230">
        <v>65100</v>
      </c>
      <c r="CL23" s="229">
        <v>5.9700000000000003E-2</v>
      </c>
      <c r="CM23" s="230">
        <v>18566100</v>
      </c>
      <c r="CN23" s="230">
        <v>16902900</v>
      </c>
      <c r="CO23" s="230">
        <v>1663200</v>
      </c>
      <c r="CP23" s="229">
        <v>9.8400000000000001E-2</v>
      </c>
      <c r="CQ23" s="230">
        <v>16031400</v>
      </c>
      <c r="CR23" s="230">
        <v>16718100</v>
      </c>
      <c r="CS23" s="230">
        <v>-686700</v>
      </c>
      <c r="CT23" s="229">
        <v>-4.1099999999999998E-2</v>
      </c>
      <c r="CU23" s="230">
        <v>153115900</v>
      </c>
      <c r="CV23" s="230">
        <v>152256300</v>
      </c>
      <c r="CW23" s="230">
        <v>859600</v>
      </c>
      <c r="CX23" s="229">
        <v>5.5999999999999999E-3</v>
      </c>
      <c r="CY23" s="228">
        <v>27.2</v>
      </c>
      <c r="CZ23" s="228">
        <v>25.39</v>
      </c>
      <c r="DA23" s="228">
        <v>1.81</v>
      </c>
      <c r="DB23" s="228">
        <v>1.81</v>
      </c>
      <c r="DC23" s="228">
        <v>23.62</v>
      </c>
      <c r="DD23" s="228">
        <v>23.5</v>
      </c>
      <c r="DE23" s="228">
        <v>3.58</v>
      </c>
      <c r="DF23" s="228">
        <v>0.12</v>
      </c>
      <c r="DG23" s="228">
        <v>26.08</v>
      </c>
      <c r="DH23" s="228">
        <v>23.93</v>
      </c>
      <c r="DI23" s="228">
        <v>2.15</v>
      </c>
      <c r="DJ23" s="228">
        <v>2.15</v>
      </c>
      <c r="DK23" s="228">
        <v>28.43</v>
      </c>
      <c r="DL23" s="228">
        <v>27.31</v>
      </c>
      <c r="DM23" s="228">
        <v>1.1200000000000001</v>
      </c>
      <c r="DN23" s="228">
        <v>1.1200000000000001</v>
      </c>
      <c r="DO23" s="228">
        <v>0.86</v>
      </c>
      <c r="DP23" s="228">
        <v>0.99</v>
      </c>
      <c r="DQ23" s="228">
        <v>-0.13</v>
      </c>
      <c r="DR23" s="229">
        <v>-0.1313</v>
      </c>
      <c r="DS23" s="231">
        <v>1300</v>
      </c>
      <c r="DT23" s="231">
        <v>1300</v>
      </c>
      <c r="DU23" s="228">
        <v>0.92</v>
      </c>
      <c r="DV23" s="228">
        <v>0.77</v>
      </c>
      <c r="DW23" s="228">
        <v>0.15</v>
      </c>
      <c r="DX23" s="229">
        <v>0.1948</v>
      </c>
      <c r="DY23" s="229">
        <v>0.1968</v>
      </c>
      <c r="DZ23" s="230">
        <v>23070600</v>
      </c>
      <c r="EA23" s="229">
        <v>6.1000000000000004E-3</v>
      </c>
      <c r="EB23" s="229">
        <v>0.1968</v>
      </c>
      <c r="EC23" s="228">
        <v>8.3800000000000008</v>
      </c>
      <c r="ED23" s="229">
        <v>6.4999999999999997E-3</v>
      </c>
      <c r="EE23" s="230">
        <v>10839011</v>
      </c>
      <c r="EF23" s="230">
        <v>15217802</v>
      </c>
      <c r="EG23" s="229">
        <v>-0.28770000000000001</v>
      </c>
      <c r="EH23" s="229">
        <v>0.41620000000000001</v>
      </c>
      <c r="EI23" s="231">
        <v>301292.03000000003</v>
      </c>
      <c r="EJ23" s="231">
        <v>262003.22</v>
      </c>
      <c r="EK23" s="231">
        <v>165238.57999999999</v>
      </c>
      <c r="EL23" s="231">
        <v>22790</v>
      </c>
      <c r="EM23" s="231">
        <v>728533.83</v>
      </c>
      <c r="EN23" s="231">
        <v>1020128.01</v>
      </c>
      <c r="EO23" s="231">
        <v>-291594.18</v>
      </c>
      <c r="EP23" s="229">
        <v>-0.2858</v>
      </c>
      <c r="EQ23" s="231">
        <v>243352</v>
      </c>
      <c r="ER23" s="231">
        <v>199817</v>
      </c>
      <c r="ES23" s="231">
        <v>1527157</v>
      </c>
      <c r="ET23" s="231">
        <v>668616020</v>
      </c>
      <c r="EU23" s="231">
        <v>1970326</v>
      </c>
      <c r="EV23" s="231">
        <v>1990601</v>
      </c>
      <c r="EW23" s="231">
        <v>-20275</v>
      </c>
      <c r="EX23" s="229">
        <v>-1.0200000000000001E-2</v>
      </c>
      <c r="EY23" s="229">
        <v>0.22900000000000001</v>
      </c>
    </row>
    <row r="24" spans="1:155" ht="17.25" thickBot="1" x14ac:dyDescent="0.3">
      <c r="A24" s="226">
        <v>46121</v>
      </c>
      <c r="B24" s="227" t="s">
        <v>215</v>
      </c>
      <c r="C24" s="227" t="s">
        <v>238</v>
      </c>
      <c r="D24" s="231">
        <v>4470.6000000000004</v>
      </c>
      <c r="E24" s="231">
        <v>4624.8</v>
      </c>
      <c r="F24" s="228">
        <v>-154.19999999999999</v>
      </c>
      <c r="G24" s="229">
        <v>-3.3300000000000003E-2</v>
      </c>
      <c r="H24" s="231">
        <v>4449.1000000000004</v>
      </c>
      <c r="I24" s="231">
        <v>4615.5</v>
      </c>
      <c r="J24" s="228">
        <v>-166.4</v>
      </c>
      <c r="K24" s="229">
        <v>-3.61E-2</v>
      </c>
      <c r="L24" s="231">
        <v>4470.6000000000004</v>
      </c>
      <c r="M24" s="231">
        <v>4624.8</v>
      </c>
      <c r="N24" s="228">
        <v>-154.19999999999999</v>
      </c>
      <c r="O24" s="229">
        <v>-3.3300000000000003E-2</v>
      </c>
      <c r="P24" s="231">
        <v>4485.3999999999996</v>
      </c>
      <c r="Q24" s="231">
        <v>4637.8999999999996</v>
      </c>
      <c r="R24" s="228">
        <v>-152.5</v>
      </c>
      <c r="S24" s="229">
        <v>-3.2899999999999999E-2</v>
      </c>
      <c r="T24" s="231">
        <v>4508.2</v>
      </c>
      <c r="U24" s="231">
        <v>4660.6000000000004</v>
      </c>
      <c r="V24" s="228">
        <v>-152.4</v>
      </c>
      <c r="W24" s="229">
        <v>-3.27E-2</v>
      </c>
      <c r="X24" s="228">
        <v>21.5</v>
      </c>
      <c r="Y24" s="228">
        <v>9.3000000000000007</v>
      </c>
      <c r="Z24" s="228">
        <v>12.2</v>
      </c>
      <c r="AA24" s="229">
        <v>4.7999999999999996E-3</v>
      </c>
      <c r="AB24" s="228">
        <v>21.5</v>
      </c>
      <c r="AC24" s="228">
        <v>9.3000000000000007</v>
      </c>
      <c r="AD24" s="228">
        <v>12.2</v>
      </c>
      <c r="AE24" s="229">
        <v>4.7999999999999996E-3</v>
      </c>
      <c r="AF24" s="228">
        <v>36.299999999999997</v>
      </c>
      <c r="AG24" s="228">
        <v>22.4</v>
      </c>
      <c r="AH24" s="228">
        <v>13.9</v>
      </c>
      <c r="AI24" s="229">
        <v>8.2000000000000007E-3</v>
      </c>
      <c r="AJ24" s="228">
        <v>59.1</v>
      </c>
      <c r="AK24" s="228">
        <v>45.1</v>
      </c>
      <c r="AL24" s="228">
        <v>14</v>
      </c>
      <c r="AM24" s="229">
        <v>1.3299999999999999E-2</v>
      </c>
      <c r="AN24" s="231">
        <v>4512.18</v>
      </c>
      <c r="AO24" s="231">
        <v>4528.68</v>
      </c>
      <c r="AP24" s="228">
        <v>0</v>
      </c>
      <c r="AQ24" s="230">
        <v>11489</v>
      </c>
      <c r="AR24" s="230">
        <v>32301</v>
      </c>
      <c r="AS24" s="230">
        <v>-20812</v>
      </c>
      <c r="AT24" s="229">
        <v>-0.64429999999999998</v>
      </c>
      <c r="AU24" s="230">
        <v>10744</v>
      </c>
      <c r="AV24" s="230">
        <v>30452</v>
      </c>
      <c r="AW24" s="230">
        <v>-19708</v>
      </c>
      <c r="AX24" s="229">
        <v>-0.6472</v>
      </c>
      <c r="AY24" s="228">
        <v>643</v>
      </c>
      <c r="AZ24" s="230">
        <v>1567</v>
      </c>
      <c r="BA24" s="228">
        <v>-924</v>
      </c>
      <c r="BB24" s="229">
        <v>-0.5897</v>
      </c>
      <c r="BC24" s="228">
        <v>102</v>
      </c>
      <c r="BD24" s="228">
        <v>282</v>
      </c>
      <c r="BE24" s="228">
        <v>-180</v>
      </c>
      <c r="BF24" s="229">
        <v>-0.63829999999999998</v>
      </c>
      <c r="BG24" s="230">
        <v>58147</v>
      </c>
      <c r="BH24" s="230">
        <v>131659</v>
      </c>
      <c r="BI24" s="230">
        <v>-73512</v>
      </c>
      <c r="BJ24" s="229">
        <v>-0.55840000000000001</v>
      </c>
      <c r="BK24" s="230">
        <v>42779</v>
      </c>
      <c r="BL24" s="230">
        <v>71948</v>
      </c>
      <c r="BM24" s="230">
        <v>-29169</v>
      </c>
      <c r="BN24" s="229">
        <v>-0.40539999999999998</v>
      </c>
      <c r="BO24" s="230">
        <v>112415</v>
      </c>
      <c r="BP24" s="230">
        <v>235908</v>
      </c>
      <c r="BQ24" s="230">
        <v>-123493</v>
      </c>
      <c r="BR24" s="229">
        <v>-0.52349999999999997</v>
      </c>
      <c r="BS24" s="230">
        <v>1993667</v>
      </c>
      <c r="BT24" s="230">
        <v>5751624</v>
      </c>
      <c r="BU24" s="230">
        <v>-3757957</v>
      </c>
      <c r="BV24" s="229">
        <v>-0.65339999999999998</v>
      </c>
      <c r="BW24" s="230">
        <v>7544400</v>
      </c>
      <c r="BX24" s="230">
        <v>7300050</v>
      </c>
      <c r="BY24" s="230">
        <v>244350</v>
      </c>
      <c r="BZ24" s="229">
        <v>3.3500000000000002E-2</v>
      </c>
      <c r="CA24" s="230">
        <v>7263150</v>
      </c>
      <c r="CB24" s="230">
        <v>7053150</v>
      </c>
      <c r="CC24" s="230">
        <v>210000</v>
      </c>
      <c r="CD24" s="229">
        <v>2.98E-2</v>
      </c>
      <c r="CE24" s="230">
        <v>238950</v>
      </c>
      <c r="CF24" s="230">
        <v>212250</v>
      </c>
      <c r="CG24" s="230">
        <v>26700</v>
      </c>
      <c r="CH24" s="229">
        <v>0.1258</v>
      </c>
      <c r="CI24" s="230">
        <v>42300</v>
      </c>
      <c r="CJ24" s="230">
        <v>34650</v>
      </c>
      <c r="CK24" s="230">
        <v>7650</v>
      </c>
      <c r="CL24" s="229">
        <v>0.2208</v>
      </c>
      <c r="CM24" s="230">
        <v>5758950</v>
      </c>
      <c r="CN24" s="230">
        <v>4719150</v>
      </c>
      <c r="CO24" s="230">
        <v>1039800</v>
      </c>
      <c r="CP24" s="229">
        <v>0.2203</v>
      </c>
      <c r="CQ24" s="230">
        <v>3322200</v>
      </c>
      <c r="CR24" s="230">
        <v>2958750</v>
      </c>
      <c r="CS24" s="230">
        <v>363450</v>
      </c>
      <c r="CT24" s="229">
        <v>0.12280000000000001</v>
      </c>
      <c r="CU24" s="230">
        <v>16625550</v>
      </c>
      <c r="CV24" s="230">
        <v>14977950</v>
      </c>
      <c r="CW24" s="230">
        <v>1647600</v>
      </c>
      <c r="CX24" s="229">
        <v>0.11</v>
      </c>
      <c r="CY24" s="228">
        <v>40.630000000000003</v>
      </c>
      <c r="CZ24" s="228">
        <v>40.25</v>
      </c>
      <c r="DA24" s="228">
        <v>0.38</v>
      </c>
      <c r="DB24" s="228">
        <v>0.38</v>
      </c>
      <c r="DC24" s="228">
        <v>39.93</v>
      </c>
      <c r="DD24" s="228">
        <v>39.72</v>
      </c>
      <c r="DE24" s="228">
        <v>0.7</v>
      </c>
      <c r="DF24" s="228">
        <v>0.21</v>
      </c>
      <c r="DG24" s="228">
        <v>38.82</v>
      </c>
      <c r="DH24" s="228">
        <v>38.71</v>
      </c>
      <c r="DI24" s="228">
        <v>0.11</v>
      </c>
      <c r="DJ24" s="228">
        <v>0.11</v>
      </c>
      <c r="DK24" s="228">
        <v>43.08</v>
      </c>
      <c r="DL24" s="228">
        <v>43.05</v>
      </c>
      <c r="DM24" s="228">
        <v>0.03</v>
      </c>
      <c r="DN24" s="228">
        <v>0.03</v>
      </c>
      <c r="DO24" s="228">
        <v>0.57999999999999996</v>
      </c>
      <c r="DP24" s="228">
        <v>0.63</v>
      </c>
      <c r="DQ24" s="228">
        <v>-0.05</v>
      </c>
      <c r="DR24" s="229">
        <v>-7.9399999999999998E-2</v>
      </c>
      <c r="DS24" s="231">
        <v>4700</v>
      </c>
      <c r="DT24" s="231">
        <v>4200</v>
      </c>
      <c r="DU24" s="228">
        <v>0.74</v>
      </c>
      <c r="DV24" s="228">
        <v>0.55000000000000004</v>
      </c>
      <c r="DW24" s="228">
        <v>0.19</v>
      </c>
      <c r="DX24" s="229">
        <v>0.34549999999999997</v>
      </c>
      <c r="DY24" s="229">
        <v>3.73E-2</v>
      </c>
      <c r="DZ24" s="230">
        <v>246900</v>
      </c>
      <c r="EA24" s="229">
        <v>3.3E-3</v>
      </c>
      <c r="EB24" s="229">
        <v>3.73E-2</v>
      </c>
      <c r="EC24" s="228">
        <v>16.5</v>
      </c>
      <c r="ED24" s="229">
        <v>3.7000000000000002E-3</v>
      </c>
      <c r="EE24" s="230">
        <v>830044</v>
      </c>
      <c r="EF24" s="230">
        <v>2157550</v>
      </c>
      <c r="EG24" s="229">
        <v>-0.61529999999999996</v>
      </c>
      <c r="EH24" s="229">
        <v>0.4163</v>
      </c>
      <c r="EI24" s="231">
        <v>422902.49</v>
      </c>
      <c r="EJ24" s="231">
        <v>283377.53999999998</v>
      </c>
      <c r="EK24" s="231">
        <v>77783.649999999994</v>
      </c>
      <c r="EL24" s="231">
        <v>19147</v>
      </c>
      <c r="EM24" s="231">
        <v>784063.68</v>
      </c>
      <c r="EN24" s="231">
        <v>1688642.99</v>
      </c>
      <c r="EO24" s="231">
        <v>-904579.31</v>
      </c>
      <c r="EP24" s="229">
        <v>-0.53569999999999995</v>
      </c>
      <c r="EQ24" s="231">
        <v>268977</v>
      </c>
      <c r="ER24" s="231">
        <v>140998</v>
      </c>
      <c r="ES24" s="231">
        <v>337331</v>
      </c>
      <c r="ET24" s="231">
        <v>33878797</v>
      </c>
      <c r="EU24" s="231">
        <v>747307</v>
      </c>
      <c r="EV24" s="231">
        <v>681860</v>
      </c>
      <c r="EW24" s="231">
        <v>65447</v>
      </c>
      <c r="EX24" s="229">
        <v>9.6000000000000002E-2</v>
      </c>
      <c r="EY24" s="229">
        <v>0.49070000000000003</v>
      </c>
    </row>
    <row r="25" spans="1:155" ht="17.25" thickBot="1" x14ac:dyDescent="0.3">
      <c r="A25" s="226">
        <v>46121</v>
      </c>
      <c r="B25" s="227" t="s">
        <v>221</v>
      </c>
      <c r="C25" s="227" t="s">
        <v>240</v>
      </c>
      <c r="D25" s="231">
        <v>1332.5</v>
      </c>
      <c r="E25" s="231">
        <v>1344</v>
      </c>
      <c r="F25" s="228">
        <v>-11.5</v>
      </c>
      <c r="G25" s="229">
        <v>-8.6E-3</v>
      </c>
      <c r="H25" s="231">
        <v>1331.6</v>
      </c>
      <c r="I25" s="231">
        <v>1346.2</v>
      </c>
      <c r="J25" s="228">
        <v>-14.6</v>
      </c>
      <c r="K25" s="229">
        <v>-1.0800000000000001E-2</v>
      </c>
      <c r="L25" s="231">
        <v>1332.5</v>
      </c>
      <c r="M25" s="231">
        <v>1344</v>
      </c>
      <c r="N25" s="228">
        <v>-11.5</v>
      </c>
      <c r="O25" s="229">
        <v>-8.6E-3</v>
      </c>
      <c r="P25" s="231">
        <v>1334.3</v>
      </c>
      <c r="Q25" s="231">
        <v>1343.4</v>
      </c>
      <c r="R25" s="228">
        <v>-9.1</v>
      </c>
      <c r="S25" s="229">
        <v>-6.7999999999999996E-3</v>
      </c>
      <c r="T25" s="231">
        <v>1330.3</v>
      </c>
      <c r="U25" s="231">
        <v>1340.8</v>
      </c>
      <c r="V25" s="228">
        <v>-10.5</v>
      </c>
      <c r="W25" s="229">
        <v>-7.7999999999999996E-3</v>
      </c>
      <c r="X25" s="228">
        <v>0.9</v>
      </c>
      <c r="Y25" s="228">
        <v>-2.2000000000000002</v>
      </c>
      <c r="Z25" s="228">
        <v>3.1</v>
      </c>
      <c r="AA25" s="229">
        <v>6.9999999999999999E-4</v>
      </c>
      <c r="AB25" s="228">
        <v>0.9</v>
      </c>
      <c r="AC25" s="228">
        <v>-2.2000000000000002</v>
      </c>
      <c r="AD25" s="228">
        <v>3.1</v>
      </c>
      <c r="AE25" s="229">
        <v>6.9999999999999999E-4</v>
      </c>
      <c r="AF25" s="228">
        <v>2.7</v>
      </c>
      <c r="AG25" s="228">
        <v>-2.8</v>
      </c>
      <c r="AH25" s="228">
        <v>5.5</v>
      </c>
      <c r="AI25" s="229">
        <v>2E-3</v>
      </c>
      <c r="AJ25" s="228">
        <v>-1.3</v>
      </c>
      <c r="AK25" s="228">
        <v>-5.4</v>
      </c>
      <c r="AL25" s="228">
        <v>4.0999999999999996</v>
      </c>
      <c r="AM25" s="229">
        <v>-1E-3</v>
      </c>
      <c r="AN25" s="231">
        <v>1323.39</v>
      </c>
      <c r="AO25" s="231">
        <v>1323.57</v>
      </c>
      <c r="AP25" s="228">
        <v>0</v>
      </c>
      <c r="AQ25" s="230">
        <v>29213</v>
      </c>
      <c r="AR25" s="230">
        <v>32909</v>
      </c>
      <c r="AS25" s="230">
        <v>-3696</v>
      </c>
      <c r="AT25" s="229">
        <v>-0.1123</v>
      </c>
      <c r="AU25" s="230">
        <v>26073</v>
      </c>
      <c r="AV25" s="230">
        <v>30052</v>
      </c>
      <c r="AW25" s="230">
        <v>-3979</v>
      </c>
      <c r="AX25" s="229">
        <v>-0.13239999999999999</v>
      </c>
      <c r="AY25" s="230">
        <v>2473</v>
      </c>
      <c r="AZ25" s="230">
        <v>2077</v>
      </c>
      <c r="BA25" s="228">
        <v>396</v>
      </c>
      <c r="BB25" s="229">
        <v>0.19070000000000001</v>
      </c>
      <c r="BC25" s="228">
        <v>667</v>
      </c>
      <c r="BD25" s="228">
        <v>780</v>
      </c>
      <c r="BE25" s="228">
        <v>-113</v>
      </c>
      <c r="BF25" s="229">
        <v>-0.1449</v>
      </c>
      <c r="BG25" s="230">
        <v>61235</v>
      </c>
      <c r="BH25" s="230">
        <v>77424</v>
      </c>
      <c r="BI25" s="230">
        <v>-16189</v>
      </c>
      <c r="BJ25" s="229">
        <v>-0.20910000000000001</v>
      </c>
      <c r="BK25" s="230">
        <v>32600</v>
      </c>
      <c r="BL25" s="230">
        <v>36029</v>
      </c>
      <c r="BM25" s="230">
        <v>-3429</v>
      </c>
      <c r="BN25" s="229">
        <v>-9.5200000000000007E-2</v>
      </c>
      <c r="BO25" s="230">
        <v>123048</v>
      </c>
      <c r="BP25" s="230">
        <v>146362</v>
      </c>
      <c r="BQ25" s="230">
        <v>-23314</v>
      </c>
      <c r="BR25" s="229">
        <v>-0.1593</v>
      </c>
      <c r="BS25" s="230">
        <v>16821840</v>
      </c>
      <c r="BT25" s="230">
        <v>17478809</v>
      </c>
      <c r="BU25" s="230">
        <v>-656969</v>
      </c>
      <c r="BV25" s="229">
        <v>-3.7600000000000001E-2</v>
      </c>
      <c r="BW25" s="230">
        <v>76865200</v>
      </c>
      <c r="BX25" s="230">
        <v>77227600</v>
      </c>
      <c r="BY25" s="230">
        <v>-362400</v>
      </c>
      <c r="BZ25" s="229">
        <v>-4.7000000000000002E-3</v>
      </c>
      <c r="CA25" s="230">
        <v>74068800</v>
      </c>
      <c r="CB25" s="230">
        <v>74711200</v>
      </c>
      <c r="CC25" s="230">
        <v>-642400</v>
      </c>
      <c r="CD25" s="229">
        <v>-8.6E-3</v>
      </c>
      <c r="CE25" s="230">
        <v>2180000</v>
      </c>
      <c r="CF25" s="230">
        <v>1924000</v>
      </c>
      <c r="CG25" s="230">
        <v>256000</v>
      </c>
      <c r="CH25" s="229">
        <v>0.1331</v>
      </c>
      <c r="CI25" s="230">
        <v>616400</v>
      </c>
      <c r="CJ25" s="230">
        <v>592400</v>
      </c>
      <c r="CK25" s="230">
        <v>24000</v>
      </c>
      <c r="CL25" s="229">
        <v>4.0500000000000001E-2</v>
      </c>
      <c r="CM25" s="230">
        <v>20953600</v>
      </c>
      <c r="CN25" s="230">
        <v>19346400</v>
      </c>
      <c r="CO25" s="230">
        <v>1607200</v>
      </c>
      <c r="CP25" s="229">
        <v>8.3099999999999993E-2</v>
      </c>
      <c r="CQ25" s="230">
        <v>16014400</v>
      </c>
      <c r="CR25" s="230">
        <v>15430800</v>
      </c>
      <c r="CS25" s="230">
        <v>583600</v>
      </c>
      <c r="CT25" s="229">
        <v>3.78E-2</v>
      </c>
      <c r="CU25" s="230">
        <v>113833200</v>
      </c>
      <c r="CV25" s="230">
        <v>112004800</v>
      </c>
      <c r="CW25" s="230">
        <v>1828400</v>
      </c>
      <c r="CX25" s="229">
        <v>1.6299999999999999E-2</v>
      </c>
      <c r="CY25" s="228">
        <v>37.21</v>
      </c>
      <c r="CZ25" s="228">
        <v>35.979999999999997</v>
      </c>
      <c r="DA25" s="228">
        <v>1.23</v>
      </c>
      <c r="DB25" s="228">
        <v>1.23</v>
      </c>
      <c r="DC25" s="228">
        <v>30.86</v>
      </c>
      <c r="DD25" s="228">
        <v>30.9</v>
      </c>
      <c r="DE25" s="228">
        <v>6.35</v>
      </c>
      <c r="DF25" s="228">
        <v>-0.04</v>
      </c>
      <c r="DG25" s="228">
        <v>36.090000000000003</v>
      </c>
      <c r="DH25" s="228">
        <v>34.630000000000003</v>
      </c>
      <c r="DI25" s="228">
        <v>1.46</v>
      </c>
      <c r="DJ25" s="228">
        <v>1.46</v>
      </c>
      <c r="DK25" s="228">
        <v>39.32</v>
      </c>
      <c r="DL25" s="228">
        <v>38.9</v>
      </c>
      <c r="DM25" s="228">
        <v>0.42</v>
      </c>
      <c r="DN25" s="228">
        <v>0.42</v>
      </c>
      <c r="DO25" s="228">
        <v>0.76</v>
      </c>
      <c r="DP25" s="228">
        <v>0.8</v>
      </c>
      <c r="DQ25" s="228">
        <v>-0.04</v>
      </c>
      <c r="DR25" s="229">
        <v>-0.05</v>
      </c>
      <c r="DS25" s="231">
        <v>1400</v>
      </c>
      <c r="DT25" s="231">
        <v>1280</v>
      </c>
      <c r="DU25" s="228">
        <v>0.53</v>
      </c>
      <c r="DV25" s="228">
        <v>0.47</v>
      </c>
      <c r="DW25" s="228">
        <v>0.06</v>
      </c>
      <c r="DX25" s="229">
        <v>0.12770000000000001</v>
      </c>
      <c r="DY25" s="229">
        <v>3.6400000000000002E-2</v>
      </c>
      <c r="DZ25" s="230">
        <v>2516400</v>
      </c>
      <c r="EA25" s="229">
        <v>1.4E-3</v>
      </c>
      <c r="EB25" s="229">
        <v>3.6400000000000002E-2</v>
      </c>
      <c r="EC25" s="228">
        <v>0.18</v>
      </c>
      <c r="ED25" s="229">
        <v>1E-4</v>
      </c>
      <c r="EE25" s="230">
        <v>7424410</v>
      </c>
      <c r="EF25" s="230">
        <v>9478487</v>
      </c>
      <c r="EG25" s="229">
        <v>-0.2167</v>
      </c>
      <c r="EH25" s="229">
        <v>0.44140000000000001</v>
      </c>
      <c r="EI25" s="231">
        <v>343679.45</v>
      </c>
      <c r="EJ25" s="231">
        <v>169739.16</v>
      </c>
      <c r="EK25" s="231">
        <v>154635.75</v>
      </c>
      <c r="EL25" s="231">
        <v>26037</v>
      </c>
      <c r="EM25" s="231">
        <v>668054.36</v>
      </c>
      <c r="EN25" s="231">
        <v>803030.91</v>
      </c>
      <c r="EO25" s="231">
        <v>-134976.54999999999</v>
      </c>
      <c r="EP25" s="229">
        <v>-0.1681</v>
      </c>
      <c r="EQ25" s="231">
        <v>286923</v>
      </c>
      <c r="ER25" s="231">
        <v>204640</v>
      </c>
      <c r="ES25" s="231">
        <v>1024254</v>
      </c>
      <c r="ET25" s="231">
        <v>475237614</v>
      </c>
      <c r="EU25" s="231">
        <v>1515818</v>
      </c>
      <c r="EV25" s="231">
        <v>1500017</v>
      </c>
      <c r="EW25" s="231">
        <v>15801</v>
      </c>
      <c r="EX25" s="229">
        <v>1.0500000000000001E-2</v>
      </c>
      <c r="EY25" s="229">
        <v>0.23949999999999999</v>
      </c>
    </row>
    <row r="26" spans="1:155" ht="17.25" thickBot="1" x14ac:dyDescent="0.3">
      <c r="A26" s="226">
        <v>46121</v>
      </c>
      <c r="B26" s="227" t="s">
        <v>168</v>
      </c>
      <c r="C26" s="227" t="s">
        <v>242</v>
      </c>
      <c r="D26" s="228">
        <v>303.75</v>
      </c>
      <c r="E26" s="228">
        <v>303.64999999999998</v>
      </c>
      <c r="F26" s="228">
        <v>0.1</v>
      </c>
      <c r="G26" s="229">
        <v>2.9999999999999997E-4</v>
      </c>
      <c r="H26" s="228">
        <v>303</v>
      </c>
      <c r="I26" s="228">
        <v>302.45</v>
      </c>
      <c r="J26" s="228">
        <v>0.55000000000000004</v>
      </c>
      <c r="K26" s="229">
        <v>1.8E-3</v>
      </c>
      <c r="L26" s="228">
        <v>303.75</v>
      </c>
      <c r="M26" s="228">
        <v>303.64999999999998</v>
      </c>
      <c r="N26" s="228">
        <v>0.1</v>
      </c>
      <c r="O26" s="229">
        <v>2.9999999999999997E-4</v>
      </c>
      <c r="P26" s="228">
        <v>305.55</v>
      </c>
      <c r="Q26" s="228">
        <v>305.64999999999998</v>
      </c>
      <c r="R26" s="228">
        <v>-0.1</v>
      </c>
      <c r="S26" s="229">
        <v>-2.9999999999999997E-4</v>
      </c>
      <c r="T26" s="228">
        <v>307.45</v>
      </c>
      <c r="U26" s="228">
        <v>307.2</v>
      </c>
      <c r="V26" s="228">
        <v>0.25</v>
      </c>
      <c r="W26" s="229">
        <v>8.0000000000000004E-4</v>
      </c>
      <c r="X26" s="228">
        <v>0.75</v>
      </c>
      <c r="Y26" s="228">
        <v>1.2</v>
      </c>
      <c r="Z26" s="228">
        <v>-0.45</v>
      </c>
      <c r="AA26" s="229">
        <v>2.5000000000000001E-3</v>
      </c>
      <c r="AB26" s="228">
        <v>0.75</v>
      </c>
      <c r="AC26" s="228">
        <v>1.2</v>
      </c>
      <c r="AD26" s="228">
        <v>-0.45</v>
      </c>
      <c r="AE26" s="229">
        <v>2.5000000000000001E-3</v>
      </c>
      <c r="AF26" s="228">
        <v>2.5499999999999998</v>
      </c>
      <c r="AG26" s="228">
        <v>3.2</v>
      </c>
      <c r="AH26" s="228">
        <v>-0.65</v>
      </c>
      <c r="AI26" s="229">
        <v>8.3999999999999995E-3</v>
      </c>
      <c r="AJ26" s="228">
        <v>4.45</v>
      </c>
      <c r="AK26" s="228">
        <v>4.75</v>
      </c>
      <c r="AL26" s="228">
        <v>-0.3</v>
      </c>
      <c r="AM26" s="229">
        <v>1.47E-2</v>
      </c>
      <c r="AN26" s="228">
        <v>303.97000000000003</v>
      </c>
      <c r="AO26" s="228">
        <v>305.72000000000003</v>
      </c>
      <c r="AP26" s="228">
        <v>0</v>
      </c>
      <c r="AQ26" s="230">
        <v>6586</v>
      </c>
      <c r="AR26" s="230">
        <v>12246</v>
      </c>
      <c r="AS26" s="230">
        <v>-5660</v>
      </c>
      <c r="AT26" s="229">
        <v>-0.4622</v>
      </c>
      <c r="AU26" s="230">
        <v>5900</v>
      </c>
      <c r="AV26" s="230">
        <v>10345</v>
      </c>
      <c r="AW26" s="230">
        <v>-4445</v>
      </c>
      <c r="AX26" s="229">
        <v>-0.42970000000000003</v>
      </c>
      <c r="AY26" s="228">
        <v>578</v>
      </c>
      <c r="AZ26" s="230">
        <v>1590</v>
      </c>
      <c r="BA26" s="230">
        <v>-1012</v>
      </c>
      <c r="BB26" s="229">
        <v>-0.63649999999999995</v>
      </c>
      <c r="BC26" s="228">
        <v>108</v>
      </c>
      <c r="BD26" s="228">
        <v>311</v>
      </c>
      <c r="BE26" s="228">
        <v>-203</v>
      </c>
      <c r="BF26" s="229">
        <v>-0.65269999999999995</v>
      </c>
      <c r="BG26" s="230">
        <v>43741</v>
      </c>
      <c r="BH26" s="230">
        <v>51869</v>
      </c>
      <c r="BI26" s="230">
        <v>-8128</v>
      </c>
      <c r="BJ26" s="229">
        <v>-0.15670000000000001</v>
      </c>
      <c r="BK26" s="230">
        <v>16012</v>
      </c>
      <c r="BL26" s="230">
        <v>25781</v>
      </c>
      <c r="BM26" s="230">
        <v>-9769</v>
      </c>
      <c r="BN26" s="229">
        <v>-0.37890000000000001</v>
      </c>
      <c r="BO26" s="230">
        <v>66339</v>
      </c>
      <c r="BP26" s="230">
        <v>89896</v>
      </c>
      <c r="BQ26" s="230">
        <v>-23557</v>
      </c>
      <c r="BR26" s="229">
        <v>-0.26200000000000001</v>
      </c>
      <c r="BS26" s="230">
        <v>18381582</v>
      </c>
      <c r="BT26" s="230">
        <v>23543372</v>
      </c>
      <c r="BU26" s="230">
        <v>-5161790</v>
      </c>
      <c r="BV26" s="229">
        <v>-0.21920000000000001</v>
      </c>
      <c r="BW26" s="230">
        <v>160203200</v>
      </c>
      <c r="BX26" s="230">
        <v>159860800</v>
      </c>
      <c r="BY26" s="230">
        <v>342400</v>
      </c>
      <c r="BZ26" s="229">
        <v>2.0999999999999999E-3</v>
      </c>
      <c r="CA26" s="230">
        <v>146667200</v>
      </c>
      <c r="CB26" s="230">
        <v>146670400</v>
      </c>
      <c r="CC26" s="230">
        <v>-3200</v>
      </c>
      <c r="CD26" s="229">
        <v>0</v>
      </c>
      <c r="CE26" s="230">
        <v>11976000</v>
      </c>
      <c r="CF26" s="230">
        <v>11700800</v>
      </c>
      <c r="CG26" s="230">
        <v>275200</v>
      </c>
      <c r="CH26" s="229">
        <v>2.35E-2</v>
      </c>
      <c r="CI26" s="230">
        <v>1560000</v>
      </c>
      <c r="CJ26" s="230">
        <v>1489600</v>
      </c>
      <c r="CK26" s="230">
        <v>70400</v>
      </c>
      <c r="CL26" s="229">
        <v>4.7300000000000002E-2</v>
      </c>
      <c r="CM26" s="230">
        <v>85006400</v>
      </c>
      <c r="CN26" s="230">
        <v>77982400</v>
      </c>
      <c r="CO26" s="230">
        <v>7024000</v>
      </c>
      <c r="CP26" s="229">
        <v>9.01E-2</v>
      </c>
      <c r="CQ26" s="230">
        <v>48224000</v>
      </c>
      <c r="CR26" s="230">
        <v>47676800</v>
      </c>
      <c r="CS26" s="230">
        <v>547200</v>
      </c>
      <c r="CT26" s="229">
        <v>1.15E-2</v>
      </c>
      <c r="CU26" s="230">
        <v>293433600</v>
      </c>
      <c r="CV26" s="230">
        <v>285520000</v>
      </c>
      <c r="CW26" s="230">
        <v>7913600</v>
      </c>
      <c r="CX26" s="229">
        <v>2.7699999999999999E-2</v>
      </c>
      <c r="CY26" s="228">
        <v>19.559999999999999</v>
      </c>
      <c r="CZ26" s="228">
        <v>19.940000000000001</v>
      </c>
      <c r="DA26" s="228">
        <v>-0.38</v>
      </c>
      <c r="DB26" s="228">
        <v>-0.38</v>
      </c>
      <c r="DC26" s="228">
        <v>24.54</v>
      </c>
      <c r="DD26" s="228">
        <v>24.6</v>
      </c>
      <c r="DE26" s="228">
        <v>-4.9800000000000004</v>
      </c>
      <c r="DF26" s="228">
        <v>-0.06</v>
      </c>
      <c r="DG26" s="228">
        <v>19.28</v>
      </c>
      <c r="DH26" s="228">
        <v>19.34</v>
      </c>
      <c r="DI26" s="228">
        <v>-0.06</v>
      </c>
      <c r="DJ26" s="228">
        <v>-0.06</v>
      </c>
      <c r="DK26" s="228">
        <v>20.350000000000001</v>
      </c>
      <c r="DL26" s="228">
        <v>21.15</v>
      </c>
      <c r="DM26" s="228">
        <v>-0.8</v>
      </c>
      <c r="DN26" s="228">
        <v>-0.8</v>
      </c>
      <c r="DO26" s="228">
        <v>0.56999999999999995</v>
      </c>
      <c r="DP26" s="228">
        <v>0.61</v>
      </c>
      <c r="DQ26" s="228">
        <v>-0.04</v>
      </c>
      <c r="DR26" s="229">
        <v>-6.5600000000000006E-2</v>
      </c>
      <c r="DS26" s="228">
        <v>300</v>
      </c>
      <c r="DT26" s="228">
        <v>300</v>
      </c>
      <c r="DU26" s="228">
        <v>0.37</v>
      </c>
      <c r="DV26" s="228">
        <v>0.5</v>
      </c>
      <c r="DW26" s="228">
        <v>-0.13</v>
      </c>
      <c r="DX26" s="229">
        <v>-0.26</v>
      </c>
      <c r="DY26" s="229">
        <v>8.4500000000000006E-2</v>
      </c>
      <c r="DZ26" s="230">
        <v>13190400</v>
      </c>
      <c r="EA26" s="229">
        <v>5.8999999999999999E-3</v>
      </c>
      <c r="EB26" s="229">
        <v>8.4500000000000006E-2</v>
      </c>
      <c r="EC26" s="228">
        <v>1.75</v>
      </c>
      <c r="ED26" s="229">
        <v>5.7999999999999996E-3</v>
      </c>
      <c r="EE26" s="230">
        <v>12101013</v>
      </c>
      <c r="EF26" s="230">
        <v>15114291</v>
      </c>
      <c r="EG26" s="229">
        <v>-0.19939999999999999</v>
      </c>
      <c r="EH26" s="229">
        <v>0.6583</v>
      </c>
      <c r="EI26" s="231">
        <v>220907.37</v>
      </c>
      <c r="EJ26" s="231">
        <v>76664.539999999994</v>
      </c>
      <c r="EK26" s="231">
        <v>32053.94</v>
      </c>
      <c r="EL26" s="231">
        <v>9304</v>
      </c>
      <c r="EM26" s="231">
        <v>329625.84999999998</v>
      </c>
      <c r="EN26" s="231">
        <v>443736.84</v>
      </c>
      <c r="EO26" s="231">
        <v>-114110.99</v>
      </c>
      <c r="EP26" s="229">
        <v>-0.25719999999999998</v>
      </c>
      <c r="EQ26" s="231">
        <v>267680</v>
      </c>
      <c r="ER26" s="231">
        <v>143443</v>
      </c>
      <c r="ES26" s="231">
        <v>486891</v>
      </c>
      <c r="ET26" s="231">
        <v>1317896781</v>
      </c>
      <c r="EU26" s="231">
        <v>898014</v>
      </c>
      <c r="EV26" s="231">
        <v>873413</v>
      </c>
      <c r="EW26" s="231">
        <v>24601</v>
      </c>
      <c r="EX26" s="229">
        <v>2.8199999999999999E-2</v>
      </c>
      <c r="EY26" s="229">
        <v>0.22270000000000001</v>
      </c>
    </row>
    <row r="27" spans="1:155" ht="17.25" thickBot="1" x14ac:dyDescent="0.3">
      <c r="A27" s="226">
        <v>46121</v>
      </c>
      <c r="B27" s="227" t="s">
        <v>175</v>
      </c>
      <c r="C27" s="227" t="s">
        <v>569</v>
      </c>
      <c r="D27" s="228">
        <v>239.74</v>
      </c>
      <c r="E27" s="228">
        <v>247.91</v>
      </c>
      <c r="F27" s="228">
        <v>-8.17</v>
      </c>
      <c r="G27" s="229">
        <v>-3.3000000000000002E-2</v>
      </c>
      <c r="H27" s="228">
        <v>238.84</v>
      </c>
      <c r="I27" s="228">
        <v>246.86</v>
      </c>
      <c r="J27" s="228">
        <v>-8.02</v>
      </c>
      <c r="K27" s="229">
        <v>-3.2500000000000001E-2</v>
      </c>
      <c r="L27" s="228">
        <v>239.74</v>
      </c>
      <c r="M27" s="228">
        <v>247.91</v>
      </c>
      <c r="N27" s="228">
        <v>-8.17</v>
      </c>
      <c r="O27" s="229">
        <v>-3.3000000000000002E-2</v>
      </c>
      <c r="P27" s="228">
        <v>241.3</v>
      </c>
      <c r="Q27" s="228">
        <v>249.22</v>
      </c>
      <c r="R27" s="228">
        <v>-7.92</v>
      </c>
      <c r="S27" s="229">
        <v>-3.1800000000000002E-2</v>
      </c>
      <c r="T27" s="228">
        <v>242.6</v>
      </c>
      <c r="U27" s="228">
        <v>250.73</v>
      </c>
      <c r="V27" s="228">
        <v>-8.1300000000000008</v>
      </c>
      <c r="W27" s="229">
        <v>-3.2399999999999998E-2</v>
      </c>
      <c r="X27" s="228">
        <v>0.9</v>
      </c>
      <c r="Y27" s="228">
        <v>1.05</v>
      </c>
      <c r="Z27" s="228">
        <v>-0.15</v>
      </c>
      <c r="AA27" s="229">
        <v>3.8E-3</v>
      </c>
      <c r="AB27" s="228">
        <v>0.9</v>
      </c>
      <c r="AC27" s="228">
        <v>1.05</v>
      </c>
      <c r="AD27" s="228">
        <v>-0.15</v>
      </c>
      <c r="AE27" s="229">
        <v>3.8E-3</v>
      </c>
      <c r="AF27" s="228">
        <v>2.46</v>
      </c>
      <c r="AG27" s="228">
        <v>2.36</v>
      </c>
      <c r="AH27" s="228">
        <v>0.1</v>
      </c>
      <c r="AI27" s="229">
        <v>1.03E-2</v>
      </c>
      <c r="AJ27" s="228">
        <v>3.76</v>
      </c>
      <c r="AK27" s="228">
        <v>3.87</v>
      </c>
      <c r="AL27" s="228">
        <v>-0.11</v>
      </c>
      <c r="AM27" s="229">
        <v>1.5699999999999999E-2</v>
      </c>
      <c r="AN27" s="228">
        <v>240.9</v>
      </c>
      <c r="AO27" s="228">
        <v>243.2</v>
      </c>
      <c r="AP27" s="228">
        <v>0</v>
      </c>
      <c r="AQ27" s="230">
        <v>7819</v>
      </c>
      <c r="AR27" s="230">
        <v>7995</v>
      </c>
      <c r="AS27" s="228">
        <v>-176</v>
      </c>
      <c r="AT27" s="229">
        <v>-2.1999999999999999E-2</v>
      </c>
      <c r="AU27" s="230">
        <v>6838</v>
      </c>
      <c r="AV27" s="230">
        <v>6446</v>
      </c>
      <c r="AW27" s="228">
        <v>392</v>
      </c>
      <c r="AX27" s="229">
        <v>6.08E-2</v>
      </c>
      <c r="AY27" s="228">
        <v>799</v>
      </c>
      <c r="AZ27" s="230">
        <v>1341</v>
      </c>
      <c r="BA27" s="228">
        <v>-542</v>
      </c>
      <c r="BB27" s="229">
        <v>-0.4042</v>
      </c>
      <c r="BC27" s="228">
        <v>182</v>
      </c>
      <c r="BD27" s="228">
        <v>208</v>
      </c>
      <c r="BE27" s="228">
        <v>-26</v>
      </c>
      <c r="BF27" s="229">
        <v>-0.125</v>
      </c>
      <c r="BG27" s="230">
        <v>15673</v>
      </c>
      <c r="BH27" s="230">
        <v>20569</v>
      </c>
      <c r="BI27" s="230">
        <v>-4896</v>
      </c>
      <c r="BJ27" s="229">
        <v>-0.23799999999999999</v>
      </c>
      <c r="BK27" s="230">
        <v>8747</v>
      </c>
      <c r="BL27" s="230">
        <v>10028</v>
      </c>
      <c r="BM27" s="230">
        <v>-1281</v>
      </c>
      <c r="BN27" s="229">
        <v>-0.12770000000000001</v>
      </c>
      <c r="BO27" s="230">
        <v>32239</v>
      </c>
      <c r="BP27" s="230">
        <v>38592</v>
      </c>
      <c r="BQ27" s="230">
        <v>-6353</v>
      </c>
      <c r="BR27" s="229">
        <v>-0.1646</v>
      </c>
      <c r="BS27" s="230">
        <v>22489343</v>
      </c>
      <c r="BT27" s="230">
        <v>20846492</v>
      </c>
      <c r="BU27" s="230">
        <v>1642851</v>
      </c>
      <c r="BV27" s="229">
        <v>7.8799999999999995E-2</v>
      </c>
      <c r="BW27" s="230">
        <v>152973250</v>
      </c>
      <c r="BX27" s="230">
        <v>152275300</v>
      </c>
      <c r="BY27" s="230">
        <v>697950</v>
      </c>
      <c r="BZ27" s="229">
        <v>4.5999999999999999E-3</v>
      </c>
      <c r="CA27" s="230">
        <v>132716250</v>
      </c>
      <c r="CB27" s="230">
        <v>133085200</v>
      </c>
      <c r="CC27" s="230">
        <v>-368950</v>
      </c>
      <c r="CD27" s="229">
        <v>-2.8E-3</v>
      </c>
      <c r="CE27" s="230">
        <v>18999750</v>
      </c>
      <c r="CF27" s="230">
        <v>18193700</v>
      </c>
      <c r="CG27" s="230">
        <v>806050</v>
      </c>
      <c r="CH27" s="229">
        <v>4.4299999999999999E-2</v>
      </c>
      <c r="CI27" s="230">
        <v>1257250</v>
      </c>
      <c r="CJ27" s="230">
        <v>996400</v>
      </c>
      <c r="CK27" s="230">
        <v>260850</v>
      </c>
      <c r="CL27" s="229">
        <v>0.26179999999999998</v>
      </c>
      <c r="CM27" s="230">
        <v>40546900</v>
      </c>
      <c r="CN27" s="230">
        <v>35090200</v>
      </c>
      <c r="CO27" s="230">
        <v>5456700</v>
      </c>
      <c r="CP27" s="229">
        <v>0.1555</v>
      </c>
      <c r="CQ27" s="230">
        <v>33722500</v>
      </c>
      <c r="CR27" s="230">
        <v>30505350</v>
      </c>
      <c r="CS27" s="230">
        <v>3217150</v>
      </c>
      <c r="CT27" s="229">
        <v>0.1055</v>
      </c>
      <c r="CU27" s="230">
        <v>227242650</v>
      </c>
      <c r="CV27" s="230">
        <v>217870850</v>
      </c>
      <c r="CW27" s="230">
        <v>9371800</v>
      </c>
      <c r="CX27" s="229">
        <v>4.2999999999999997E-2</v>
      </c>
      <c r="CY27" s="228">
        <v>37.9</v>
      </c>
      <c r="CZ27" s="228">
        <v>36.32</v>
      </c>
      <c r="DA27" s="228">
        <v>1.58</v>
      </c>
      <c r="DB27" s="228">
        <v>1.58</v>
      </c>
      <c r="DC27" s="228">
        <v>37.46</v>
      </c>
      <c r="DD27" s="228">
        <v>37.28</v>
      </c>
      <c r="DE27" s="228">
        <v>0.44</v>
      </c>
      <c r="DF27" s="228">
        <v>0.18</v>
      </c>
      <c r="DG27" s="228">
        <v>37.409999999999997</v>
      </c>
      <c r="DH27" s="228">
        <v>35.369999999999997</v>
      </c>
      <c r="DI27" s="228">
        <v>2.04</v>
      </c>
      <c r="DJ27" s="228">
        <v>2.04</v>
      </c>
      <c r="DK27" s="228">
        <v>38.770000000000003</v>
      </c>
      <c r="DL27" s="228">
        <v>38.270000000000003</v>
      </c>
      <c r="DM27" s="228">
        <v>0.5</v>
      </c>
      <c r="DN27" s="228">
        <v>0.5</v>
      </c>
      <c r="DO27" s="228">
        <v>0.83</v>
      </c>
      <c r="DP27" s="228">
        <v>0.87</v>
      </c>
      <c r="DQ27" s="228">
        <v>-0.04</v>
      </c>
      <c r="DR27" s="229">
        <v>-4.5999999999999999E-2</v>
      </c>
      <c r="DS27" s="228">
        <v>250</v>
      </c>
      <c r="DT27" s="228">
        <v>240</v>
      </c>
      <c r="DU27" s="228">
        <v>0.56000000000000005</v>
      </c>
      <c r="DV27" s="228">
        <v>0.49</v>
      </c>
      <c r="DW27" s="228">
        <v>7.0000000000000007E-2</v>
      </c>
      <c r="DX27" s="229">
        <v>0.1429</v>
      </c>
      <c r="DY27" s="229">
        <v>0.13239999999999999</v>
      </c>
      <c r="DZ27" s="230">
        <v>19190100</v>
      </c>
      <c r="EA27" s="229">
        <v>6.4999999999999997E-3</v>
      </c>
      <c r="EB27" s="229">
        <v>0.13239999999999999</v>
      </c>
      <c r="EC27" s="228">
        <v>2.2999999999999998</v>
      </c>
      <c r="ED27" s="229">
        <v>9.4999999999999998E-3</v>
      </c>
      <c r="EE27" s="230">
        <v>11240686</v>
      </c>
      <c r="EF27" s="230">
        <v>8661588</v>
      </c>
      <c r="EG27" s="229">
        <v>0.29780000000000001</v>
      </c>
      <c r="EH27" s="229">
        <v>0.49980000000000002</v>
      </c>
      <c r="EI27" s="231">
        <v>94827.48</v>
      </c>
      <c r="EJ27" s="231">
        <v>49100.95</v>
      </c>
      <c r="EK27" s="231">
        <v>44323.56</v>
      </c>
      <c r="EL27" s="231">
        <v>6330</v>
      </c>
      <c r="EM27" s="231">
        <v>188251.99</v>
      </c>
      <c r="EN27" s="231">
        <v>228953.73</v>
      </c>
      <c r="EO27" s="231">
        <v>-40701.74</v>
      </c>
      <c r="EP27" s="229">
        <v>-0.17780000000000001</v>
      </c>
      <c r="EQ27" s="231">
        <v>103773</v>
      </c>
      <c r="ER27" s="231">
        <v>82037</v>
      </c>
      <c r="ES27" s="231">
        <v>367070</v>
      </c>
      <c r="ET27" s="231">
        <v>490240515</v>
      </c>
      <c r="EU27" s="231">
        <v>552881</v>
      </c>
      <c r="EV27" s="231">
        <v>542190</v>
      </c>
      <c r="EW27" s="231">
        <v>10691</v>
      </c>
      <c r="EX27" s="229">
        <v>1.9699999999999999E-2</v>
      </c>
      <c r="EY27" s="229">
        <v>0.46350000000000002</v>
      </c>
    </row>
    <row r="28" spans="1:155" ht="17.25" thickBot="1" x14ac:dyDescent="0.3">
      <c r="A28" s="226">
        <v>46121</v>
      </c>
      <c r="B28" s="227" t="s">
        <v>227</v>
      </c>
      <c r="C28" s="227" t="s">
        <v>244</v>
      </c>
      <c r="D28" s="231">
        <v>1213.9000000000001</v>
      </c>
      <c r="E28" s="231">
        <v>1196.9000000000001</v>
      </c>
      <c r="F28" s="228">
        <v>17</v>
      </c>
      <c r="G28" s="229">
        <v>1.4200000000000001E-2</v>
      </c>
      <c r="H28" s="231">
        <v>1209.7</v>
      </c>
      <c r="I28" s="231">
        <v>1194.3</v>
      </c>
      <c r="J28" s="228">
        <v>15.4</v>
      </c>
      <c r="K28" s="229">
        <v>1.29E-2</v>
      </c>
      <c r="L28" s="231">
        <v>1213.9000000000001</v>
      </c>
      <c r="M28" s="231">
        <v>1196.9000000000001</v>
      </c>
      <c r="N28" s="228">
        <v>17</v>
      </c>
      <c r="O28" s="229">
        <v>1.4200000000000001E-2</v>
      </c>
      <c r="P28" s="231">
        <v>1220.5999999999999</v>
      </c>
      <c r="Q28" s="231">
        <v>1203.9000000000001</v>
      </c>
      <c r="R28" s="228">
        <v>16.7</v>
      </c>
      <c r="S28" s="229">
        <v>1.3899999999999999E-2</v>
      </c>
      <c r="T28" s="231">
        <v>1226.4000000000001</v>
      </c>
      <c r="U28" s="231">
        <v>1211.3</v>
      </c>
      <c r="V28" s="228">
        <v>15.1</v>
      </c>
      <c r="W28" s="229">
        <v>1.2500000000000001E-2</v>
      </c>
      <c r="X28" s="228">
        <v>4.2</v>
      </c>
      <c r="Y28" s="228">
        <v>2.6</v>
      </c>
      <c r="Z28" s="228">
        <v>1.6</v>
      </c>
      <c r="AA28" s="229">
        <v>3.5000000000000001E-3</v>
      </c>
      <c r="AB28" s="228">
        <v>4.2</v>
      </c>
      <c r="AC28" s="228">
        <v>2.6</v>
      </c>
      <c r="AD28" s="228">
        <v>1.6</v>
      </c>
      <c r="AE28" s="229">
        <v>3.5000000000000001E-3</v>
      </c>
      <c r="AF28" s="228">
        <v>10.9</v>
      </c>
      <c r="AG28" s="228">
        <v>9.6</v>
      </c>
      <c r="AH28" s="228">
        <v>1.3</v>
      </c>
      <c r="AI28" s="229">
        <v>8.9999999999999993E-3</v>
      </c>
      <c r="AJ28" s="228">
        <v>16.7</v>
      </c>
      <c r="AK28" s="228">
        <v>17</v>
      </c>
      <c r="AL28" s="228">
        <v>-0.3</v>
      </c>
      <c r="AM28" s="229">
        <v>1.38E-2</v>
      </c>
      <c r="AN28" s="231">
        <v>1211.79</v>
      </c>
      <c r="AO28" s="231">
        <v>1218.3</v>
      </c>
      <c r="AP28" s="228">
        <v>0</v>
      </c>
      <c r="AQ28" s="230">
        <v>5274</v>
      </c>
      <c r="AR28" s="230">
        <v>5752</v>
      </c>
      <c r="AS28" s="228">
        <v>-478</v>
      </c>
      <c r="AT28" s="229">
        <v>-8.3099999999999993E-2</v>
      </c>
      <c r="AU28" s="230">
        <v>4896</v>
      </c>
      <c r="AV28" s="230">
        <v>5402</v>
      </c>
      <c r="AW28" s="228">
        <v>-506</v>
      </c>
      <c r="AX28" s="229">
        <v>-9.3700000000000006E-2</v>
      </c>
      <c r="AY28" s="228">
        <v>364</v>
      </c>
      <c r="AZ28" s="228">
        <v>327</v>
      </c>
      <c r="BA28" s="228">
        <v>37</v>
      </c>
      <c r="BB28" s="229">
        <v>0.11310000000000001</v>
      </c>
      <c r="BC28" s="228">
        <v>14</v>
      </c>
      <c r="BD28" s="228">
        <v>23</v>
      </c>
      <c r="BE28" s="228">
        <v>-9</v>
      </c>
      <c r="BF28" s="229">
        <v>-0.39129999999999998</v>
      </c>
      <c r="BG28" s="230">
        <v>10342</v>
      </c>
      <c r="BH28" s="230">
        <v>9730</v>
      </c>
      <c r="BI28" s="228">
        <v>612</v>
      </c>
      <c r="BJ28" s="229">
        <v>6.2899999999999998E-2</v>
      </c>
      <c r="BK28" s="230">
        <v>6066</v>
      </c>
      <c r="BL28" s="230">
        <v>8736</v>
      </c>
      <c r="BM28" s="230">
        <v>-2670</v>
      </c>
      <c r="BN28" s="229">
        <v>-0.30559999999999998</v>
      </c>
      <c r="BO28" s="230">
        <v>21682</v>
      </c>
      <c r="BP28" s="230">
        <v>24218</v>
      </c>
      <c r="BQ28" s="230">
        <v>-2536</v>
      </c>
      <c r="BR28" s="229">
        <v>-0.1047</v>
      </c>
      <c r="BS28" s="230">
        <v>2738895</v>
      </c>
      <c r="BT28" s="230">
        <v>2463396</v>
      </c>
      <c r="BU28" s="230">
        <v>275499</v>
      </c>
      <c r="BV28" s="229">
        <v>0.1118</v>
      </c>
      <c r="BW28" s="230">
        <v>50805225</v>
      </c>
      <c r="BX28" s="230">
        <v>50983425</v>
      </c>
      <c r="BY28" s="230">
        <v>-178200</v>
      </c>
      <c r="BZ28" s="229">
        <v>-3.5000000000000001E-3</v>
      </c>
      <c r="CA28" s="230">
        <v>46454175</v>
      </c>
      <c r="CB28" s="230">
        <v>46702575</v>
      </c>
      <c r="CC28" s="230">
        <v>-248400</v>
      </c>
      <c r="CD28" s="229">
        <v>-5.3E-3</v>
      </c>
      <c r="CE28" s="230">
        <v>4259925</v>
      </c>
      <c r="CF28" s="230">
        <v>4193100</v>
      </c>
      <c r="CG28" s="230">
        <v>66825</v>
      </c>
      <c r="CH28" s="229">
        <v>1.5900000000000001E-2</v>
      </c>
      <c r="CI28" s="230">
        <v>91125</v>
      </c>
      <c r="CJ28" s="230">
        <v>87750</v>
      </c>
      <c r="CK28" s="230">
        <v>3375</v>
      </c>
      <c r="CL28" s="229">
        <v>3.85E-2</v>
      </c>
      <c r="CM28" s="230">
        <v>6817500</v>
      </c>
      <c r="CN28" s="230">
        <v>6752700</v>
      </c>
      <c r="CO28" s="230">
        <v>64800</v>
      </c>
      <c r="CP28" s="229">
        <v>9.5999999999999992E-3</v>
      </c>
      <c r="CQ28" s="230">
        <v>5674050</v>
      </c>
      <c r="CR28" s="230">
        <v>5658525</v>
      </c>
      <c r="CS28" s="230">
        <v>15525</v>
      </c>
      <c r="CT28" s="229">
        <v>2.7000000000000001E-3</v>
      </c>
      <c r="CU28" s="230">
        <v>63296775</v>
      </c>
      <c r="CV28" s="230">
        <v>63394650</v>
      </c>
      <c r="CW28" s="230">
        <v>-97875</v>
      </c>
      <c r="CX28" s="229">
        <v>-1.5E-3</v>
      </c>
      <c r="CY28" s="228">
        <v>31.05</v>
      </c>
      <c r="CZ28" s="228">
        <v>33.630000000000003</v>
      </c>
      <c r="DA28" s="228">
        <v>-2.58</v>
      </c>
      <c r="DB28" s="228">
        <v>-2.58</v>
      </c>
      <c r="DC28" s="228">
        <v>32.28</v>
      </c>
      <c r="DD28" s="228">
        <v>32.299999999999997</v>
      </c>
      <c r="DE28" s="228">
        <v>-1.23</v>
      </c>
      <c r="DF28" s="228">
        <v>-0.02</v>
      </c>
      <c r="DG28" s="228">
        <v>29.65</v>
      </c>
      <c r="DH28" s="228">
        <v>31.77</v>
      </c>
      <c r="DI28" s="228">
        <v>-2.12</v>
      </c>
      <c r="DJ28" s="228">
        <v>-2.12</v>
      </c>
      <c r="DK28" s="228">
        <v>33.43</v>
      </c>
      <c r="DL28" s="228">
        <v>35.700000000000003</v>
      </c>
      <c r="DM28" s="228">
        <v>-2.27</v>
      </c>
      <c r="DN28" s="228">
        <v>-2.27</v>
      </c>
      <c r="DO28" s="228">
        <v>0.83</v>
      </c>
      <c r="DP28" s="228">
        <v>0.84</v>
      </c>
      <c r="DQ28" s="228">
        <v>-0.01</v>
      </c>
      <c r="DR28" s="229">
        <v>-1.1900000000000001E-2</v>
      </c>
      <c r="DS28" s="231">
        <v>1160</v>
      </c>
      <c r="DT28" s="231">
        <v>1100</v>
      </c>
      <c r="DU28" s="228">
        <v>0.59</v>
      </c>
      <c r="DV28" s="228">
        <v>0.9</v>
      </c>
      <c r="DW28" s="228">
        <v>-0.31</v>
      </c>
      <c r="DX28" s="229">
        <v>-0.34439999999999998</v>
      </c>
      <c r="DY28" s="229">
        <v>8.5599999999999996E-2</v>
      </c>
      <c r="DZ28" s="230">
        <v>4280850</v>
      </c>
      <c r="EA28" s="229">
        <v>5.4999999999999997E-3</v>
      </c>
      <c r="EB28" s="229">
        <v>8.5599999999999996E-2</v>
      </c>
      <c r="EC28" s="228">
        <v>6.51</v>
      </c>
      <c r="ED28" s="229">
        <v>5.4000000000000003E-3</v>
      </c>
      <c r="EE28" s="230">
        <v>1259851</v>
      </c>
      <c r="EF28" s="230">
        <v>1155535</v>
      </c>
      <c r="EG28" s="229">
        <v>9.0300000000000005E-2</v>
      </c>
      <c r="EH28" s="229">
        <v>0.46</v>
      </c>
      <c r="EI28" s="231">
        <v>88133.17</v>
      </c>
      <c r="EJ28" s="231">
        <v>47889.120000000003</v>
      </c>
      <c r="EK28" s="231">
        <v>43156.47</v>
      </c>
      <c r="EL28" s="231">
        <v>5534</v>
      </c>
      <c r="EM28" s="231">
        <v>179178.76</v>
      </c>
      <c r="EN28" s="231">
        <v>195511.52</v>
      </c>
      <c r="EO28" s="231">
        <v>-16332.76</v>
      </c>
      <c r="EP28" s="229">
        <v>-8.3500000000000005E-2</v>
      </c>
      <c r="EQ28" s="231">
        <v>82468</v>
      </c>
      <c r="ER28" s="231">
        <v>63189</v>
      </c>
      <c r="ES28" s="231">
        <v>617021</v>
      </c>
      <c r="ET28" s="231">
        <v>133242960</v>
      </c>
      <c r="EU28" s="231">
        <v>762679</v>
      </c>
      <c r="EV28" s="231">
        <v>754264</v>
      </c>
      <c r="EW28" s="231">
        <v>8415</v>
      </c>
      <c r="EX28" s="229">
        <v>1.12E-2</v>
      </c>
      <c r="EY28" s="229">
        <v>0.47499999999999998</v>
      </c>
    </row>
    <row r="29" spans="1:155" ht="17.25" thickBot="1" x14ac:dyDescent="0.3">
      <c r="A29" s="226">
        <v>46121</v>
      </c>
      <c r="B29" s="227" t="s">
        <v>172</v>
      </c>
      <c r="C29" s="227" t="s">
        <v>246</v>
      </c>
      <c r="D29" s="228">
        <v>373.05</v>
      </c>
      <c r="E29" s="228">
        <v>380.95</v>
      </c>
      <c r="F29" s="228">
        <v>-7.9</v>
      </c>
      <c r="G29" s="229">
        <v>-2.07E-2</v>
      </c>
      <c r="H29" s="228">
        <v>371.9</v>
      </c>
      <c r="I29" s="228">
        <v>380.15</v>
      </c>
      <c r="J29" s="228">
        <v>-8.25</v>
      </c>
      <c r="K29" s="229">
        <v>-2.1700000000000001E-2</v>
      </c>
      <c r="L29" s="228">
        <v>373.05</v>
      </c>
      <c r="M29" s="228">
        <v>380.95</v>
      </c>
      <c r="N29" s="228">
        <v>-7.9</v>
      </c>
      <c r="O29" s="229">
        <v>-2.07E-2</v>
      </c>
      <c r="P29" s="228">
        <v>375.25</v>
      </c>
      <c r="Q29" s="228">
        <v>383.4</v>
      </c>
      <c r="R29" s="228">
        <v>-8.15</v>
      </c>
      <c r="S29" s="229">
        <v>-2.1299999999999999E-2</v>
      </c>
      <c r="T29" s="228">
        <v>378.25</v>
      </c>
      <c r="U29" s="228">
        <v>384.95</v>
      </c>
      <c r="V29" s="228">
        <v>-6.7</v>
      </c>
      <c r="W29" s="229">
        <v>-1.7399999999999999E-2</v>
      </c>
      <c r="X29" s="228">
        <v>1.1499999999999999</v>
      </c>
      <c r="Y29" s="228">
        <v>0.8</v>
      </c>
      <c r="Z29" s="228">
        <v>0.35</v>
      </c>
      <c r="AA29" s="229">
        <v>3.0999999999999999E-3</v>
      </c>
      <c r="AB29" s="228">
        <v>1.1499999999999999</v>
      </c>
      <c r="AC29" s="228">
        <v>0.8</v>
      </c>
      <c r="AD29" s="228">
        <v>0.35</v>
      </c>
      <c r="AE29" s="229">
        <v>3.0999999999999999E-3</v>
      </c>
      <c r="AF29" s="228">
        <v>3.35</v>
      </c>
      <c r="AG29" s="228">
        <v>3.25</v>
      </c>
      <c r="AH29" s="228">
        <v>0.1</v>
      </c>
      <c r="AI29" s="229">
        <v>8.9999999999999993E-3</v>
      </c>
      <c r="AJ29" s="228">
        <v>6.35</v>
      </c>
      <c r="AK29" s="228">
        <v>4.8</v>
      </c>
      <c r="AL29" s="228">
        <v>1.55</v>
      </c>
      <c r="AM29" s="229">
        <v>1.7100000000000001E-2</v>
      </c>
      <c r="AN29" s="228">
        <v>374.03</v>
      </c>
      <c r="AO29" s="228">
        <v>376.13</v>
      </c>
      <c r="AP29" s="228">
        <v>0</v>
      </c>
      <c r="AQ29" s="230">
        <v>6873</v>
      </c>
      <c r="AR29" s="230">
        <v>15168</v>
      </c>
      <c r="AS29" s="230">
        <v>-8295</v>
      </c>
      <c r="AT29" s="229">
        <v>-0.54690000000000005</v>
      </c>
      <c r="AU29" s="230">
        <v>6220</v>
      </c>
      <c r="AV29" s="230">
        <v>14424</v>
      </c>
      <c r="AW29" s="230">
        <v>-8204</v>
      </c>
      <c r="AX29" s="229">
        <v>-0.56879999999999997</v>
      </c>
      <c r="AY29" s="228">
        <v>590</v>
      </c>
      <c r="AZ29" s="228">
        <v>657</v>
      </c>
      <c r="BA29" s="228">
        <v>-67</v>
      </c>
      <c r="BB29" s="229">
        <v>-0.10199999999999999</v>
      </c>
      <c r="BC29" s="228">
        <v>63</v>
      </c>
      <c r="BD29" s="228">
        <v>87</v>
      </c>
      <c r="BE29" s="228">
        <v>-24</v>
      </c>
      <c r="BF29" s="229">
        <v>-0.27589999999999998</v>
      </c>
      <c r="BG29" s="230">
        <v>10348</v>
      </c>
      <c r="BH29" s="230">
        <v>18769</v>
      </c>
      <c r="BI29" s="230">
        <v>-8421</v>
      </c>
      <c r="BJ29" s="229">
        <v>-0.44869999999999999</v>
      </c>
      <c r="BK29" s="230">
        <v>7096</v>
      </c>
      <c r="BL29" s="230">
        <v>13011</v>
      </c>
      <c r="BM29" s="230">
        <v>-5915</v>
      </c>
      <c r="BN29" s="229">
        <v>-0.4546</v>
      </c>
      <c r="BO29" s="230">
        <v>24317</v>
      </c>
      <c r="BP29" s="230">
        <v>46948</v>
      </c>
      <c r="BQ29" s="230">
        <v>-22631</v>
      </c>
      <c r="BR29" s="229">
        <v>-0.48199999999999998</v>
      </c>
      <c r="BS29" s="230">
        <v>14823378</v>
      </c>
      <c r="BT29" s="230">
        <v>32664654</v>
      </c>
      <c r="BU29" s="230">
        <v>-17841276</v>
      </c>
      <c r="BV29" s="229">
        <v>-0.54620000000000002</v>
      </c>
      <c r="BW29" s="230">
        <v>216218000</v>
      </c>
      <c r="BX29" s="230">
        <v>216078000</v>
      </c>
      <c r="BY29" s="230">
        <v>140000</v>
      </c>
      <c r="BZ29" s="229">
        <v>5.9999999999999995E-4</v>
      </c>
      <c r="CA29" s="230">
        <v>190568000</v>
      </c>
      <c r="CB29" s="230">
        <v>191244000</v>
      </c>
      <c r="CC29" s="230">
        <v>-676000</v>
      </c>
      <c r="CD29" s="229">
        <v>-3.5000000000000001E-3</v>
      </c>
      <c r="CE29" s="230">
        <v>24484000</v>
      </c>
      <c r="CF29" s="230">
        <v>23772000</v>
      </c>
      <c r="CG29" s="230">
        <v>712000</v>
      </c>
      <c r="CH29" s="229">
        <v>0.03</v>
      </c>
      <c r="CI29" s="230">
        <v>1166000</v>
      </c>
      <c r="CJ29" s="230">
        <v>1062000</v>
      </c>
      <c r="CK29" s="230">
        <v>104000</v>
      </c>
      <c r="CL29" s="229">
        <v>9.7900000000000001E-2</v>
      </c>
      <c r="CM29" s="230">
        <v>23628000</v>
      </c>
      <c r="CN29" s="230">
        <v>21854000</v>
      </c>
      <c r="CO29" s="230">
        <v>1774000</v>
      </c>
      <c r="CP29" s="229">
        <v>8.1199999999999994E-2</v>
      </c>
      <c r="CQ29" s="230">
        <v>24884000</v>
      </c>
      <c r="CR29" s="230">
        <v>25652000</v>
      </c>
      <c r="CS29" s="230">
        <v>-768000</v>
      </c>
      <c r="CT29" s="229">
        <v>-2.9899999999999999E-2</v>
      </c>
      <c r="CU29" s="230">
        <v>264730000</v>
      </c>
      <c r="CV29" s="230">
        <v>263584000</v>
      </c>
      <c r="CW29" s="230">
        <v>1146000</v>
      </c>
      <c r="CX29" s="229">
        <v>4.3E-3</v>
      </c>
      <c r="CY29" s="228">
        <v>28.47</v>
      </c>
      <c r="CZ29" s="228">
        <v>28.07</v>
      </c>
      <c r="DA29" s="228">
        <v>0.4</v>
      </c>
      <c r="DB29" s="228">
        <v>0.4</v>
      </c>
      <c r="DC29" s="228">
        <v>27.33</v>
      </c>
      <c r="DD29" s="228">
        <v>27.24</v>
      </c>
      <c r="DE29" s="228">
        <v>1.1399999999999999</v>
      </c>
      <c r="DF29" s="228">
        <v>0.09</v>
      </c>
      <c r="DG29" s="228">
        <v>27.79</v>
      </c>
      <c r="DH29" s="228">
        <v>26.6</v>
      </c>
      <c r="DI29" s="228">
        <v>1.19</v>
      </c>
      <c r="DJ29" s="228">
        <v>1.19</v>
      </c>
      <c r="DK29" s="228">
        <v>29.46</v>
      </c>
      <c r="DL29" s="228">
        <v>30.2</v>
      </c>
      <c r="DM29" s="228">
        <v>-0.74</v>
      </c>
      <c r="DN29" s="228">
        <v>-0.74</v>
      </c>
      <c r="DO29" s="228">
        <v>1.05</v>
      </c>
      <c r="DP29" s="228">
        <v>1.17</v>
      </c>
      <c r="DQ29" s="228">
        <v>-0.12</v>
      </c>
      <c r="DR29" s="229">
        <v>-0.1026</v>
      </c>
      <c r="DS29" s="228">
        <v>370</v>
      </c>
      <c r="DT29" s="228">
        <v>335</v>
      </c>
      <c r="DU29" s="228">
        <v>0.69</v>
      </c>
      <c r="DV29" s="228">
        <v>0.69</v>
      </c>
      <c r="DW29" s="228">
        <v>0</v>
      </c>
      <c r="DX29" s="229">
        <v>0</v>
      </c>
      <c r="DY29" s="229">
        <v>0.1186</v>
      </c>
      <c r="DZ29" s="230">
        <v>24834000</v>
      </c>
      <c r="EA29" s="229">
        <v>5.8999999999999999E-3</v>
      </c>
      <c r="EB29" s="229">
        <v>0.1186</v>
      </c>
      <c r="EC29" s="228">
        <v>2.1</v>
      </c>
      <c r="ED29" s="229">
        <v>5.5999999999999999E-3</v>
      </c>
      <c r="EE29" s="230">
        <v>7910271</v>
      </c>
      <c r="EF29" s="230">
        <v>22407759</v>
      </c>
      <c r="EG29" s="229">
        <v>-0.64700000000000002</v>
      </c>
      <c r="EH29" s="229">
        <v>0.53359999999999996</v>
      </c>
      <c r="EI29" s="231">
        <v>81096.02</v>
      </c>
      <c r="EJ29" s="231">
        <v>52814.22</v>
      </c>
      <c r="EK29" s="231">
        <v>51443.99</v>
      </c>
      <c r="EL29" s="231">
        <v>11987</v>
      </c>
      <c r="EM29" s="231">
        <v>185354.23</v>
      </c>
      <c r="EN29" s="231">
        <v>356839.39</v>
      </c>
      <c r="EO29" s="231">
        <v>-171485.16</v>
      </c>
      <c r="EP29" s="229">
        <v>-0.48060000000000003</v>
      </c>
      <c r="EQ29" s="231">
        <v>90111</v>
      </c>
      <c r="ER29" s="231">
        <v>88172</v>
      </c>
      <c r="ES29" s="231">
        <v>807201</v>
      </c>
      <c r="ET29" s="231">
        <v>882793124</v>
      </c>
      <c r="EU29" s="231">
        <v>985484</v>
      </c>
      <c r="EV29" s="231">
        <v>997973</v>
      </c>
      <c r="EW29" s="231">
        <v>-12489</v>
      </c>
      <c r="EX29" s="229">
        <v>-1.2500000000000001E-2</v>
      </c>
      <c r="EY29" s="229">
        <v>0.2999</v>
      </c>
    </row>
    <row r="30" spans="1:155" ht="17.25" thickBot="1" x14ac:dyDescent="0.3">
      <c r="A30" s="226">
        <v>46121</v>
      </c>
      <c r="B30" s="227" t="s">
        <v>184</v>
      </c>
      <c r="C30" s="227" t="s">
        <v>249</v>
      </c>
      <c r="D30" s="231">
        <v>3907.2</v>
      </c>
      <c r="E30" s="231">
        <v>4013.2</v>
      </c>
      <c r="F30" s="228">
        <v>-106</v>
      </c>
      <c r="G30" s="229">
        <v>-2.64E-2</v>
      </c>
      <c r="H30" s="231">
        <v>3896.2</v>
      </c>
      <c r="I30" s="231">
        <v>4005.9</v>
      </c>
      <c r="J30" s="228">
        <v>-109.7</v>
      </c>
      <c r="K30" s="229">
        <v>-2.7400000000000001E-2</v>
      </c>
      <c r="L30" s="231">
        <v>3907.2</v>
      </c>
      <c r="M30" s="231">
        <v>4013.2</v>
      </c>
      <c r="N30" s="228">
        <v>-106</v>
      </c>
      <c r="O30" s="229">
        <v>-2.64E-2</v>
      </c>
      <c r="P30" s="231">
        <v>3932.2</v>
      </c>
      <c r="Q30" s="231">
        <v>4038.3</v>
      </c>
      <c r="R30" s="228">
        <v>-106.1</v>
      </c>
      <c r="S30" s="229">
        <v>-2.63E-2</v>
      </c>
      <c r="T30" s="231">
        <v>3927.8</v>
      </c>
      <c r="U30" s="231">
        <v>4037.6</v>
      </c>
      <c r="V30" s="228">
        <v>-109.8</v>
      </c>
      <c r="W30" s="229">
        <v>-2.7199999999999998E-2</v>
      </c>
      <c r="X30" s="228">
        <v>11</v>
      </c>
      <c r="Y30" s="228">
        <v>7.3</v>
      </c>
      <c r="Z30" s="228">
        <v>3.7</v>
      </c>
      <c r="AA30" s="229">
        <v>2.8E-3</v>
      </c>
      <c r="AB30" s="228">
        <v>11</v>
      </c>
      <c r="AC30" s="228">
        <v>7.3</v>
      </c>
      <c r="AD30" s="228">
        <v>3.7</v>
      </c>
      <c r="AE30" s="229">
        <v>2.8E-3</v>
      </c>
      <c r="AF30" s="228">
        <v>36</v>
      </c>
      <c r="AG30" s="228">
        <v>32.4</v>
      </c>
      <c r="AH30" s="228">
        <v>3.6</v>
      </c>
      <c r="AI30" s="229">
        <v>9.1999999999999998E-3</v>
      </c>
      <c r="AJ30" s="228">
        <v>31.6</v>
      </c>
      <c r="AK30" s="228">
        <v>31.7</v>
      </c>
      <c r="AL30" s="228">
        <v>-0.1</v>
      </c>
      <c r="AM30" s="229">
        <v>8.0999999999999996E-3</v>
      </c>
      <c r="AN30" s="231">
        <v>3929.98</v>
      </c>
      <c r="AO30" s="231">
        <v>3954.62</v>
      </c>
      <c r="AP30" s="228">
        <v>0</v>
      </c>
      <c r="AQ30" s="230">
        <v>17926</v>
      </c>
      <c r="AR30" s="230">
        <v>35022</v>
      </c>
      <c r="AS30" s="230">
        <v>-17096</v>
      </c>
      <c r="AT30" s="229">
        <v>-0.48820000000000002</v>
      </c>
      <c r="AU30" s="230">
        <v>16118</v>
      </c>
      <c r="AV30" s="230">
        <v>32595</v>
      </c>
      <c r="AW30" s="230">
        <v>-16477</v>
      </c>
      <c r="AX30" s="229">
        <v>-0.50549999999999995</v>
      </c>
      <c r="AY30" s="230">
        <v>1372</v>
      </c>
      <c r="AZ30" s="230">
        <v>2008</v>
      </c>
      <c r="BA30" s="228">
        <v>-636</v>
      </c>
      <c r="BB30" s="229">
        <v>-0.31669999999999998</v>
      </c>
      <c r="BC30" s="228">
        <v>436</v>
      </c>
      <c r="BD30" s="228">
        <v>419</v>
      </c>
      <c r="BE30" s="228">
        <v>17</v>
      </c>
      <c r="BF30" s="229">
        <v>4.0599999999999997E-2</v>
      </c>
      <c r="BG30" s="230">
        <v>66997</v>
      </c>
      <c r="BH30" s="230">
        <v>123846</v>
      </c>
      <c r="BI30" s="230">
        <v>-56849</v>
      </c>
      <c r="BJ30" s="229">
        <v>-0.45900000000000002</v>
      </c>
      <c r="BK30" s="230">
        <v>32152</v>
      </c>
      <c r="BL30" s="230">
        <v>70799</v>
      </c>
      <c r="BM30" s="230">
        <v>-38647</v>
      </c>
      <c r="BN30" s="229">
        <v>-0.54590000000000005</v>
      </c>
      <c r="BO30" s="230">
        <v>117075</v>
      </c>
      <c r="BP30" s="230">
        <v>229667</v>
      </c>
      <c r="BQ30" s="230">
        <v>-112592</v>
      </c>
      <c r="BR30" s="229">
        <v>-0.49020000000000002</v>
      </c>
      <c r="BS30" s="230">
        <v>4936287</v>
      </c>
      <c r="BT30" s="230">
        <v>7710412</v>
      </c>
      <c r="BU30" s="230">
        <v>-2774125</v>
      </c>
      <c r="BV30" s="229">
        <v>-0.35980000000000001</v>
      </c>
      <c r="BW30" s="230">
        <v>15702925</v>
      </c>
      <c r="BX30" s="230">
        <v>15215375</v>
      </c>
      <c r="BY30" s="230">
        <v>487550</v>
      </c>
      <c r="BZ30" s="229">
        <v>3.2000000000000001E-2</v>
      </c>
      <c r="CA30" s="230">
        <v>13388550</v>
      </c>
      <c r="CB30" s="230">
        <v>13043800</v>
      </c>
      <c r="CC30" s="230">
        <v>344750</v>
      </c>
      <c r="CD30" s="229">
        <v>2.64E-2</v>
      </c>
      <c r="CE30" s="230">
        <v>2115400</v>
      </c>
      <c r="CF30" s="230">
        <v>2011975</v>
      </c>
      <c r="CG30" s="230">
        <v>103425</v>
      </c>
      <c r="CH30" s="229">
        <v>5.1400000000000001E-2</v>
      </c>
      <c r="CI30" s="230">
        <v>198975</v>
      </c>
      <c r="CJ30" s="230">
        <v>159600</v>
      </c>
      <c r="CK30" s="230">
        <v>39375</v>
      </c>
      <c r="CL30" s="229">
        <v>0.2467</v>
      </c>
      <c r="CM30" s="230">
        <v>8291150</v>
      </c>
      <c r="CN30" s="230">
        <v>7007700</v>
      </c>
      <c r="CO30" s="230">
        <v>1283450</v>
      </c>
      <c r="CP30" s="229">
        <v>0.18310000000000001</v>
      </c>
      <c r="CQ30" s="230">
        <v>6127975</v>
      </c>
      <c r="CR30" s="230">
        <v>5965750</v>
      </c>
      <c r="CS30" s="230">
        <v>162225</v>
      </c>
      <c r="CT30" s="229">
        <v>2.7199999999999998E-2</v>
      </c>
      <c r="CU30" s="230">
        <v>30122050</v>
      </c>
      <c r="CV30" s="230">
        <v>28188825</v>
      </c>
      <c r="CW30" s="230">
        <v>1933225</v>
      </c>
      <c r="CX30" s="229">
        <v>6.8599999999999994E-2</v>
      </c>
      <c r="CY30" s="228">
        <v>31.7</v>
      </c>
      <c r="CZ30" s="228">
        <v>32.71</v>
      </c>
      <c r="DA30" s="228">
        <v>-1.01</v>
      </c>
      <c r="DB30" s="228">
        <v>-1.01</v>
      </c>
      <c r="DC30" s="228">
        <v>34.090000000000003</v>
      </c>
      <c r="DD30" s="228">
        <v>33.97</v>
      </c>
      <c r="DE30" s="228">
        <v>-2.39</v>
      </c>
      <c r="DF30" s="228">
        <v>0.12</v>
      </c>
      <c r="DG30" s="228">
        <v>30.78</v>
      </c>
      <c r="DH30" s="228">
        <v>30.85</v>
      </c>
      <c r="DI30" s="228">
        <v>-7.0000000000000007E-2</v>
      </c>
      <c r="DJ30" s="228">
        <v>-7.0000000000000007E-2</v>
      </c>
      <c r="DK30" s="228">
        <v>33.630000000000003</v>
      </c>
      <c r="DL30" s="228">
        <v>35.979999999999997</v>
      </c>
      <c r="DM30" s="228">
        <v>-2.35</v>
      </c>
      <c r="DN30" s="228">
        <v>-2.35</v>
      </c>
      <c r="DO30" s="228">
        <v>0.74</v>
      </c>
      <c r="DP30" s="228">
        <v>0.85</v>
      </c>
      <c r="DQ30" s="228">
        <v>-0.11</v>
      </c>
      <c r="DR30" s="229">
        <v>-0.12939999999999999</v>
      </c>
      <c r="DS30" s="231">
        <v>4000</v>
      </c>
      <c r="DT30" s="231">
        <v>4000</v>
      </c>
      <c r="DU30" s="228">
        <v>0.48</v>
      </c>
      <c r="DV30" s="228">
        <v>0.56999999999999995</v>
      </c>
      <c r="DW30" s="228">
        <v>-0.09</v>
      </c>
      <c r="DX30" s="229">
        <v>-0.15790000000000001</v>
      </c>
      <c r="DY30" s="229">
        <v>0.1474</v>
      </c>
      <c r="DZ30" s="230">
        <v>2171575</v>
      </c>
      <c r="EA30" s="229">
        <v>6.4000000000000003E-3</v>
      </c>
      <c r="EB30" s="229">
        <v>0.1474</v>
      </c>
      <c r="EC30" s="228">
        <v>24.64</v>
      </c>
      <c r="ED30" s="229">
        <v>6.3E-3</v>
      </c>
      <c r="EE30" s="230">
        <v>2280637</v>
      </c>
      <c r="EF30" s="230">
        <v>4302718</v>
      </c>
      <c r="EG30" s="229">
        <v>-0.47</v>
      </c>
      <c r="EH30" s="229">
        <v>0.46200000000000002</v>
      </c>
      <c r="EI30" s="231">
        <v>487645.78</v>
      </c>
      <c r="EJ30" s="231">
        <v>216709.95</v>
      </c>
      <c r="EK30" s="231">
        <v>123362.62</v>
      </c>
      <c r="EL30" s="231">
        <v>21258</v>
      </c>
      <c r="EM30" s="231">
        <v>827718.35</v>
      </c>
      <c r="EN30" s="231">
        <v>1620111.4</v>
      </c>
      <c r="EO30" s="231">
        <v>-792393.05</v>
      </c>
      <c r="EP30" s="229">
        <v>-0.48909999999999998</v>
      </c>
      <c r="EQ30" s="231">
        <v>329695</v>
      </c>
      <c r="ER30" s="231">
        <v>226990</v>
      </c>
      <c r="ES30" s="231">
        <v>614115</v>
      </c>
      <c r="ET30" s="231">
        <v>136099497</v>
      </c>
      <c r="EU30" s="231">
        <v>1170799</v>
      </c>
      <c r="EV30" s="231">
        <v>1109163</v>
      </c>
      <c r="EW30" s="231">
        <v>61636</v>
      </c>
      <c r="EX30" s="229">
        <v>5.5599999999999997E-2</v>
      </c>
      <c r="EY30" s="229">
        <v>0.2213</v>
      </c>
    </row>
    <row r="31" spans="1:155" ht="17.25" thickBot="1" x14ac:dyDescent="0.3">
      <c r="A31" s="226">
        <v>46121</v>
      </c>
      <c r="B31" s="227" t="s">
        <v>162</v>
      </c>
      <c r="C31" s="227" t="s">
        <v>251</v>
      </c>
      <c r="D31" s="231">
        <v>3174.7</v>
      </c>
      <c r="E31" s="231">
        <v>3226</v>
      </c>
      <c r="F31" s="228">
        <v>-51.3</v>
      </c>
      <c r="G31" s="229">
        <v>-1.5900000000000001E-2</v>
      </c>
      <c r="H31" s="231">
        <v>3166.8</v>
      </c>
      <c r="I31" s="231">
        <v>3210.1</v>
      </c>
      <c r="J31" s="228">
        <v>-43.3</v>
      </c>
      <c r="K31" s="229">
        <v>-1.35E-2</v>
      </c>
      <c r="L31" s="231">
        <v>3174.7</v>
      </c>
      <c r="M31" s="231">
        <v>3226</v>
      </c>
      <c r="N31" s="228">
        <v>-51.3</v>
      </c>
      <c r="O31" s="229">
        <v>-1.5900000000000001E-2</v>
      </c>
      <c r="P31" s="231">
        <v>3193.6</v>
      </c>
      <c r="Q31" s="231">
        <v>3242.5</v>
      </c>
      <c r="R31" s="228">
        <v>-48.9</v>
      </c>
      <c r="S31" s="229">
        <v>-1.5100000000000001E-2</v>
      </c>
      <c r="T31" s="231">
        <v>3212.5</v>
      </c>
      <c r="U31" s="231">
        <v>3263.3</v>
      </c>
      <c r="V31" s="228">
        <v>-50.8</v>
      </c>
      <c r="W31" s="229">
        <v>-1.5599999999999999E-2</v>
      </c>
      <c r="X31" s="228">
        <v>7.9</v>
      </c>
      <c r="Y31" s="228">
        <v>15.9</v>
      </c>
      <c r="Z31" s="228">
        <v>-8</v>
      </c>
      <c r="AA31" s="229">
        <v>2.5000000000000001E-3</v>
      </c>
      <c r="AB31" s="228">
        <v>7.9</v>
      </c>
      <c r="AC31" s="228">
        <v>15.9</v>
      </c>
      <c r="AD31" s="228">
        <v>-8</v>
      </c>
      <c r="AE31" s="229">
        <v>2.5000000000000001E-3</v>
      </c>
      <c r="AF31" s="228">
        <v>26.8</v>
      </c>
      <c r="AG31" s="228">
        <v>32.4</v>
      </c>
      <c r="AH31" s="228">
        <v>-5.6</v>
      </c>
      <c r="AI31" s="229">
        <v>8.5000000000000006E-3</v>
      </c>
      <c r="AJ31" s="228">
        <v>45.7</v>
      </c>
      <c r="AK31" s="228">
        <v>53.2</v>
      </c>
      <c r="AL31" s="228">
        <v>-7.5</v>
      </c>
      <c r="AM31" s="229">
        <v>1.44E-2</v>
      </c>
      <c r="AN31" s="231">
        <v>3176.19</v>
      </c>
      <c r="AO31" s="231">
        <v>3196.95</v>
      </c>
      <c r="AP31" s="228">
        <v>0</v>
      </c>
      <c r="AQ31" s="230">
        <v>9425</v>
      </c>
      <c r="AR31" s="230">
        <v>15404</v>
      </c>
      <c r="AS31" s="230">
        <v>-5979</v>
      </c>
      <c r="AT31" s="229">
        <v>-0.3881</v>
      </c>
      <c r="AU31" s="230">
        <v>8607</v>
      </c>
      <c r="AV31" s="230">
        <v>13659</v>
      </c>
      <c r="AW31" s="230">
        <v>-5052</v>
      </c>
      <c r="AX31" s="229">
        <v>-0.36990000000000001</v>
      </c>
      <c r="AY31" s="228">
        <v>645</v>
      </c>
      <c r="AZ31" s="230">
        <v>1326</v>
      </c>
      <c r="BA31" s="228">
        <v>-681</v>
      </c>
      <c r="BB31" s="229">
        <v>-0.51359999999999995</v>
      </c>
      <c r="BC31" s="228">
        <v>173</v>
      </c>
      <c r="BD31" s="228">
        <v>419</v>
      </c>
      <c r="BE31" s="228">
        <v>-246</v>
      </c>
      <c r="BF31" s="229">
        <v>-0.58709999999999996</v>
      </c>
      <c r="BG31" s="230">
        <v>24706</v>
      </c>
      <c r="BH31" s="230">
        <v>52802</v>
      </c>
      <c r="BI31" s="230">
        <v>-28096</v>
      </c>
      <c r="BJ31" s="229">
        <v>-0.53210000000000002</v>
      </c>
      <c r="BK31" s="230">
        <v>14716</v>
      </c>
      <c r="BL31" s="230">
        <v>24618</v>
      </c>
      <c r="BM31" s="230">
        <v>-9902</v>
      </c>
      <c r="BN31" s="229">
        <v>-0.4022</v>
      </c>
      <c r="BO31" s="230">
        <v>48847</v>
      </c>
      <c r="BP31" s="230">
        <v>92824</v>
      </c>
      <c r="BQ31" s="230">
        <v>-43977</v>
      </c>
      <c r="BR31" s="229">
        <v>-0.4738</v>
      </c>
      <c r="BS31" s="230">
        <v>3441818</v>
      </c>
      <c r="BT31" s="230">
        <v>4488898</v>
      </c>
      <c r="BU31" s="230">
        <v>-1047080</v>
      </c>
      <c r="BV31" s="229">
        <v>-0.23330000000000001</v>
      </c>
      <c r="BW31" s="230">
        <v>20020200</v>
      </c>
      <c r="BX31" s="230">
        <v>20029800</v>
      </c>
      <c r="BY31" s="230">
        <v>-9600</v>
      </c>
      <c r="BZ31" s="229">
        <v>-5.0000000000000001E-4</v>
      </c>
      <c r="CA31" s="230">
        <v>17110800</v>
      </c>
      <c r="CB31" s="230">
        <v>17183600</v>
      </c>
      <c r="CC31" s="230">
        <v>-72800</v>
      </c>
      <c r="CD31" s="229">
        <v>-4.1999999999999997E-3</v>
      </c>
      <c r="CE31" s="230">
        <v>2658200</v>
      </c>
      <c r="CF31" s="230">
        <v>2613400</v>
      </c>
      <c r="CG31" s="230">
        <v>44800</v>
      </c>
      <c r="CH31" s="229">
        <v>1.7100000000000001E-2</v>
      </c>
      <c r="CI31" s="230">
        <v>251200</v>
      </c>
      <c r="CJ31" s="230">
        <v>232800</v>
      </c>
      <c r="CK31" s="230">
        <v>18400</v>
      </c>
      <c r="CL31" s="229">
        <v>7.9000000000000001E-2</v>
      </c>
      <c r="CM31" s="230">
        <v>3963400</v>
      </c>
      <c r="CN31" s="230">
        <v>3586200</v>
      </c>
      <c r="CO31" s="230">
        <v>377200</v>
      </c>
      <c r="CP31" s="229">
        <v>0.1052</v>
      </c>
      <c r="CQ31" s="230">
        <v>3167800</v>
      </c>
      <c r="CR31" s="230">
        <v>3212800</v>
      </c>
      <c r="CS31" s="230">
        <v>-45000</v>
      </c>
      <c r="CT31" s="229">
        <v>-1.4E-2</v>
      </c>
      <c r="CU31" s="230">
        <v>27151400</v>
      </c>
      <c r="CV31" s="230">
        <v>26828800</v>
      </c>
      <c r="CW31" s="230">
        <v>322600</v>
      </c>
      <c r="CX31" s="229">
        <v>1.2E-2</v>
      </c>
      <c r="CY31" s="228">
        <v>34.06</v>
      </c>
      <c r="CZ31" s="228">
        <v>33.619999999999997</v>
      </c>
      <c r="DA31" s="228">
        <v>0.44</v>
      </c>
      <c r="DB31" s="228">
        <v>0.44</v>
      </c>
      <c r="DC31" s="228">
        <v>35.76</v>
      </c>
      <c r="DD31" s="228">
        <v>35.799999999999997</v>
      </c>
      <c r="DE31" s="228">
        <v>-1.7</v>
      </c>
      <c r="DF31" s="228">
        <v>-0.04</v>
      </c>
      <c r="DG31" s="228">
        <v>32.69</v>
      </c>
      <c r="DH31" s="228">
        <v>32.299999999999997</v>
      </c>
      <c r="DI31" s="228">
        <v>0.39</v>
      </c>
      <c r="DJ31" s="228">
        <v>0.39</v>
      </c>
      <c r="DK31" s="228">
        <v>36.35</v>
      </c>
      <c r="DL31" s="228">
        <v>36.46</v>
      </c>
      <c r="DM31" s="228">
        <v>-0.11</v>
      </c>
      <c r="DN31" s="228">
        <v>-0.11</v>
      </c>
      <c r="DO31" s="228">
        <v>0.8</v>
      </c>
      <c r="DP31" s="228">
        <v>0.9</v>
      </c>
      <c r="DQ31" s="228">
        <v>-0.1</v>
      </c>
      <c r="DR31" s="229">
        <v>-0.1111</v>
      </c>
      <c r="DS31" s="231">
        <v>3200</v>
      </c>
      <c r="DT31" s="231">
        <v>3000</v>
      </c>
      <c r="DU31" s="228">
        <v>0.6</v>
      </c>
      <c r="DV31" s="228">
        <v>0.47</v>
      </c>
      <c r="DW31" s="228">
        <v>0.13</v>
      </c>
      <c r="DX31" s="229">
        <v>0.27660000000000001</v>
      </c>
      <c r="DY31" s="229">
        <v>0.14530000000000001</v>
      </c>
      <c r="DZ31" s="230">
        <v>2846200</v>
      </c>
      <c r="EA31" s="229">
        <v>6.0000000000000001E-3</v>
      </c>
      <c r="EB31" s="229">
        <v>0.14530000000000001</v>
      </c>
      <c r="EC31" s="228">
        <v>20.76</v>
      </c>
      <c r="ED31" s="229">
        <v>6.4999999999999997E-3</v>
      </c>
      <c r="EE31" s="230">
        <v>1387708</v>
      </c>
      <c r="EF31" s="230">
        <v>2185983</v>
      </c>
      <c r="EG31" s="229">
        <v>-0.36520000000000002</v>
      </c>
      <c r="EH31" s="229">
        <v>0.4032</v>
      </c>
      <c r="EI31" s="231">
        <v>165478.34</v>
      </c>
      <c r="EJ31" s="231">
        <v>91298.51</v>
      </c>
      <c r="EK31" s="231">
        <v>59914.23</v>
      </c>
      <c r="EL31" s="231">
        <v>11941</v>
      </c>
      <c r="EM31" s="231">
        <v>316691.08</v>
      </c>
      <c r="EN31" s="231">
        <v>605449.07999999996</v>
      </c>
      <c r="EO31" s="231">
        <v>-288758</v>
      </c>
      <c r="EP31" s="229">
        <v>-0.47689999999999999</v>
      </c>
      <c r="EQ31" s="231">
        <v>129342</v>
      </c>
      <c r="ER31" s="231">
        <v>97002</v>
      </c>
      <c r="ES31" s="231">
        <v>636179</v>
      </c>
      <c r="ET31" s="231">
        <v>120808308</v>
      </c>
      <c r="EU31" s="231">
        <v>862523</v>
      </c>
      <c r="EV31" s="231">
        <v>861897</v>
      </c>
      <c r="EW31" s="228">
        <v>626</v>
      </c>
      <c r="EX31" s="229">
        <v>6.9999999999999999E-4</v>
      </c>
      <c r="EY31" s="229">
        <v>0.22470000000000001</v>
      </c>
    </row>
    <row r="32" spans="1:155" ht="17.25" thickBot="1" x14ac:dyDescent="0.3">
      <c r="A32" s="226">
        <v>46121</v>
      </c>
      <c r="B32" s="227" t="s">
        <v>162</v>
      </c>
      <c r="C32" s="227" t="s">
        <v>255</v>
      </c>
      <c r="D32" s="231">
        <v>13609</v>
      </c>
      <c r="E32" s="231">
        <v>13632</v>
      </c>
      <c r="F32" s="228">
        <v>-23</v>
      </c>
      <c r="G32" s="229">
        <v>-1.6999999999999999E-3</v>
      </c>
      <c r="H32" s="231">
        <v>13589</v>
      </c>
      <c r="I32" s="231">
        <v>13602</v>
      </c>
      <c r="J32" s="228">
        <v>-13</v>
      </c>
      <c r="K32" s="229">
        <v>-1E-3</v>
      </c>
      <c r="L32" s="231">
        <v>13609</v>
      </c>
      <c r="M32" s="231">
        <v>13632</v>
      </c>
      <c r="N32" s="228">
        <v>-23</v>
      </c>
      <c r="O32" s="229">
        <v>-1.6999999999999999E-3</v>
      </c>
      <c r="P32" s="231">
        <v>13687</v>
      </c>
      <c r="Q32" s="231">
        <v>13712</v>
      </c>
      <c r="R32" s="228">
        <v>-25</v>
      </c>
      <c r="S32" s="229">
        <v>-1.8E-3</v>
      </c>
      <c r="T32" s="231">
        <v>13773</v>
      </c>
      <c r="U32" s="231">
        <v>13795</v>
      </c>
      <c r="V32" s="228">
        <v>-22</v>
      </c>
      <c r="W32" s="229">
        <v>-1.6000000000000001E-3</v>
      </c>
      <c r="X32" s="228">
        <v>20</v>
      </c>
      <c r="Y32" s="228">
        <v>30</v>
      </c>
      <c r="Z32" s="228">
        <v>-10</v>
      </c>
      <c r="AA32" s="229">
        <v>1.5E-3</v>
      </c>
      <c r="AB32" s="228">
        <v>20</v>
      </c>
      <c r="AC32" s="228">
        <v>30</v>
      </c>
      <c r="AD32" s="228">
        <v>-10</v>
      </c>
      <c r="AE32" s="229">
        <v>1.5E-3</v>
      </c>
      <c r="AF32" s="228">
        <v>98</v>
      </c>
      <c r="AG32" s="228">
        <v>110</v>
      </c>
      <c r="AH32" s="228">
        <v>-12</v>
      </c>
      <c r="AI32" s="229">
        <v>7.1999999999999998E-3</v>
      </c>
      <c r="AJ32" s="228">
        <v>184</v>
      </c>
      <c r="AK32" s="228">
        <v>193</v>
      </c>
      <c r="AL32" s="228">
        <v>-9</v>
      </c>
      <c r="AM32" s="229">
        <v>1.35E-2</v>
      </c>
      <c r="AN32" s="231">
        <v>13653.92</v>
      </c>
      <c r="AO32" s="231">
        <v>13698.64</v>
      </c>
      <c r="AP32" s="228">
        <v>0</v>
      </c>
      <c r="AQ32" s="230">
        <v>15357</v>
      </c>
      <c r="AR32" s="230">
        <v>21051</v>
      </c>
      <c r="AS32" s="230">
        <v>-5694</v>
      </c>
      <c r="AT32" s="229">
        <v>-0.27050000000000002</v>
      </c>
      <c r="AU32" s="230">
        <v>14800</v>
      </c>
      <c r="AV32" s="230">
        <v>20374</v>
      </c>
      <c r="AW32" s="230">
        <v>-5574</v>
      </c>
      <c r="AX32" s="229">
        <v>-0.27360000000000001</v>
      </c>
      <c r="AY32" s="228">
        <v>531</v>
      </c>
      <c r="AZ32" s="228">
        <v>592</v>
      </c>
      <c r="BA32" s="228">
        <v>-61</v>
      </c>
      <c r="BB32" s="229">
        <v>-0.10299999999999999</v>
      </c>
      <c r="BC32" s="228">
        <v>26</v>
      </c>
      <c r="BD32" s="228">
        <v>85</v>
      </c>
      <c r="BE32" s="228">
        <v>-59</v>
      </c>
      <c r="BF32" s="229">
        <v>-0.69410000000000005</v>
      </c>
      <c r="BG32" s="230">
        <v>68153</v>
      </c>
      <c r="BH32" s="230">
        <v>88481</v>
      </c>
      <c r="BI32" s="230">
        <v>-20328</v>
      </c>
      <c r="BJ32" s="229">
        <v>-0.22969999999999999</v>
      </c>
      <c r="BK32" s="230">
        <v>36348</v>
      </c>
      <c r="BL32" s="230">
        <v>48191</v>
      </c>
      <c r="BM32" s="230">
        <v>-11843</v>
      </c>
      <c r="BN32" s="229">
        <v>-0.24579999999999999</v>
      </c>
      <c r="BO32" s="230">
        <v>119858</v>
      </c>
      <c r="BP32" s="230">
        <v>157723</v>
      </c>
      <c r="BQ32" s="230">
        <v>-37865</v>
      </c>
      <c r="BR32" s="229">
        <v>-0.24010000000000001</v>
      </c>
      <c r="BS32" s="230">
        <v>601203</v>
      </c>
      <c r="BT32" s="230">
        <v>1069603</v>
      </c>
      <c r="BU32" s="230">
        <v>-468400</v>
      </c>
      <c r="BV32" s="229">
        <v>-0.43790000000000001</v>
      </c>
      <c r="BW32" s="230">
        <v>3349350</v>
      </c>
      <c r="BX32" s="230">
        <v>3399700</v>
      </c>
      <c r="BY32" s="230">
        <v>-50350</v>
      </c>
      <c r="BZ32" s="229">
        <v>-1.4800000000000001E-2</v>
      </c>
      <c r="CA32" s="230">
        <v>3049550</v>
      </c>
      <c r="CB32" s="230">
        <v>3105550</v>
      </c>
      <c r="CC32" s="230">
        <v>-56000</v>
      </c>
      <c r="CD32" s="229">
        <v>-1.7999999999999999E-2</v>
      </c>
      <c r="CE32" s="230">
        <v>264150</v>
      </c>
      <c r="CF32" s="230">
        <v>258450</v>
      </c>
      <c r="CG32" s="230">
        <v>5700</v>
      </c>
      <c r="CH32" s="229">
        <v>2.2100000000000002E-2</v>
      </c>
      <c r="CI32" s="230">
        <v>35650</v>
      </c>
      <c r="CJ32" s="230">
        <v>35700</v>
      </c>
      <c r="CK32" s="228">
        <v>-50</v>
      </c>
      <c r="CL32" s="229">
        <v>-1.4E-3</v>
      </c>
      <c r="CM32" s="230">
        <v>1479750</v>
      </c>
      <c r="CN32" s="230">
        <v>1298750</v>
      </c>
      <c r="CO32" s="230">
        <v>181000</v>
      </c>
      <c r="CP32" s="229">
        <v>0.1394</v>
      </c>
      <c r="CQ32" s="230">
        <v>935800</v>
      </c>
      <c r="CR32" s="230">
        <v>895550</v>
      </c>
      <c r="CS32" s="230">
        <v>40250</v>
      </c>
      <c r="CT32" s="229">
        <v>4.4900000000000002E-2</v>
      </c>
      <c r="CU32" s="230">
        <v>5764900</v>
      </c>
      <c r="CV32" s="230">
        <v>5594000</v>
      </c>
      <c r="CW32" s="230">
        <v>170900</v>
      </c>
      <c r="CX32" s="229">
        <v>3.0599999999999999E-2</v>
      </c>
      <c r="CY32" s="228">
        <v>30.9</v>
      </c>
      <c r="CZ32" s="228">
        <v>28.89</v>
      </c>
      <c r="DA32" s="228">
        <v>2.0099999999999998</v>
      </c>
      <c r="DB32" s="228">
        <v>2.0099999999999998</v>
      </c>
      <c r="DC32" s="228">
        <v>28.5</v>
      </c>
      <c r="DD32" s="228">
        <v>28.57</v>
      </c>
      <c r="DE32" s="228">
        <v>2.4</v>
      </c>
      <c r="DF32" s="228">
        <v>-7.0000000000000007E-2</v>
      </c>
      <c r="DG32" s="228">
        <v>29.76</v>
      </c>
      <c r="DH32" s="228">
        <v>27.67</v>
      </c>
      <c r="DI32" s="228">
        <v>2.09</v>
      </c>
      <c r="DJ32" s="228">
        <v>2.09</v>
      </c>
      <c r="DK32" s="228">
        <v>33.020000000000003</v>
      </c>
      <c r="DL32" s="228">
        <v>31.14</v>
      </c>
      <c r="DM32" s="228">
        <v>1.88</v>
      </c>
      <c r="DN32" s="228">
        <v>1.88</v>
      </c>
      <c r="DO32" s="228">
        <v>0.63</v>
      </c>
      <c r="DP32" s="228">
        <v>0.69</v>
      </c>
      <c r="DQ32" s="228">
        <v>-0.06</v>
      </c>
      <c r="DR32" s="229">
        <v>-8.6999999999999994E-2</v>
      </c>
      <c r="DS32" s="231">
        <v>15000</v>
      </c>
      <c r="DT32" s="231">
        <v>13000</v>
      </c>
      <c r="DU32" s="228">
        <v>0.53</v>
      </c>
      <c r="DV32" s="228">
        <v>0.54</v>
      </c>
      <c r="DW32" s="228">
        <v>-0.01</v>
      </c>
      <c r="DX32" s="229">
        <v>-1.8499999999999999E-2</v>
      </c>
      <c r="DY32" s="229">
        <v>8.9499999999999996E-2</v>
      </c>
      <c r="DZ32" s="230">
        <v>294150</v>
      </c>
      <c r="EA32" s="229">
        <v>5.7000000000000002E-3</v>
      </c>
      <c r="EB32" s="229">
        <v>8.9499999999999996E-2</v>
      </c>
      <c r="EC32" s="228">
        <v>44.72</v>
      </c>
      <c r="ED32" s="229">
        <v>3.3E-3</v>
      </c>
      <c r="EE32" s="230">
        <v>238896</v>
      </c>
      <c r="EF32" s="230">
        <v>668233</v>
      </c>
      <c r="EG32" s="229">
        <v>-0.64249999999999996</v>
      </c>
      <c r="EH32" s="229">
        <v>0.39739999999999998</v>
      </c>
      <c r="EI32" s="231">
        <v>492168.67</v>
      </c>
      <c r="EJ32" s="231">
        <v>238209.03</v>
      </c>
      <c r="EK32" s="231">
        <v>104855.24</v>
      </c>
      <c r="EL32" s="231">
        <v>11820</v>
      </c>
      <c r="EM32" s="231">
        <v>835232.94</v>
      </c>
      <c r="EN32" s="231">
        <v>1088704.45</v>
      </c>
      <c r="EO32" s="231">
        <v>-253471.51</v>
      </c>
      <c r="EP32" s="229">
        <v>-0.23280000000000001</v>
      </c>
      <c r="EQ32" s="231">
        <v>204920</v>
      </c>
      <c r="ER32" s="231">
        <v>117575</v>
      </c>
      <c r="ES32" s="231">
        <v>456078</v>
      </c>
      <c r="ET32" s="231">
        <v>19673414</v>
      </c>
      <c r="EU32" s="231">
        <v>778572</v>
      </c>
      <c r="EV32" s="231">
        <v>754654</v>
      </c>
      <c r="EW32" s="231">
        <v>23918</v>
      </c>
      <c r="EX32" s="229">
        <v>3.1699999999999999E-2</v>
      </c>
      <c r="EY32" s="229">
        <v>0.29299999999999998</v>
      </c>
    </row>
    <row r="33" spans="1:155" ht="17.25" thickBot="1" x14ac:dyDescent="0.3">
      <c r="A33" s="226">
        <v>46121</v>
      </c>
      <c r="B33" s="227" t="s">
        <v>170</v>
      </c>
      <c r="C33" s="227" t="s">
        <v>602</v>
      </c>
      <c r="D33" s="228">
        <v>957.05</v>
      </c>
      <c r="E33" s="228">
        <v>946.1</v>
      </c>
      <c r="F33" s="228">
        <v>10.95</v>
      </c>
      <c r="G33" s="229">
        <v>1.1599999999999999E-2</v>
      </c>
      <c r="H33" s="228">
        <v>954.95</v>
      </c>
      <c r="I33" s="228">
        <v>941.15</v>
      </c>
      <c r="J33" s="228">
        <v>13.8</v>
      </c>
      <c r="K33" s="229">
        <v>1.47E-2</v>
      </c>
      <c r="L33" s="228">
        <v>957.05</v>
      </c>
      <c r="M33" s="228">
        <v>946.1</v>
      </c>
      <c r="N33" s="228">
        <v>10.95</v>
      </c>
      <c r="O33" s="229">
        <v>1.1599999999999999E-2</v>
      </c>
      <c r="P33" s="228">
        <v>963.3</v>
      </c>
      <c r="Q33" s="228">
        <v>951.2</v>
      </c>
      <c r="R33" s="228">
        <v>12.1</v>
      </c>
      <c r="S33" s="229">
        <v>1.2699999999999999E-2</v>
      </c>
      <c r="T33" s="228">
        <v>969.6</v>
      </c>
      <c r="U33" s="228">
        <v>956.7</v>
      </c>
      <c r="V33" s="228">
        <v>12.9</v>
      </c>
      <c r="W33" s="229">
        <v>1.35E-2</v>
      </c>
      <c r="X33" s="228">
        <v>2.1</v>
      </c>
      <c r="Y33" s="228">
        <v>4.95</v>
      </c>
      <c r="Z33" s="228">
        <v>-2.85</v>
      </c>
      <c r="AA33" s="229">
        <v>2.2000000000000001E-3</v>
      </c>
      <c r="AB33" s="228">
        <v>2.1</v>
      </c>
      <c r="AC33" s="228">
        <v>4.95</v>
      </c>
      <c r="AD33" s="228">
        <v>-2.85</v>
      </c>
      <c r="AE33" s="229">
        <v>2.2000000000000001E-3</v>
      </c>
      <c r="AF33" s="228">
        <v>8.35</v>
      </c>
      <c r="AG33" s="228">
        <v>10.050000000000001</v>
      </c>
      <c r="AH33" s="228">
        <v>-1.7</v>
      </c>
      <c r="AI33" s="229">
        <v>8.6999999999999994E-3</v>
      </c>
      <c r="AJ33" s="228">
        <v>14.65</v>
      </c>
      <c r="AK33" s="228">
        <v>15.55</v>
      </c>
      <c r="AL33" s="228">
        <v>-0.9</v>
      </c>
      <c r="AM33" s="229">
        <v>1.5299999999999999E-2</v>
      </c>
      <c r="AN33" s="228">
        <v>956.59</v>
      </c>
      <c r="AO33" s="228">
        <v>962.74</v>
      </c>
      <c r="AP33" s="228">
        <v>0</v>
      </c>
      <c r="AQ33" s="230">
        <v>5000</v>
      </c>
      <c r="AR33" s="230">
        <v>4628</v>
      </c>
      <c r="AS33" s="228">
        <v>372</v>
      </c>
      <c r="AT33" s="229">
        <v>8.0399999999999999E-2</v>
      </c>
      <c r="AU33" s="230">
        <v>4648</v>
      </c>
      <c r="AV33" s="230">
        <v>4146</v>
      </c>
      <c r="AW33" s="228">
        <v>502</v>
      </c>
      <c r="AX33" s="229">
        <v>0.1211</v>
      </c>
      <c r="AY33" s="228">
        <v>304</v>
      </c>
      <c r="AZ33" s="228">
        <v>426</v>
      </c>
      <c r="BA33" s="228">
        <v>-122</v>
      </c>
      <c r="BB33" s="229">
        <v>-0.28639999999999999</v>
      </c>
      <c r="BC33" s="228">
        <v>48</v>
      </c>
      <c r="BD33" s="228">
        <v>56</v>
      </c>
      <c r="BE33" s="228">
        <v>-8</v>
      </c>
      <c r="BF33" s="229">
        <v>-0.1429</v>
      </c>
      <c r="BG33" s="230">
        <v>11596</v>
      </c>
      <c r="BH33" s="230">
        <v>8162</v>
      </c>
      <c r="BI33" s="230">
        <v>3434</v>
      </c>
      <c r="BJ33" s="229">
        <v>0.42070000000000002</v>
      </c>
      <c r="BK33" s="230">
        <v>3033</v>
      </c>
      <c r="BL33" s="230">
        <v>4048</v>
      </c>
      <c r="BM33" s="230">
        <v>-1015</v>
      </c>
      <c r="BN33" s="229">
        <v>-0.25069999999999998</v>
      </c>
      <c r="BO33" s="230">
        <v>19629</v>
      </c>
      <c r="BP33" s="230">
        <v>16838</v>
      </c>
      <c r="BQ33" s="230">
        <v>2791</v>
      </c>
      <c r="BR33" s="229">
        <v>0.1658</v>
      </c>
      <c r="BS33" s="230">
        <v>4441896</v>
      </c>
      <c r="BT33" s="230">
        <v>4738392</v>
      </c>
      <c r="BU33" s="230">
        <v>-296496</v>
      </c>
      <c r="BV33" s="229">
        <v>-6.2600000000000003E-2</v>
      </c>
      <c r="BW33" s="230">
        <v>14449575</v>
      </c>
      <c r="BX33" s="230">
        <v>14507325</v>
      </c>
      <c r="BY33" s="230">
        <v>-57750</v>
      </c>
      <c r="BZ33" s="229">
        <v>-4.0000000000000001E-3</v>
      </c>
      <c r="CA33" s="230">
        <v>13763400</v>
      </c>
      <c r="CB33" s="230">
        <v>13859475</v>
      </c>
      <c r="CC33" s="230">
        <v>-96075</v>
      </c>
      <c r="CD33" s="229">
        <v>-6.8999999999999999E-3</v>
      </c>
      <c r="CE33" s="230">
        <v>583275</v>
      </c>
      <c r="CF33" s="230">
        <v>552825</v>
      </c>
      <c r="CG33" s="230">
        <v>30450</v>
      </c>
      <c r="CH33" s="229">
        <v>5.5100000000000003E-2</v>
      </c>
      <c r="CI33" s="230">
        <v>102900</v>
      </c>
      <c r="CJ33" s="230">
        <v>95025</v>
      </c>
      <c r="CK33" s="230">
        <v>7875</v>
      </c>
      <c r="CL33" s="229">
        <v>8.2900000000000001E-2</v>
      </c>
      <c r="CM33" s="230">
        <v>2525775</v>
      </c>
      <c r="CN33" s="230">
        <v>2565675</v>
      </c>
      <c r="CO33" s="230">
        <v>-39900</v>
      </c>
      <c r="CP33" s="229">
        <v>-1.5599999999999999E-2</v>
      </c>
      <c r="CQ33" s="230">
        <v>1644300</v>
      </c>
      <c r="CR33" s="230">
        <v>1527750</v>
      </c>
      <c r="CS33" s="230">
        <v>116550</v>
      </c>
      <c r="CT33" s="229">
        <v>7.6300000000000007E-2</v>
      </c>
      <c r="CU33" s="230">
        <v>18619650</v>
      </c>
      <c r="CV33" s="230">
        <v>18600750</v>
      </c>
      <c r="CW33" s="230">
        <v>18900</v>
      </c>
      <c r="CX33" s="229">
        <v>1E-3</v>
      </c>
      <c r="CY33" s="228">
        <v>30.87</v>
      </c>
      <c r="CZ33" s="228">
        <v>31.48</v>
      </c>
      <c r="DA33" s="228">
        <v>-0.61</v>
      </c>
      <c r="DB33" s="228">
        <v>-0.61</v>
      </c>
      <c r="DC33" s="228">
        <v>36.29</v>
      </c>
      <c r="DD33" s="228">
        <v>36.33</v>
      </c>
      <c r="DE33" s="228">
        <v>-5.42</v>
      </c>
      <c r="DF33" s="228">
        <v>-0.04</v>
      </c>
      <c r="DG33" s="228">
        <v>30.71</v>
      </c>
      <c r="DH33" s="228">
        <v>31.18</v>
      </c>
      <c r="DI33" s="228">
        <v>-0.47</v>
      </c>
      <c r="DJ33" s="228">
        <v>-0.47</v>
      </c>
      <c r="DK33" s="228">
        <v>31.47</v>
      </c>
      <c r="DL33" s="228">
        <v>32.090000000000003</v>
      </c>
      <c r="DM33" s="228">
        <v>-0.62</v>
      </c>
      <c r="DN33" s="228">
        <v>-0.62</v>
      </c>
      <c r="DO33" s="228">
        <v>0.65</v>
      </c>
      <c r="DP33" s="228">
        <v>0.6</v>
      </c>
      <c r="DQ33" s="228">
        <v>0.05</v>
      </c>
      <c r="DR33" s="229">
        <v>8.3299999999999999E-2</v>
      </c>
      <c r="DS33" s="231">
        <v>1000</v>
      </c>
      <c r="DT33" s="228">
        <v>950</v>
      </c>
      <c r="DU33" s="228">
        <v>0.26</v>
      </c>
      <c r="DV33" s="228">
        <v>0.5</v>
      </c>
      <c r="DW33" s="228">
        <v>-0.24</v>
      </c>
      <c r="DX33" s="229">
        <v>-0.48</v>
      </c>
      <c r="DY33" s="229">
        <v>4.7500000000000001E-2</v>
      </c>
      <c r="DZ33" s="230">
        <v>647850</v>
      </c>
      <c r="EA33" s="229">
        <v>6.4999999999999997E-3</v>
      </c>
      <c r="EB33" s="229">
        <v>4.7500000000000001E-2</v>
      </c>
      <c r="EC33" s="228">
        <v>6.15</v>
      </c>
      <c r="ED33" s="229">
        <v>6.4000000000000003E-3</v>
      </c>
      <c r="EE33" s="230">
        <v>2676354</v>
      </c>
      <c r="EF33" s="230">
        <v>3244723</v>
      </c>
      <c r="EG33" s="229">
        <v>-0.17519999999999999</v>
      </c>
      <c r="EH33" s="229">
        <v>0.60250000000000004</v>
      </c>
      <c r="EI33" s="231">
        <v>60674.53</v>
      </c>
      <c r="EJ33" s="231">
        <v>15132.37</v>
      </c>
      <c r="EK33" s="231">
        <v>25123.27</v>
      </c>
      <c r="EL33" s="231">
        <v>4658</v>
      </c>
      <c r="EM33" s="231">
        <v>100930.17</v>
      </c>
      <c r="EN33" s="231">
        <v>85836.34</v>
      </c>
      <c r="EO33" s="231">
        <v>15093.83</v>
      </c>
      <c r="EP33" s="229">
        <v>0.17580000000000001</v>
      </c>
      <c r="EQ33" s="231">
        <v>25335</v>
      </c>
      <c r="ER33" s="231">
        <v>15606</v>
      </c>
      <c r="ES33" s="231">
        <v>138339</v>
      </c>
      <c r="ET33" s="231">
        <v>111298748</v>
      </c>
      <c r="EU33" s="231">
        <v>179280</v>
      </c>
      <c r="EV33" s="231">
        <v>177459</v>
      </c>
      <c r="EW33" s="231">
        <v>1821</v>
      </c>
      <c r="EX33" s="229">
        <v>1.03E-2</v>
      </c>
      <c r="EY33" s="229">
        <v>0.1673</v>
      </c>
    </row>
    <row r="34" spans="1:155" ht="17.25" thickBot="1" x14ac:dyDescent="0.3">
      <c r="A34" s="226">
        <v>46121</v>
      </c>
      <c r="B34" s="227" t="s">
        <v>168</v>
      </c>
      <c r="C34" s="227" t="s">
        <v>265</v>
      </c>
      <c r="D34" s="231">
        <v>1231.0999999999999</v>
      </c>
      <c r="E34" s="231">
        <v>1217.3</v>
      </c>
      <c r="F34" s="228">
        <v>13.8</v>
      </c>
      <c r="G34" s="229">
        <v>1.1299999999999999E-2</v>
      </c>
      <c r="H34" s="231">
        <v>1228.7</v>
      </c>
      <c r="I34" s="231">
        <v>1213.7</v>
      </c>
      <c r="J34" s="228">
        <v>15</v>
      </c>
      <c r="K34" s="229">
        <v>1.24E-2</v>
      </c>
      <c r="L34" s="231">
        <v>1231.0999999999999</v>
      </c>
      <c r="M34" s="231">
        <v>1217.3</v>
      </c>
      <c r="N34" s="228">
        <v>13.8</v>
      </c>
      <c r="O34" s="229">
        <v>1.1299999999999999E-2</v>
      </c>
      <c r="P34" s="231">
        <v>1237.3</v>
      </c>
      <c r="Q34" s="231">
        <v>1225.4000000000001</v>
      </c>
      <c r="R34" s="228">
        <v>11.9</v>
      </c>
      <c r="S34" s="229">
        <v>9.7000000000000003E-3</v>
      </c>
      <c r="T34" s="231">
        <v>1245.4000000000001</v>
      </c>
      <c r="U34" s="231">
        <v>1233</v>
      </c>
      <c r="V34" s="228">
        <v>12.4</v>
      </c>
      <c r="W34" s="229">
        <v>1.01E-2</v>
      </c>
      <c r="X34" s="228">
        <v>2.4</v>
      </c>
      <c r="Y34" s="228">
        <v>3.6</v>
      </c>
      <c r="Z34" s="228">
        <v>-1.2</v>
      </c>
      <c r="AA34" s="229">
        <v>2E-3</v>
      </c>
      <c r="AB34" s="228">
        <v>2.4</v>
      </c>
      <c r="AC34" s="228">
        <v>3.6</v>
      </c>
      <c r="AD34" s="228">
        <v>-1.2</v>
      </c>
      <c r="AE34" s="229">
        <v>2E-3</v>
      </c>
      <c r="AF34" s="228">
        <v>8.6</v>
      </c>
      <c r="AG34" s="228">
        <v>11.7</v>
      </c>
      <c r="AH34" s="228">
        <v>-3.1</v>
      </c>
      <c r="AI34" s="229">
        <v>7.0000000000000001E-3</v>
      </c>
      <c r="AJ34" s="228">
        <v>16.7</v>
      </c>
      <c r="AK34" s="228">
        <v>19.3</v>
      </c>
      <c r="AL34" s="228">
        <v>-2.6</v>
      </c>
      <c r="AM34" s="229">
        <v>1.3599999999999999E-2</v>
      </c>
      <c r="AN34" s="231">
        <v>1225.94</v>
      </c>
      <c r="AO34" s="231">
        <v>1231.72</v>
      </c>
      <c r="AP34" s="228">
        <v>0</v>
      </c>
      <c r="AQ34" s="230">
        <v>3088</v>
      </c>
      <c r="AR34" s="230">
        <v>3997</v>
      </c>
      <c r="AS34" s="228">
        <v>-909</v>
      </c>
      <c r="AT34" s="229">
        <v>-0.22739999999999999</v>
      </c>
      <c r="AU34" s="230">
        <v>2872</v>
      </c>
      <c r="AV34" s="230">
        <v>3588</v>
      </c>
      <c r="AW34" s="228">
        <v>-716</v>
      </c>
      <c r="AX34" s="229">
        <v>-0.1996</v>
      </c>
      <c r="AY34" s="228">
        <v>187</v>
      </c>
      <c r="AZ34" s="228">
        <v>346</v>
      </c>
      <c r="BA34" s="228">
        <v>-159</v>
      </c>
      <c r="BB34" s="229">
        <v>-0.45950000000000002</v>
      </c>
      <c r="BC34" s="228">
        <v>29</v>
      </c>
      <c r="BD34" s="228">
        <v>63</v>
      </c>
      <c r="BE34" s="228">
        <v>-34</v>
      </c>
      <c r="BF34" s="229">
        <v>-0.53969999999999996</v>
      </c>
      <c r="BG34" s="230">
        <v>4227</v>
      </c>
      <c r="BH34" s="230">
        <v>7504</v>
      </c>
      <c r="BI34" s="230">
        <v>-3277</v>
      </c>
      <c r="BJ34" s="229">
        <v>-0.43669999999999998</v>
      </c>
      <c r="BK34" s="230">
        <v>2353</v>
      </c>
      <c r="BL34" s="230">
        <v>4169</v>
      </c>
      <c r="BM34" s="230">
        <v>-1816</v>
      </c>
      <c r="BN34" s="229">
        <v>-0.43559999999999999</v>
      </c>
      <c r="BO34" s="230">
        <v>9668</v>
      </c>
      <c r="BP34" s="230">
        <v>15670</v>
      </c>
      <c r="BQ34" s="230">
        <v>-6002</v>
      </c>
      <c r="BR34" s="229">
        <v>-0.38300000000000001</v>
      </c>
      <c r="BS34" s="230">
        <v>1292770</v>
      </c>
      <c r="BT34" s="230">
        <v>1720881</v>
      </c>
      <c r="BU34" s="230">
        <v>-428111</v>
      </c>
      <c r="BV34" s="229">
        <v>-0.24879999999999999</v>
      </c>
      <c r="BW34" s="230">
        <v>18209500</v>
      </c>
      <c r="BX34" s="230">
        <v>18403500</v>
      </c>
      <c r="BY34" s="230">
        <v>-194000</v>
      </c>
      <c r="BZ34" s="229">
        <v>-1.0500000000000001E-2</v>
      </c>
      <c r="CA34" s="230">
        <v>17688500</v>
      </c>
      <c r="CB34" s="230">
        <v>17888500</v>
      </c>
      <c r="CC34" s="230">
        <v>-200000</v>
      </c>
      <c r="CD34" s="229">
        <v>-1.12E-2</v>
      </c>
      <c r="CE34" s="230">
        <v>436500</v>
      </c>
      <c r="CF34" s="230">
        <v>427000</v>
      </c>
      <c r="CG34" s="230">
        <v>9500</v>
      </c>
      <c r="CH34" s="229">
        <v>2.2200000000000001E-2</v>
      </c>
      <c r="CI34" s="230">
        <v>84500</v>
      </c>
      <c r="CJ34" s="230">
        <v>88000</v>
      </c>
      <c r="CK34" s="230">
        <v>-3500</v>
      </c>
      <c r="CL34" s="229">
        <v>-3.9800000000000002E-2</v>
      </c>
      <c r="CM34" s="230">
        <v>2291000</v>
      </c>
      <c r="CN34" s="230">
        <v>2348000</v>
      </c>
      <c r="CO34" s="230">
        <v>-57000</v>
      </c>
      <c r="CP34" s="229">
        <v>-2.4299999999999999E-2</v>
      </c>
      <c r="CQ34" s="230">
        <v>1664500</v>
      </c>
      <c r="CR34" s="230">
        <v>1661000</v>
      </c>
      <c r="CS34" s="230">
        <v>3500</v>
      </c>
      <c r="CT34" s="229">
        <v>2.0999999999999999E-3</v>
      </c>
      <c r="CU34" s="230">
        <v>22165000</v>
      </c>
      <c r="CV34" s="230">
        <v>22412500</v>
      </c>
      <c r="CW34" s="230">
        <v>-247500</v>
      </c>
      <c r="CX34" s="229">
        <v>-1.0999999999999999E-2</v>
      </c>
      <c r="CY34" s="228">
        <v>25.47</v>
      </c>
      <c r="CZ34" s="228">
        <v>26.41</v>
      </c>
      <c r="DA34" s="228">
        <v>-0.94</v>
      </c>
      <c r="DB34" s="228">
        <v>-0.94</v>
      </c>
      <c r="DC34" s="228">
        <v>23.19</v>
      </c>
      <c r="DD34" s="228">
        <v>23.19</v>
      </c>
      <c r="DE34" s="228">
        <v>2.2799999999999998</v>
      </c>
      <c r="DF34" s="228">
        <v>0</v>
      </c>
      <c r="DG34" s="228">
        <v>24.62</v>
      </c>
      <c r="DH34" s="228">
        <v>25.64</v>
      </c>
      <c r="DI34" s="228">
        <v>-1.02</v>
      </c>
      <c r="DJ34" s="228">
        <v>-1.02</v>
      </c>
      <c r="DK34" s="228">
        <v>27</v>
      </c>
      <c r="DL34" s="228">
        <v>27.8</v>
      </c>
      <c r="DM34" s="228">
        <v>-0.8</v>
      </c>
      <c r="DN34" s="228">
        <v>-0.8</v>
      </c>
      <c r="DO34" s="228">
        <v>0.73</v>
      </c>
      <c r="DP34" s="228">
        <v>0.71</v>
      </c>
      <c r="DQ34" s="228">
        <v>0.02</v>
      </c>
      <c r="DR34" s="229">
        <v>2.8199999999999999E-2</v>
      </c>
      <c r="DS34" s="231">
        <v>1250</v>
      </c>
      <c r="DT34" s="231">
        <v>1200</v>
      </c>
      <c r="DU34" s="228">
        <v>0.56000000000000005</v>
      </c>
      <c r="DV34" s="228">
        <v>0.56000000000000005</v>
      </c>
      <c r="DW34" s="228">
        <v>0</v>
      </c>
      <c r="DX34" s="229">
        <v>0</v>
      </c>
      <c r="DY34" s="229">
        <v>2.86E-2</v>
      </c>
      <c r="DZ34" s="230">
        <v>515000</v>
      </c>
      <c r="EA34" s="229">
        <v>5.0000000000000001E-3</v>
      </c>
      <c r="EB34" s="229">
        <v>2.86E-2</v>
      </c>
      <c r="EC34" s="228">
        <v>5.78</v>
      </c>
      <c r="ED34" s="229">
        <v>4.7000000000000002E-3</v>
      </c>
      <c r="EE34" s="230">
        <v>678883</v>
      </c>
      <c r="EF34" s="230">
        <v>897765</v>
      </c>
      <c r="EG34" s="229">
        <v>-0.24379999999999999</v>
      </c>
      <c r="EH34" s="229">
        <v>0.52510000000000001</v>
      </c>
      <c r="EI34" s="231">
        <v>26861.53</v>
      </c>
      <c r="EJ34" s="231">
        <v>14431.26</v>
      </c>
      <c r="EK34" s="231">
        <v>18936.12</v>
      </c>
      <c r="EL34" s="231">
        <v>3154</v>
      </c>
      <c r="EM34" s="231">
        <v>60228.91</v>
      </c>
      <c r="EN34" s="231">
        <v>97439.61</v>
      </c>
      <c r="EO34" s="231">
        <v>-37210.699999999997</v>
      </c>
      <c r="EP34" s="229">
        <v>-0.38190000000000002</v>
      </c>
      <c r="EQ34" s="231">
        <v>28566</v>
      </c>
      <c r="ER34" s="231">
        <v>19662</v>
      </c>
      <c r="ES34" s="231">
        <v>224216</v>
      </c>
      <c r="ET34" s="231">
        <v>71801274</v>
      </c>
      <c r="EU34" s="231">
        <v>272444</v>
      </c>
      <c r="EV34" s="231">
        <v>272876</v>
      </c>
      <c r="EW34" s="228">
        <v>-432</v>
      </c>
      <c r="EX34" s="229">
        <v>-1.6000000000000001E-3</v>
      </c>
      <c r="EY34" s="229">
        <v>0.30869999999999997</v>
      </c>
    </row>
    <row r="35" spans="1:155" ht="17.25" thickBot="1" x14ac:dyDescent="0.3">
      <c r="A35" s="226">
        <v>46121</v>
      </c>
      <c r="B35" s="227" t="s">
        <v>161</v>
      </c>
      <c r="C35" s="227" t="s">
        <v>268</v>
      </c>
      <c r="D35" s="228">
        <v>380.05</v>
      </c>
      <c r="E35" s="228">
        <v>375.9</v>
      </c>
      <c r="F35" s="228">
        <v>4.1500000000000004</v>
      </c>
      <c r="G35" s="229">
        <v>1.0999999999999999E-2</v>
      </c>
      <c r="H35" s="228">
        <v>378.65</v>
      </c>
      <c r="I35" s="228">
        <v>374.15</v>
      </c>
      <c r="J35" s="228">
        <v>4.5</v>
      </c>
      <c r="K35" s="229">
        <v>1.2E-2</v>
      </c>
      <c r="L35" s="228">
        <v>380.05</v>
      </c>
      <c r="M35" s="228">
        <v>375.9</v>
      </c>
      <c r="N35" s="228">
        <v>4.1500000000000004</v>
      </c>
      <c r="O35" s="229">
        <v>1.0999999999999999E-2</v>
      </c>
      <c r="P35" s="228">
        <v>382.45</v>
      </c>
      <c r="Q35" s="228">
        <v>377.95</v>
      </c>
      <c r="R35" s="228">
        <v>4.5</v>
      </c>
      <c r="S35" s="229">
        <v>1.1900000000000001E-2</v>
      </c>
      <c r="T35" s="228">
        <v>384.35</v>
      </c>
      <c r="U35" s="228">
        <v>380.05</v>
      </c>
      <c r="V35" s="228">
        <v>4.3</v>
      </c>
      <c r="W35" s="229">
        <v>1.1299999999999999E-2</v>
      </c>
      <c r="X35" s="228">
        <v>1.4</v>
      </c>
      <c r="Y35" s="228">
        <v>1.75</v>
      </c>
      <c r="Z35" s="228">
        <v>-0.35</v>
      </c>
      <c r="AA35" s="229">
        <v>3.7000000000000002E-3</v>
      </c>
      <c r="AB35" s="228">
        <v>1.4</v>
      </c>
      <c r="AC35" s="228">
        <v>1.75</v>
      </c>
      <c r="AD35" s="228">
        <v>-0.35</v>
      </c>
      <c r="AE35" s="229">
        <v>3.7000000000000002E-3</v>
      </c>
      <c r="AF35" s="228">
        <v>3.8</v>
      </c>
      <c r="AG35" s="228">
        <v>3.8</v>
      </c>
      <c r="AH35" s="228">
        <v>0</v>
      </c>
      <c r="AI35" s="229">
        <v>0.01</v>
      </c>
      <c r="AJ35" s="228">
        <v>5.7</v>
      </c>
      <c r="AK35" s="228">
        <v>5.9</v>
      </c>
      <c r="AL35" s="228">
        <v>-0.2</v>
      </c>
      <c r="AM35" s="229">
        <v>1.5100000000000001E-2</v>
      </c>
      <c r="AN35" s="228">
        <v>381.54</v>
      </c>
      <c r="AO35" s="228">
        <v>383.95</v>
      </c>
      <c r="AP35" s="228">
        <v>0</v>
      </c>
      <c r="AQ35" s="230">
        <v>7990</v>
      </c>
      <c r="AR35" s="230">
        <v>9792</v>
      </c>
      <c r="AS35" s="230">
        <v>-1802</v>
      </c>
      <c r="AT35" s="229">
        <v>-0.184</v>
      </c>
      <c r="AU35" s="230">
        <v>7455</v>
      </c>
      <c r="AV35" s="230">
        <v>8823</v>
      </c>
      <c r="AW35" s="230">
        <v>-1368</v>
      </c>
      <c r="AX35" s="229">
        <v>-0.155</v>
      </c>
      <c r="AY35" s="228">
        <v>481</v>
      </c>
      <c r="AZ35" s="228">
        <v>852</v>
      </c>
      <c r="BA35" s="228">
        <v>-371</v>
      </c>
      <c r="BB35" s="229">
        <v>-0.43540000000000001</v>
      </c>
      <c r="BC35" s="228">
        <v>54</v>
      </c>
      <c r="BD35" s="228">
        <v>117</v>
      </c>
      <c r="BE35" s="228">
        <v>-63</v>
      </c>
      <c r="BF35" s="229">
        <v>-0.53849999999999998</v>
      </c>
      <c r="BG35" s="230">
        <v>68868</v>
      </c>
      <c r="BH35" s="230">
        <v>33508</v>
      </c>
      <c r="BI35" s="230">
        <v>35360</v>
      </c>
      <c r="BJ35" s="229">
        <v>1.0552999999999999</v>
      </c>
      <c r="BK35" s="230">
        <v>21630</v>
      </c>
      <c r="BL35" s="230">
        <v>11919</v>
      </c>
      <c r="BM35" s="230">
        <v>9711</v>
      </c>
      <c r="BN35" s="229">
        <v>0.81469999999999998</v>
      </c>
      <c r="BO35" s="230">
        <v>98488</v>
      </c>
      <c r="BP35" s="230">
        <v>55219</v>
      </c>
      <c r="BQ35" s="230">
        <v>43269</v>
      </c>
      <c r="BR35" s="229">
        <v>0.78359999999999996</v>
      </c>
      <c r="BS35" s="230">
        <v>20079165</v>
      </c>
      <c r="BT35" s="230">
        <v>21647657</v>
      </c>
      <c r="BU35" s="230">
        <v>-1568492</v>
      </c>
      <c r="BV35" s="229">
        <v>-7.2499999999999995E-2</v>
      </c>
      <c r="BW35" s="230">
        <v>87567000</v>
      </c>
      <c r="BX35" s="230">
        <v>86233500</v>
      </c>
      <c r="BY35" s="230">
        <v>1333500</v>
      </c>
      <c r="BZ35" s="229">
        <v>1.55E-2</v>
      </c>
      <c r="CA35" s="230">
        <v>77679000</v>
      </c>
      <c r="CB35" s="230">
        <v>76506000</v>
      </c>
      <c r="CC35" s="230">
        <v>1173000</v>
      </c>
      <c r="CD35" s="229">
        <v>1.5299999999999999E-2</v>
      </c>
      <c r="CE35" s="230">
        <v>8125500</v>
      </c>
      <c r="CF35" s="230">
        <v>7984500</v>
      </c>
      <c r="CG35" s="230">
        <v>141000</v>
      </c>
      <c r="CH35" s="229">
        <v>1.77E-2</v>
      </c>
      <c r="CI35" s="230">
        <v>1762500</v>
      </c>
      <c r="CJ35" s="230">
        <v>1743000</v>
      </c>
      <c r="CK35" s="230">
        <v>19500</v>
      </c>
      <c r="CL35" s="229">
        <v>1.12E-2</v>
      </c>
      <c r="CM35" s="230">
        <v>36079500</v>
      </c>
      <c r="CN35" s="230">
        <v>30117000</v>
      </c>
      <c r="CO35" s="230">
        <v>5962500</v>
      </c>
      <c r="CP35" s="229">
        <v>0.19800000000000001</v>
      </c>
      <c r="CQ35" s="230">
        <v>17544000</v>
      </c>
      <c r="CR35" s="230">
        <v>15880500</v>
      </c>
      <c r="CS35" s="230">
        <v>1663500</v>
      </c>
      <c r="CT35" s="229">
        <v>0.1048</v>
      </c>
      <c r="CU35" s="230">
        <v>141190500</v>
      </c>
      <c r="CV35" s="230">
        <v>132231000</v>
      </c>
      <c r="CW35" s="230">
        <v>8959500</v>
      </c>
      <c r="CX35" s="229">
        <v>6.7799999999999999E-2</v>
      </c>
      <c r="CY35" s="228">
        <v>22.24</v>
      </c>
      <c r="CZ35" s="228">
        <v>22.74</v>
      </c>
      <c r="DA35" s="228">
        <v>-0.5</v>
      </c>
      <c r="DB35" s="228">
        <v>-0.5</v>
      </c>
      <c r="DC35" s="228">
        <v>27.57</v>
      </c>
      <c r="DD35" s="228">
        <v>27.59</v>
      </c>
      <c r="DE35" s="228">
        <v>-5.33</v>
      </c>
      <c r="DF35" s="228">
        <v>-0.02</v>
      </c>
      <c r="DG35" s="228">
        <v>21.84</v>
      </c>
      <c r="DH35" s="228">
        <v>22.28</v>
      </c>
      <c r="DI35" s="228">
        <v>-0.44</v>
      </c>
      <c r="DJ35" s="228">
        <v>-0.44</v>
      </c>
      <c r="DK35" s="228">
        <v>23.5</v>
      </c>
      <c r="DL35" s="228">
        <v>24.05</v>
      </c>
      <c r="DM35" s="228">
        <v>-0.55000000000000004</v>
      </c>
      <c r="DN35" s="228">
        <v>-0.55000000000000004</v>
      </c>
      <c r="DO35" s="228">
        <v>0.49</v>
      </c>
      <c r="DP35" s="228">
        <v>0.53</v>
      </c>
      <c r="DQ35" s="228">
        <v>-0.04</v>
      </c>
      <c r="DR35" s="229">
        <v>-7.5499999999999998E-2</v>
      </c>
      <c r="DS35" s="228">
        <v>400</v>
      </c>
      <c r="DT35" s="228">
        <v>380</v>
      </c>
      <c r="DU35" s="228">
        <v>0.31</v>
      </c>
      <c r="DV35" s="228">
        <v>0.36</v>
      </c>
      <c r="DW35" s="228">
        <v>-0.05</v>
      </c>
      <c r="DX35" s="229">
        <v>-0.1389</v>
      </c>
      <c r="DY35" s="229">
        <v>0.1129</v>
      </c>
      <c r="DZ35" s="230">
        <v>9727500</v>
      </c>
      <c r="EA35" s="229">
        <v>6.3E-3</v>
      </c>
      <c r="EB35" s="229">
        <v>0.1129</v>
      </c>
      <c r="EC35" s="228">
        <v>2.41</v>
      </c>
      <c r="ED35" s="229">
        <v>6.3E-3</v>
      </c>
      <c r="EE35" s="230">
        <v>10195397</v>
      </c>
      <c r="EF35" s="230">
        <v>13693062</v>
      </c>
      <c r="EG35" s="229">
        <v>-0.25540000000000002</v>
      </c>
      <c r="EH35" s="229">
        <v>0.50780000000000003</v>
      </c>
      <c r="EI35" s="231">
        <v>407768.39</v>
      </c>
      <c r="EJ35" s="231">
        <v>121852.15</v>
      </c>
      <c r="EK35" s="231">
        <v>45748.34</v>
      </c>
      <c r="EL35" s="231">
        <v>9144</v>
      </c>
      <c r="EM35" s="231">
        <v>575368.88</v>
      </c>
      <c r="EN35" s="231">
        <v>316602.15999999997</v>
      </c>
      <c r="EO35" s="231">
        <v>258766.72</v>
      </c>
      <c r="EP35" s="229">
        <v>0.81730000000000003</v>
      </c>
      <c r="EQ35" s="231">
        <v>138994</v>
      </c>
      <c r="ER35" s="231">
        <v>63467</v>
      </c>
      <c r="ES35" s="231">
        <v>333069</v>
      </c>
      <c r="ET35" s="231">
        <v>550512361</v>
      </c>
      <c r="EU35" s="231">
        <v>535530</v>
      </c>
      <c r="EV35" s="231">
        <v>497291</v>
      </c>
      <c r="EW35" s="231">
        <v>38239</v>
      </c>
      <c r="EX35" s="229">
        <v>7.6899999999999996E-2</v>
      </c>
      <c r="EY35" s="229">
        <v>0.25650000000000001</v>
      </c>
    </row>
    <row r="36" spans="1:155" ht="17.25" thickBot="1" x14ac:dyDescent="0.3">
      <c r="A36" s="226">
        <v>46121</v>
      </c>
      <c r="B36" s="227" t="s">
        <v>193</v>
      </c>
      <c r="C36" s="227" t="s">
        <v>269</v>
      </c>
      <c r="D36" s="228">
        <v>289.89999999999998</v>
      </c>
      <c r="E36" s="228">
        <v>287.05</v>
      </c>
      <c r="F36" s="228">
        <v>2.85</v>
      </c>
      <c r="G36" s="229">
        <v>9.9000000000000008E-3</v>
      </c>
      <c r="H36" s="228">
        <v>288.60000000000002</v>
      </c>
      <c r="I36" s="228">
        <v>285.5</v>
      </c>
      <c r="J36" s="228">
        <v>3.1</v>
      </c>
      <c r="K36" s="229">
        <v>1.09E-2</v>
      </c>
      <c r="L36" s="228">
        <v>289.89999999999998</v>
      </c>
      <c r="M36" s="228">
        <v>287.05</v>
      </c>
      <c r="N36" s="228">
        <v>2.85</v>
      </c>
      <c r="O36" s="229">
        <v>9.9000000000000008E-3</v>
      </c>
      <c r="P36" s="228">
        <v>291.5</v>
      </c>
      <c r="Q36" s="228">
        <v>288.64999999999998</v>
      </c>
      <c r="R36" s="228">
        <v>2.85</v>
      </c>
      <c r="S36" s="229">
        <v>9.9000000000000008E-3</v>
      </c>
      <c r="T36" s="228">
        <v>293.55</v>
      </c>
      <c r="U36" s="228">
        <v>290.14999999999998</v>
      </c>
      <c r="V36" s="228">
        <v>3.4</v>
      </c>
      <c r="W36" s="229">
        <v>1.17E-2</v>
      </c>
      <c r="X36" s="228">
        <v>1.3</v>
      </c>
      <c r="Y36" s="228">
        <v>1.55</v>
      </c>
      <c r="Z36" s="228">
        <v>-0.25</v>
      </c>
      <c r="AA36" s="229">
        <v>4.4999999999999997E-3</v>
      </c>
      <c r="AB36" s="228">
        <v>1.3</v>
      </c>
      <c r="AC36" s="228">
        <v>1.55</v>
      </c>
      <c r="AD36" s="228">
        <v>-0.25</v>
      </c>
      <c r="AE36" s="229">
        <v>4.4999999999999997E-3</v>
      </c>
      <c r="AF36" s="228">
        <v>2.9</v>
      </c>
      <c r="AG36" s="228">
        <v>3.15</v>
      </c>
      <c r="AH36" s="228">
        <v>-0.25</v>
      </c>
      <c r="AI36" s="229">
        <v>0.01</v>
      </c>
      <c r="AJ36" s="228">
        <v>4.95</v>
      </c>
      <c r="AK36" s="228">
        <v>4.6500000000000004</v>
      </c>
      <c r="AL36" s="228">
        <v>0.3</v>
      </c>
      <c r="AM36" s="229">
        <v>1.72E-2</v>
      </c>
      <c r="AN36" s="228">
        <v>289.44</v>
      </c>
      <c r="AO36" s="228">
        <v>290.69</v>
      </c>
      <c r="AP36" s="228">
        <v>0</v>
      </c>
      <c r="AQ36" s="230">
        <v>4418</v>
      </c>
      <c r="AR36" s="230">
        <v>15875</v>
      </c>
      <c r="AS36" s="230">
        <v>-11457</v>
      </c>
      <c r="AT36" s="229">
        <v>-0.72170000000000001</v>
      </c>
      <c r="AU36" s="230">
        <v>4016</v>
      </c>
      <c r="AV36" s="230">
        <v>15130</v>
      </c>
      <c r="AW36" s="230">
        <v>-11114</v>
      </c>
      <c r="AX36" s="229">
        <v>-0.73460000000000003</v>
      </c>
      <c r="AY36" s="228">
        <v>362</v>
      </c>
      <c r="AZ36" s="228">
        <v>627</v>
      </c>
      <c r="BA36" s="228">
        <v>-265</v>
      </c>
      <c r="BB36" s="229">
        <v>-0.42259999999999998</v>
      </c>
      <c r="BC36" s="228">
        <v>40</v>
      </c>
      <c r="BD36" s="228">
        <v>118</v>
      </c>
      <c r="BE36" s="228">
        <v>-78</v>
      </c>
      <c r="BF36" s="229">
        <v>-0.66100000000000003</v>
      </c>
      <c r="BG36" s="230">
        <v>29754</v>
      </c>
      <c r="BH36" s="230">
        <v>53430</v>
      </c>
      <c r="BI36" s="230">
        <v>-23676</v>
      </c>
      <c r="BJ36" s="229">
        <v>-0.44309999999999999</v>
      </c>
      <c r="BK36" s="230">
        <v>10646</v>
      </c>
      <c r="BL36" s="230">
        <v>33738</v>
      </c>
      <c r="BM36" s="230">
        <v>-23092</v>
      </c>
      <c r="BN36" s="229">
        <v>-0.6845</v>
      </c>
      <c r="BO36" s="230">
        <v>44818</v>
      </c>
      <c r="BP36" s="230">
        <v>103043</v>
      </c>
      <c r="BQ36" s="230">
        <v>-58225</v>
      </c>
      <c r="BR36" s="229">
        <v>-0.56510000000000005</v>
      </c>
      <c r="BS36" s="230">
        <v>15213183</v>
      </c>
      <c r="BT36" s="230">
        <v>43849736</v>
      </c>
      <c r="BU36" s="230">
        <v>-28636553</v>
      </c>
      <c r="BV36" s="229">
        <v>-0.65310000000000001</v>
      </c>
      <c r="BW36" s="230">
        <v>96448500</v>
      </c>
      <c r="BX36" s="230">
        <v>96482250</v>
      </c>
      <c r="BY36" s="230">
        <v>-33750</v>
      </c>
      <c r="BZ36" s="229">
        <v>-2.9999999999999997E-4</v>
      </c>
      <c r="CA36" s="230">
        <v>94239000</v>
      </c>
      <c r="CB36" s="230">
        <v>94356000</v>
      </c>
      <c r="CC36" s="230">
        <v>-117000</v>
      </c>
      <c r="CD36" s="229">
        <v>-1.1999999999999999E-3</v>
      </c>
      <c r="CE36" s="230">
        <v>1777500</v>
      </c>
      <c r="CF36" s="230">
        <v>1698750</v>
      </c>
      <c r="CG36" s="230">
        <v>78750</v>
      </c>
      <c r="CH36" s="229">
        <v>4.6399999999999997E-2</v>
      </c>
      <c r="CI36" s="230">
        <v>432000</v>
      </c>
      <c r="CJ36" s="230">
        <v>427500</v>
      </c>
      <c r="CK36" s="230">
        <v>4500</v>
      </c>
      <c r="CL36" s="229">
        <v>1.0500000000000001E-2</v>
      </c>
      <c r="CM36" s="230">
        <v>67007250</v>
      </c>
      <c r="CN36" s="230">
        <v>67608000</v>
      </c>
      <c r="CO36" s="230">
        <v>-600750</v>
      </c>
      <c r="CP36" s="229">
        <v>-8.8999999999999999E-3</v>
      </c>
      <c r="CQ36" s="230">
        <v>36092250</v>
      </c>
      <c r="CR36" s="230">
        <v>34499250</v>
      </c>
      <c r="CS36" s="230">
        <v>1593000</v>
      </c>
      <c r="CT36" s="229">
        <v>4.6199999999999998E-2</v>
      </c>
      <c r="CU36" s="230">
        <v>199548000</v>
      </c>
      <c r="CV36" s="230">
        <v>198589500</v>
      </c>
      <c r="CW36" s="230">
        <v>958500</v>
      </c>
      <c r="CX36" s="229">
        <v>4.7999999999999996E-3</v>
      </c>
      <c r="CY36" s="228">
        <v>29.14</v>
      </c>
      <c r="CZ36" s="228">
        <v>29.39</v>
      </c>
      <c r="DA36" s="228">
        <v>-0.25</v>
      </c>
      <c r="DB36" s="228">
        <v>-0.25</v>
      </c>
      <c r="DC36" s="228">
        <v>32.03</v>
      </c>
      <c r="DD36" s="228">
        <v>32.07</v>
      </c>
      <c r="DE36" s="228">
        <v>-2.89</v>
      </c>
      <c r="DF36" s="228">
        <v>-0.04</v>
      </c>
      <c r="DG36" s="228">
        <v>28.77</v>
      </c>
      <c r="DH36" s="228">
        <v>28.62</v>
      </c>
      <c r="DI36" s="228">
        <v>0.15</v>
      </c>
      <c r="DJ36" s="228">
        <v>0.15</v>
      </c>
      <c r="DK36" s="228">
        <v>30.15</v>
      </c>
      <c r="DL36" s="228">
        <v>30.61</v>
      </c>
      <c r="DM36" s="228">
        <v>-0.46</v>
      </c>
      <c r="DN36" s="228">
        <v>-0.46</v>
      </c>
      <c r="DO36" s="228">
        <v>0.54</v>
      </c>
      <c r="DP36" s="228">
        <v>0.51</v>
      </c>
      <c r="DQ36" s="228">
        <v>0.03</v>
      </c>
      <c r="DR36" s="229">
        <v>5.8799999999999998E-2</v>
      </c>
      <c r="DS36" s="228">
        <v>293</v>
      </c>
      <c r="DT36" s="228">
        <v>270</v>
      </c>
      <c r="DU36" s="228">
        <v>0.36</v>
      </c>
      <c r="DV36" s="228">
        <v>0.63</v>
      </c>
      <c r="DW36" s="228">
        <v>-0.27</v>
      </c>
      <c r="DX36" s="229">
        <v>-0.42859999999999998</v>
      </c>
      <c r="DY36" s="229">
        <v>2.29E-2</v>
      </c>
      <c r="DZ36" s="230">
        <v>2126250</v>
      </c>
      <c r="EA36" s="229">
        <v>5.4999999999999997E-3</v>
      </c>
      <c r="EB36" s="229">
        <v>2.29E-2</v>
      </c>
      <c r="EC36" s="228">
        <v>1.25</v>
      </c>
      <c r="ED36" s="229">
        <v>4.3E-3</v>
      </c>
      <c r="EE36" s="230">
        <v>6882327</v>
      </c>
      <c r="EF36" s="230">
        <v>17355922</v>
      </c>
      <c r="EG36" s="229">
        <v>-0.60350000000000004</v>
      </c>
      <c r="EH36" s="229">
        <v>0.45240000000000002</v>
      </c>
      <c r="EI36" s="231">
        <v>203806.04</v>
      </c>
      <c r="EJ36" s="231">
        <v>68015.61</v>
      </c>
      <c r="EK36" s="231">
        <v>28784.44</v>
      </c>
      <c r="EL36" s="231">
        <v>8954</v>
      </c>
      <c r="EM36" s="231">
        <v>300606.09000000003</v>
      </c>
      <c r="EN36" s="231">
        <v>673546.21</v>
      </c>
      <c r="EO36" s="231">
        <v>-372940.12</v>
      </c>
      <c r="EP36" s="229">
        <v>-0.55369999999999997</v>
      </c>
      <c r="EQ36" s="231">
        <v>198801</v>
      </c>
      <c r="ER36" s="231">
        <v>98396</v>
      </c>
      <c r="ES36" s="231">
        <v>279648</v>
      </c>
      <c r="ET36" s="231">
        <v>711370982</v>
      </c>
      <c r="EU36" s="231">
        <v>576845</v>
      </c>
      <c r="EV36" s="231">
        <v>571743</v>
      </c>
      <c r="EW36" s="231">
        <v>5102</v>
      </c>
      <c r="EX36" s="229">
        <v>8.8999999999999999E-3</v>
      </c>
      <c r="EY36" s="229">
        <v>0.28050000000000003</v>
      </c>
    </row>
    <row r="37" spans="1:155" ht="17.25" thickBot="1" x14ac:dyDescent="0.3">
      <c r="A37" s="226">
        <v>46121</v>
      </c>
      <c r="B37" s="227" t="s">
        <v>161</v>
      </c>
      <c r="C37" s="227" t="s">
        <v>276</v>
      </c>
      <c r="D37" s="228">
        <v>299.45</v>
      </c>
      <c r="E37" s="228">
        <v>295.8</v>
      </c>
      <c r="F37" s="228">
        <v>3.65</v>
      </c>
      <c r="G37" s="229">
        <v>1.23E-2</v>
      </c>
      <c r="H37" s="228">
        <v>298.10000000000002</v>
      </c>
      <c r="I37" s="228">
        <v>294.85000000000002</v>
      </c>
      <c r="J37" s="228">
        <v>3.25</v>
      </c>
      <c r="K37" s="229">
        <v>1.0999999999999999E-2</v>
      </c>
      <c r="L37" s="228">
        <v>299.45</v>
      </c>
      <c r="M37" s="228">
        <v>295.8</v>
      </c>
      <c r="N37" s="228">
        <v>3.65</v>
      </c>
      <c r="O37" s="229">
        <v>1.23E-2</v>
      </c>
      <c r="P37" s="228">
        <v>301.10000000000002</v>
      </c>
      <c r="Q37" s="228">
        <v>297.75</v>
      </c>
      <c r="R37" s="228">
        <v>3.35</v>
      </c>
      <c r="S37" s="229">
        <v>1.1299999999999999E-2</v>
      </c>
      <c r="T37" s="228">
        <v>302.89999999999998</v>
      </c>
      <c r="U37" s="228">
        <v>299.7</v>
      </c>
      <c r="V37" s="228">
        <v>3.2</v>
      </c>
      <c r="W37" s="229">
        <v>1.0699999999999999E-2</v>
      </c>
      <c r="X37" s="228">
        <v>1.35</v>
      </c>
      <c r="Y37" s="228">
        <v>0.95</v>
      </c>
      <c r="Z37" s="228">
        <v>0.4</v>
      </c>
      <c r="AA37" s="229">
        <v>4.4999999999999997E-3</v>
      </c>
      <c r="AB37" s="228">
        <v>1.35</v>
      </c>
      <c r="AC37" s="228">
        <v>0.95</v>
      </c>
      <c r="AD37" s="228">
        <v>0.4</v>
      </c>
      <c r="AE37" s="229">
        <v>4.4999999999999997E-3</v>
      </c>
      <c r="AF37" s="228">
        <v>3</v>
      </c>
      <c r="AG37" s="228">
        <v>2.9</v>
      </c>
      <c r="AH37" s="228">
        <v>0.1</v>
      </c>
      <c r="AI37" s="229">
        <v>1.01E-2</v>
      </c>
      <c r="AJ37" s="228">
        <v>4.8</v>
      </c>
      <c r="AK37" s="228">
        <v>4.8499999999999996</v>
      </c>
      <c r="AL37" s="228">
        <v>-0.05</v>
      </c>
      <c r="AM37" s="229">
        <v>1.61E-2</v>
      </c>
      <c r="AN37" s="228">
        <v>299.3</v>
      </c>
      <c r="AO37" s="228">
        <v>301.08999999999997</v>
      </c>
      <c r="AP37" s="228">
        <v>0</v>
      </c>
      <c r="AQ37" s="230">
        <v>4558</v>
      </c>
      <c r="AR37" s="230">
        <v>5852</v>
      </c>
      <c r="AS37" s="230">
        <v>-1294</v>
      </c>
      <c r="AT37" s="229">
        <v>-0.22109999999999999</v>
      </c>
      <c r="AU37" s="230">
        <v>3964</v>
      </c>
      <c r="AV37" s="230">
        <v>5428</v>
      </c>
      <c r="AW37" s="230">
        <v>-1464</v>
      </c>
      <c r="AX37" s="229">
        <v>-0.2697</v>
      </c>
      <c r="AY37" s="228">
        <v>535</v>
      </c>
      <c r="AZ37" s="228">
        <v>382</v>
      </c>
      <c r="BA37" s="228">
        <v>153</v>
      </c>
      <c r="BB37" s="229">
        <v>0.40050000000000002</v>
      </c>
      <c r="BC37" s="228">
        <v>59</v>
      </c>
      <c r="BD37" s="228">
        <v>42</v>
      </c>
      <c r="BE37" s="228">
        <v>17</v>
      </c>
      <c r="BF37" s="229">
        <v>0.40479999999999999</v>
      </c>
      <c r="BG37" s="230">
        <v>23316</v>
      </c>
      <c r="BH37" s="230">
        <v>16302</v>
      </c>
      <c r="BI37" s="230">
        <v>7014</v>
      </c>
      <c r="BJ37" s="229">
        <v>0.43030000000000002</v>
      </c>
      <c r="BK37" s="230">
        <v>6172</v>
      </c>
      <c r="BL37" s="230">
        <v>6229</v>
      </c>
      <c r="BM37" s="228">
        <v>-57</v>
      </c>
      <c r="BN37" s="229">
        <v>-9.1999999999999998E-3</v>
      </c>
      <c r="BO37" s="230">
        <v>34046</v>
      </c>
      <c r="BP37" s="230">
        <v>28383</v>
      </c>
      <c r="BQ37" s="230">
        <v>5663</v>
      </c>
      <c r="BR37" s="229">
        <v>0.19950000000000001</v>
      </c>
      <c r="BS37" s="230">
        <v>18598978</v>
      </c>
      <c r="BT37" s="230">
        <v>11269840</v>
      </c>
      <c r="BU37" s="230">
        <v>7329138</v>
      </c>
      <c r="BV37" s="229">
        <v>0.65029999999999999</v>
      </c>
      <c r="BW37" s="230">
        <v>79325000</v>
      </c>
      <c r="BX37" s="230">
        <v>78960200</v>
      </c>
      <c r="BY37" s="230">
        <v>364800</v>
      </c>
      <c r="BZ37" s="229">
        <v>4.5999999999999999E-3</v>
      </c>
      <c r="CA37" s="230">
        <v>74485700</v>
      </c>
      <c r="CB37" s="230">
        <v>74632000</v>
      </c>
      <c r="CC37" s="230">
        <v>-146300</v>
      </c>
      <c r="CD37" s="229">
        <v>-2E-3</v>
      </c>
      <c r="CE37" s="230">
        <v>4227500</v>
      </c>
      <c r="CF37" s="230">
        <v>3710700</v>
      </c>
      <c r="CG37" s="230">
        <v>516800</v>
      </c>
      <c r="CH37" s="229">
        <v>0.13930000000000001</v>
      </c>
      <c r="CI37" s="230">
        <v>611800</v>
      </c>
      <c r="CJ37" s="230">
        <v>617500</v>
      </c>
      <c r="CK37" s="230">
        <v>-5700</v>
      </c>
      <c r="CL37" s="229">
        <v>-9.1999999999999998E-3</v>
      </c>
      <c r="CM37" s="230">
        <v>29833800</v>
      </c>
      <c r="CN37" s="230">
        <v>31427900</v>
      </c>
      <c r="CO37" s="230">
        <v>-1594100</v>
      </c>
      <c r="CP37" s="229">
        <v>-5.0700000000000002E-2</v>
      </c>
      <c r="CQ37" s="230">
        <v>15089800</v>
      </c>
      <c r="CR37" s="230">
        <v>14656600</v>
      </c>
      <c r="CS37" s="230">
        <v>433200</v>
      </c>
      <c r="CT37" s="229">
        <v>2.9600000000000001E-2</v>
      </c>
      <c r="CU37" s="230">
        <v>124248600</v>
      </c>
      <c r="CV37" s="230">
        <v>125044700</v>
      </c>
      <c r="CW37" s="230">
        <v>-796100</v>
      </c>
      <c r="CX37" s="229">
        <v>-6.4000000000000003E-3</v>
      </c>
      <c r="CY37" s="228">
        <v>26.52</v>
      </c>
      <c r="CZ37" s="228">
        <v>26.45</v>
      </c>
      <c r="DA37" s="228">
        <v>7.0000000000000007E-2</v>
      </c>
      <c r="DB37" s="228">
        <v>7.0000000000000007E-2</v>
      </c>
      <c r="DC37" s="228">
        <v>28.69</v>
      </c>
      <c r="DD37" s="228">
        <v>28.73</v>
      </c>
      <c r="DE37" s="228">
        <v>-2.17</v>
      </c>
      <c r="DF37" s="228">
        <v>-0.04</v>
      </c>
      <c r="DG37" s="228">
        <v>26.35</v>
      </c>
      <c r="DH37" s="228">
        <v>26.24</v>
      </c>
      <c r="DI37" s="228">
        <v>0.11</v>
      </c>
      <c r="DJ37" s="228">
        <v>0.11</v>
      </c>
      <c r="DK37" s="228">
        <v>27.15</v>
      </c>
      <c r="DL37" s="228">
        <v>26.99</v>
      </c>
      <c r="DM37" s="228">
        <v>0.16</v>
      </c>
      <c r="DN37" s="228">
        <v>0.16</v>
      </c>
      <c r="DO37" s="228">
        <v>0.51</v>
      </c>
      <c r="DP37" s="228">
        <v>0.47</v>
      </c>
      <c r="DQ37" s="228">
        <v>0.04</v>
      </c>
      <c r="DR37" s="229">
        <v>8.5099999999999995E-2</v>
      </c>
      <c r="DS37" s="228">
        <v>320</v>
      </c>
      <c r="DT37" s="228">
        <v>300</v>
      </c>
      <c r="DU37" s="228">
        <v>0.26</v>
      </c>
      <c r="DV37" s="228">
        <v>0.38</v>
      </c>
      <c r="DW37" s="228">
        <v>-0.12</v>
      </c>
      <c r="DX37" s="229">
        <v>-0.31580000000000003</v>
      </c>
      <c r="DY37" s="229">
        <v>6.0999999999999999E-2</v>
      </c>
      <c r="DZ37" s="230">
        <v>4328200</v>
      </c>
      <c r="EA37" s="229">
        <v>5.4999999999999997E-3</v>
      </c>
      <c r="EB37" s="229">
        <v>6.0999999999999999E-2</v>
      </c>
      <c r="EC37" s="228">
        <v>1.79</v>
      </c>
      <c r="ED37" s="229">
        <v>6.0000000000000001E-3</v>
      </c>
      <c r="EE37" s="230">
        <v>11127765</v>
      </c>
      <c r="EF37" s="230">
        <v>6161419</v>
      </c>
      <c r="EG37" s="229">
        <v>0.80600000000000005</v>
      </c>
      <c r="EH37" s="229">
        <v>0.59830000000000005</v>
      </c>
      <c r="EI37" s="231">
        <v>138088.41</v>
      </c>
      <c r="EJ37" s="231">
        <v>34810.07</v>
      </c>
      <c r="EK37" s="231">
        <v>25942.06</v>
      </c>
      <c r="EL37" s="231">
        <v>5129</v>
      </c>
      <c r="EM37" s="231">
        <v>198840.54</v>
      </c>
      <c r="EN37" s="231">
        <v>164120.35</v>
      </c>
      <c r="EO37" s="231">
        <v>34720.19</v>
      </c>
      <c r="EP37" s="229">
        <v>0.21160000000000001</v>
      </c>
      <c r="EQ37" s="231">
        <v>92570</v>
      </c>
      <c r="ER37" s="231">
        <v>43213</v>
      </c>
      <c r="ES37" s="231">
        <v>237630</v>
      </c>
      <c r="ET37" s="231">
        <v>660840864</v>
      </c>
      <c r="EU37" s="231">
        <v>373413</v>
      </c>
      <c r="EV37" s="231">
        <v>372932</v>
      </c>
      <c r="EW37" s="228">
        <v>481</v>
      </c>
      <c r="EX37" s="229">
        <v>1.2999999999999999E-3</v>
      </c>
      <c r="EY37" s="229">
        <v>0.188</v>
      </c>
    </row>
    <row r="38" spans="1:155" ht="17.25" thickBot="1" x14ac:dyDescent="0.3">
      <c r="A38" s="226">
        <v>46121</v>
      </c>
      <c r="B38" s="227" t="s">
        <v>193</v>
      </c>
      <c r="C38" s="227" t="s">
        <v>281</v>
      </c>
      <c r="D38" s="231">
        <v>1335.7</v>
      </c>
      <c r="E38" s="231">
        <v>1351</v>
      </c>
      <c r="F38" s="228">
        <v>-15.3</v>
      </c>
      <c r="G38" s="229">
        <v>-1.1299999999999999E-2</v>
      </c>
      <c r="H38" s="231">
        <v>1330</v>
      </c>
      <c r="I38" s="231">
        <v>1347.8</v>
      </c>
      <c r="J38" s="228">
        <v>-17.8</v>
      </c>
      <c r="K38" s="229">
        <v>-1.32E-2</v>
      </c>
      <c r="L38" s="231">
        <v>1335.7</v>
      </c>
      <c r="M38" s="231">
        <v>1351</v>
      </c>
      <c r="N38" s="228">
        <v>-15.3</v>
      </c>
      <c r="O38" s="229">
        <v>-1.1299999999999999E-2</v>
      </c>
      <c r="P38" s="231">
        <v>1342.4</v>
      </c>
      <c r="Q38" s="231">
        <v>1359</v>
      </c>
      <c r="R38" s="228">
        <v>-16.600000000000001</v>
      </c>
      <c r="S38" s="229">
        <v>-1.2200000000000001E-2</v>
      </c>
      <c r="T38" s="231">
        <v>1351.8</v>
      </c>
      <c r="U38" s="231">
        <v>1367.1</v>
      </c>
      <c r="V38" s="228">
        <v>-15.3</v>
      </c>
      <c r="W38" s="229">
        <v>-1.12E-2</v>
      </c>
      <c r="X38" s="228">
        <v>5.7</v>
      </c>
      <c r="Y38" s="228">
        <v>3.2</v>
      </c>
      <c r="Z38" s="228">
        <v>2.5</v>
      </c>
      <c r="AA38" s="229">
        <v>4.3E-3</v>
      </c>
      <c r="AB38" s="228">
        <v>5.7</v>
      </c>
      <c r="AC38" s="228">
        <v>3.2</v>
      </c>
      <c r="AD38" s="228">
        <v>2.5</v>
      </c>
      <c r="AE38" s="229">
        <v>4.3E-3</v>
      </c>
      <c r="AF38" s="228">
        <v>12.4</v>
      </c>
      <c r="AG38" s="228">
        <v>11.2</v>
      </c>
      <c r="AH38" s="228">
        <v>1.2</v>
      </c>
      <c r="AI38" s="229">
        <v>9.2999999999999992E-3</v>
      </c>
      <c r="AJ38" s="228">
        <v>21.8</v>
      </c>
      <c r="AK38" s="228">
        <v>19.3</v>
      </c>
      <c r="AL38" s="228">
        <v>2.5</v>
      </c>
      <c r="AM38" s="229">
        <v>1.6400000000000001E-2</v>
      </c>
      <c r="AN38" s="231">
        <v>1340.1</v>
      </c>
      <c r="AO38" s="231">
        <v>1346.86</v>
      </c>
      <c r="AP38" s="228">
        <v>0</v>
      </c>
      <c r="AQ38" s="230">
        <v>21899</v>
      </c>
      <c r="AR38" s="230">
        <v>42284</v>
      </c>
      <c r="AS38" s="230">
        <v>-20385</v>
      </c>
      <c r="AT38" s="229">
        <v>-0.48209999999999997</v>
      </c>
      <c r="AU38" s="230">
        <v>17674</v>
      </c>
      <c r="AV38" s="230">
        <v>37133</v>
      </c>
      <c r="AW38" s="230">
        <v>-19459</v>
      </c>
      <c r="AX38" s="229">
        <v>-0.52400000000000002</v>
      </c>
      <c r="AY38" s="230">
        <v>3689</v>
      </c>
      <c r="AZ38" s="230">
        <v>4050</v>
      </c>
      <c r="BA38" s="228">
        <v>-361</v>
      </c>
      <c r="BB38" s="229">
        <v>-8.9099999999999999E-2</v>
      </c>
      <c r="BC38" s="228">
        <v>536</v>
      </c>
      <c r="BD38" s="230">
        <v>1101</v>
      </c>
      <c r="BE38" s="228">
        <v>-565</v>
      </c>
      <c r="BF38" s="229">
        <v>-0.51319999999999999</v>
      </c>
      <c r="BG38" s="230">
        <v>117739</v>
      </c>
      <c r="BH38" s="230">
        <v>282901</v>
      </c>
      <c r="BI38" s="230">
        <v>-165162</v>
      </c>
      <c r="BJ38" s="229">
        <v>-0.58379999999999999</v>
      </c>
      <c r="BK38" s="230">
        <v>72177</v>
      </c>
      <c r="BL38" s="230">
        <v>108617</v>
      </c>
      <c r="BM38" s="230">
        <v>-36440</v>
      </c>
      <c r="BN38" s="229">
        <v>-0.33550000000000002</v>
      </c>
      <c r="BO38" s="230">
        <v>211815</v>
      </c>
      <c r="BP38" s="230">
        <v>433802</v>
      </c>
      <c r="BQ38" s="230">
        <v>-221987</v>
      </c>
      <c r="BR38" s="229">
        <v>-0.51170000000000004</v>
      </c>
      <c r="BS38" s="230">
        <v>24255909</v>
      </c>
      <c r="BT38" s="230">
        <v>23760879</v>
      </c>
      <c r="BU38" s="230">
        <v>495030</v>
      </c>
      <c r="BV38" s="229">
        <v>2.0799999999999999E-2</v>
      </c>
      <c r="BW38" s="230">
        <v>93538500</v>
      </c>
      <c r="BX38" s="230">
        <v>91883500</v>
      </c>
      <c r="BY38" s="230">
        <v>1655000</v>
      </c>
      <c r="BZ38" s="229">
        <v>1.7999999999999999E-2</v>
      </c>
      <c r="CA38" s="230">
        <v>79184500</v>
      </c>
      <c r="CB38" s="230">
        <v>78542000</v>
      </c>
      <c r="CC38" s="230">
        <v>642500</v>
      </c>
      <c r="CD38" s="229">
        <v>8.2000000000000007E-3</v>
      </c>
      <c r="CE38" s="230">
        <v>12853000</v>
      </c>
      <c r="CF38" s="230">
        <v>11964500</v>
      </c>
      <c r="CG38" s="230">
        <v>888500</v>
      </c>
      <c r="CH38" s="229">
        <v>7.4300000000000005E-2</v>
      </c>
      <c r="CI38" s="230">
        <v>1501000</v>
      </c>
      <c r="CJ38" s="230">
        <v>1377000</v>
      </c>
      <c r="CK38" s="230">
        <v>124000</v>
      </c>
      <c r="CL38" s="229">
        <v>9.01E-2</v>
      </c>
      <c r="CM38" s="230">
        <v>80429500</v>
      </c>
      <c r="CN38" s="230">
        <v>79889500</v>
      </c>
      <c r="CO38" s="230">
        <v>540000</v>
      </c>
      <c r="CP38" s="229">
        <v>6.7999999999999996E-3</v>
      </c>
      <c r="CQ38" s="230">
        <v>35006500</v>
      </c>
      <c r="CR38" s="230">
        <v>34654500</v>
      </c>
      <c r="CS38" s="230">
        <v>352000</v>
      </c>
      <c r="CT38" s="229">
        <v>1.0200000000000001E-2</v>
      </c>
      <c r="CU38" s="230">
        <v>208974500</v>
      </c>
      <c r="CV38" s="230">
        <v>206427500</v>
      </c>
      <c r="CW38" s="230">
        <v>2547000</v>
      </c>
      <c r="CX38" s="229">
        <v>1.23E-2</v>
      </c>
      <c r="CY38" s="228">
        <v>24.67</v>
      </c>
      <c r="CZ38" s="228">
        <v>23.89</v>
      </c>
      <c r="DA38" s="228">
        <v>0.78</v>
      </c>
      <c r="DB38" s="228">
        <v>0.78</v>
      </c>
      <c r="DC38" s="228">
        <v>26.22</v>
      </c>
      <c r="DD38" s="228">
        <v>26.23</v>
      </c>
      <c r="DE38" s="228">
        <v>-1.55</v>
      </c>
      <c r="DF38" s="228">
        <v>-0.01</v>
      </c>
      <c r="DG38" s="228">
        <v>24.91</v>
      </c>
      <c r="DH38" s="228">
        <v>23.62</v>
      </c>
      <c r="DI38" s="228">
        <v>1.29</v>
      </c>
      <c r="DJ38" s="228">
        <v>1.29</v>
      </c>
      <c r="DK38" s="228">
        <v>24.29</v>
      </c>
      <c r="DL38" s="228">
        <v>24.57</v>
      </c>
      <c r="DM38" s="228">
        <v>-0.28000000000000003</v>
      </c>
      <c r="DN38" s="228">
        <v>-0.28000000000000003</v>
      </c>
      <c r="DO38" s="228">
        <v>0.44</v>
      </c>
      <c r="DP38" s="228">
        <v>0.43</v>
      </c>
      <c r="DQ38" s="228">
        <v>0.01</v>
      </c>
      <c r="DR38" s="229">
        <v>2.3300000000000001E-2</v>
      </c>
      <c r="DS38" s="231">
        <v>1400</v>
      </c>
      <c r="DT38" s="231">
        <v>1300</v>
      </c>
      <c r="DU38" s="228">
        <v>0.61</v>
      </c>
      <c r="DV38" s="228">
        <v>0.38</v>
      </c>
      <c r="DW38" s="228">
        <v>0.23</v>
      </c>
      <c r="DX38" s="229">
        <v>0.60529999999999995</v>
      </c>
      <c r="DY38" s="229">
        <v>0.1535</v>
      </c>
      <c r="DZ38" s="230">
        <v>13341500</v>
      </c>
      <c r="EA38" s="229">
        <v>5.0000000000000001E-3</v>
      </c>
      <c r="EB38" s="229">
        <v>0.1535</v>
      </c>
      <c r="EC38" s="228">
        <v>6.76</v>
      </c>
      <c r="ED38" s="229">
        <v>5.0000000000000001E-3</v>
      </c>
      <c r="EE38" s="230">
        <v>7995860</v>
      </c>
      <c r="EF38" s="230">
        <v>11593835</v>
      </c>
      <c r="EG38" s="229">
        <v>-0.31030000000000002</v>
      </c>
      <c r="EH38" s="229">
        <v>0.3296</v>
      </c>
      <c r="EI38" s="231">
        <v>828196.9</v>
      </c>
      <c r="EJ38" s="231">
        <v>476980.41</v>
      </c>
      <c r="EK38" s="231">
        <v>146902.09</v>
      </c>
      <c r="EL38" s="231">
        <v>38614</v>
      </c>
      <c r="EM38" s="231">
        <v>1452079.4</v>
      </c>
      <c r="EN38" s="231">
        <v>2992693.64</v>
      </c>
      <c r="EO38" s="231">
        <v>-1540614.24</v>
      </c>
      <c r="EP38" s="229">
        <v>-0.51480000000000004</v>
      </c>
      <c r="EQ38" s="231">
        <v>1126089</v>
      </c>
      <c r="ER38" s="231">
        <v>469644</v>
      </c>
      <c r="ES38" s="231">
        <v>1250497</v>
      </c>
      <c r="ET38" s="231">
        <v>664381721</v>
      </c>
      <c r="EU38" s="231">
        <v>2846230</v>
      </c>
      <c r="EV38" s="231">
        <v>2827085</v>
      </c>
      <c r="EW38" s="231">
        <v>19145</v>
      </c>
      <c r="EX38" s="229">
        <v>6.7999999999999996E-3</v>
      </c>
      <c r="EY38" s="229">
        <v>0.3145</v>
      </c>
    </row>
    <row r="39" spans="1:155" ht="17.25" thickBot="1" x14ac:dyDescent="0.3">
      <c r="A39" s="226">
        <v>46121</v>
      </c>
      <c r="B39" s="227" t="s">
        <v>175</v>
      </c>
      <c r="C39" s="227" t="s">
        <v>462</v>
      </c>
      <c r="D39" s="231">
        <v>1911.9</v>
      </c>
      <c r="E39" s="231">
        <v>1917.6</v>
      </c>
      <c r="F39" s="228">
        <v>-5.7</v>
      </c>
      <c r="G39" s="229">
        <v>-3.0000000000000001E-3</v>
      </c>
      <c r="H39" s="231">
        <v>1904</v>
      </c>
      <c r="I39" s="231">
        <v>1907.6</v>
      </c>
      <c r="J39" s="228">
        <v>-3.6</v>
      </c>
      <c r="K39" s="229">
        <v>-1.9E-3</v>
      </c>
      <c r="L39" s="231">
        <v>1911.9</v>
      </c>
      <c r="M39" s="231">
        <v>1917.6</v>
      </c>
      <c r="N39" s="228">
        <v>-5.7</v>
      </c>
      <c r="O39" s="229">
        <v>-3.0000000000000001E-3</v>
      </c>
      <c r="P39" s="231">
        <v>1924.9</v>
      </c>
      <c r="Q39" s="231">
        <v>1929.5</v>
      </c>
      <c r="R39" s="228">
        <v>-4.5999999999999996</v>
      </c>
      <c r="S39" s="229">
        <v>-2.3999999999999998E-3</v>
      </c>
      <c r="T39" s="231">
        <v>1920.1</v>
      </c>
      <c r="U39" s="231">
        <v>1939</v>
      </c>
      <c r="V39" s="228">
        <v>-18.899999999999999</v>
      </c>
      <c r="W39" s="229">
        <v>-9.7000000000000003E-3</v>
      </c>
      <c r="X39" s="228">
        <v>7.9</v>
      </c>
      <c r="Y39" s="228">
        <v>10</v>
      </c>
      <c r="Z39" s="228">
        <v>-2.1</v>
      </c>
      <c r="AA39" s="229">
        <v>4.1000000000000003E-3</v>
      </c>
      <c r="AB39" s="228">
        <v>7.9</v>
      </c>
      <c r="AC39" s="228">
        <v>10</v>
      </c>
      <c r="AD39" s="228">
        <v>-2.1</v>
      </c>
      <c r="AE39" s="229">
        <v>4.1000000000000003E-3</v>
      </c>
      <c r="AF39" s="228">
        <v>20.9</v>
      </c>
      <c r="AG39" s="228">
        <v>21.9</v>
      </c>
      <c r="AH39" s="228">
        <v>-1</v>
      </c>
      <c r="AI39" s="229">
        <v>1.0999999999999999E-2</v>
      </c>
      <c r="AJ39" s="228">
        <v>16.100000000000001</v>
      </c>
      <c r="AK39" s="228">
        <v>31.4</v>
      </c>
      <c r="AL39" s="228">
        <v>-15.3</v>
      </c>
      <c r="AM39" s="229">
        <v>8.5000000000000006E-3</v>
      </c>
      <c r="AN39" s="231">
        <v>1916.19</v>
      </c>
      <c r="AO39" s="231">
        <v>1929.87</v>
      </c>
      <c r="AP39" s="228">
        <v>0</v>
      </c>
      <c r="AQ39" s="230">
        <v>2192</v>
      </c>
      <c r="AR39" s="230">
        <v>3879</v>
      </c>
      <c r="AS39" s="230">
        <v>-1687</v>
      </c>
      <c r="AT39" s="229">
        <v>-0.43490000000000001</v>
      </c>
      <c r="AU39" s="230">
        <v>2058</v>
      </c>
      <c r="AV39" s="230">
        <v>3676</v>
      </c>
      <c r="AW39" s="230">
        <v>-1618</v>
      </c>
      <c r="AX39" s="229">
        <v>-0.44019999999999998</v>
      </c>
      <c r="AY39" s="228">
        <v>127</v>
      </c>
      <c r="AZ39" s="228">
        <v>170</v>
      </c>
      <c r="BA39" s="228">
        <v>-43</v>
      </c>
      <c r="BB39" s="229">
        <v>-0.25290000000000001</v>
      </c>
      <c r="BC39" s="228">
        <v>7</v>
      </c>
      <c r="BD39" s="228">
        <v>33</v>
      </c>
      <c r="BE39" s="228">
        <v>-26</v>
      </c>
      <c r="BF39" s="229">
        <v>-0.78790000000000004</v>
      </c>
      <c r="BG39" s="230">
        <v>2451</v>
      </c>
      <c r="BH39" s="230">
        <v>3566</v>
      </c>
      <c r="BI39" s="230">
        <v>-1115</v>
      </c>
      <c r="BJ39" s="229">
        <v>-0.31269999999999998</v>
      </c>
      <c r="BK39" s="230">
        <v>2047</v>
      </c>
      <c r="BL39" s="230">
        <v>3620</v>
      </c>
      <c r="BM39" s="230">
        <v>-1573</v>
      </c>
      <c r="BN39" s="229">
        <v>-0.4345</v>
      </c>
      <c r="BO39" s="230">
        <v>6690</v>
      </c>
      <c r="BP39" s="230">
        <v>11065</v>
      </c>
      <c r="BQ39" s="230">
        <v>-4375</v>
      </c>
      <c r="BR39" s="229">
        <v>-0.39539999999999997</v>
      </c>
      <c r="BS39" s="230">
        <v>1352490</v>
      </c>
      <c r="BT39" s="230">
        <v>1121085</v>
      </c>
      <c r="BU39" s="230">
        <v>231405</v>
      </c>
      <c r="BV39" s="229">
        <v>0.2064</v>
      </c>
      <c r="BW39" s="230">
        <v>10715625</v>
      </c>
      <c r="BX39" s="230">
        <v>10805625</v>
      </c>
      <c r="BY39" s="230">
        <v>-90000</v>
      </c>
      <c r="BZ39" s="229">
        <v>-8.3000000000000001E-3</v>
      </c>
      <c r="CA39" s="230">
        <v>10456875</v>
      </c>
      <c r="CB39" s="230">
        <v>10564500</v>
      </c>
      <c r="CC39" s="230">
        <v>-107625</v>
      </c>
      <c r="CD39" s="229">
        <v>-1.0200000000000001E-2</v>
      </c>
      <c r="CE39" s="230">
        <v>217500</v>
      </c>
      <c r="CF39" s="230">
        <v>201000</v>
      </c>
      <c r="CG39" s="230">
        <v>16500</v>
      </c>
      <c r="CH39" s="229">
        <v>8.2100000000000006E-2</v>
      </c>
      <c r="CI39" s="230">
        <v>41250</v>
      </c>
      <c r="CJ39" s="230">
        <v>40125</v>
      </c>
      <c r="CK39" s="230">
        <v>1125</v>
      </c>
      <c r="CL39" s="229">
        <v>2.8000000000000001E-2</v>
      </c>
      <c r="CM39" s="230">
        <v>800250</v>
      </c>
      <c r="CN39" s="230">
        <v>687750</v>
      </c>
      <c r="CO39" s="230">
        <v>112500</v>
      </c>
      <c r="CP39" s="229">
        <v>0.1636</v>
      </c>
      <c r="CQ39" s="230">
        <v>1203375</v>
      </c>
      <c r="CR39" s="230">
        <v>1216500</v>
      </c>
      <c r="CS39" s="230">
        <v>-13125</v>
      </c>
      <c r="CT39" s="229">
        <v>-1.0800000000000001E-2</v>
      </c>
      <c r="CU39" s="230">
        <v>12719250</v>
      </c>
      <c r="CV39" s="230">
        <v>12709875</v>
      </c>
      <c r="CW39" s="230">
        <v>9375</v>
      </c>
      <c r="CX39" s="229">
        <v>6.9999999999999999E-4</v>
      </c>
      <c r="CY39" s="228">
        <v>27.83</v>
      </c>
      <c r="CZ39" s="228">
        <v>27.49</v>
      </c>
      <c r="DA39" s="228">
        <v>0.34</v>
      </c>
      <c r="DB39" s="228">
        <v>0.34</v>
      </c>
      <c r="DC39" s="228">
        <v>25.9</v>
      </c>
      <c r="DD39" s="228">
        <v>25.96</v>
      </c>
      <c r="DE39" s="228">
        <v>1.93</v>
      </c>
      <c r="DF39" s="228">
        <v>-0.06</v>
      </c>
      <c r="DG39" s="228">
        <v>26.54</v>
      </c>
      <c r="DH39" s="228">
        <v>26.04</v>
      </c>
      <c r="DI39" s="228">
        <v>0.5</v>
      </c>
      <c r="DJ39" s="228">
        <v>0.5</v>
      </c>
      <c r="DK39" s="228">
        <v>29.38</v>
      </c>
      <c r="DL39" s="228">
        <v>28.93</v>
      </c>
      <c r="DM39" s="228">
        <v>0.45</v>
      </c>
      <c r="DN39" s="228">
        <v>0.45</v>
      </c>
      <c r="DO39" s="228">
        <v>1.5</v>
      </c>
      <c r="DP39" s="228">
        <v>1.77</v>
      </c>
      <c r="DQ39" s="228">
        <v>-0.27</v>
      </c>
      <c r="DR39" s="229">
        <v>-0.1525</v>
      </c>
      <c r="DS39" s="231">
        <v>2100</v>
      </c>
      <c r="DT39" s="231">
        <v>1600</v>
      </c>
      <c r="DU39" s="228">
        <v>0.84</v>
      </c>
      <c r="DV39" s="228">
        <v>1.02</v>
      </c>
      <c r="DW39" s="228">
        <v>-0.18</v>
      </c>
      <c r="DX39" s="229">
        <v>-0.17649999999999999</v>
      </c>
      <c r="DY39" s="229">
        <v>2.41E-2</v>
      </c>
      <c r="DZ39" s="230">
        <v>241125</v>
      </c>
      <c r="EA39" s="229">
        <v>6.7999999999999996E-3</v>
      </c>
      <c r="EB39" s="229">
        <v>2.41E-2</v>
      </c>
      <c r="EC39" s="228">
        <v>13.68</v>
      </c>
      <c r="ED39" s="229">
        <v>7.1000000000000004E-3</v>
      </c>
      <c r="EE39" s="230">
        <v>727618</v>
      </c>
      <c r="EF39" s="230">
        <v>642644</v>
      </c>
      <c r="EG39" s="229">
        <v>0.13220000000000001</v>
      </c>
      <c r="EH39" s="229">
        <v>0.53800000000000003</v>
      </c>
      <c r="EI39" s="231">
        <v>18492.009999999998</v>
      </c>
      <c r="EJ39" s="231">
        <v>14323.4</v>
      </c>
      <c r="EK39" s="231">
        <v>15758.2</v>
      </c>
      <c r="EL39" s="231">
        <v>2964</v>
      </c>
      <c r="EM39" s="231">
        <v>48573.61</v>
      </c>
      <c r="EN39" s="231">
        <v>79061.649999999994</v>
      </c>
      <c r="EO39" s="231">
        <v>-30488.04</v>
      </c>
      <c r="EP39" s="229">
        <v>-0.3856</v>
      </c>
      <c r="EQ39" s="231">
        <v>15641</v>
      </c>
      <c r="ER39" s="231">
        <v>20558</v>
      </c>
      <c r="ES39" s="231">
        <v>204904</v>
      </c>
      <c r="ET39" s="231">
        <v>45527821</v>
      </c>
      <c r="EU39" s="231">
        <v>241102</v>
      </c>
      <c r="EV39" s="231">
        <v>241315</v>
      </c>
      <c r="EW39" s="228">
        <v>-213</v>
      </c>
      <c r="EX39" s="229">
        <v>-8.9999999999999998E-4</v>
      </c>
      <c r="EY39" s="229">
        <v>0.27939999999999998</v>
      </c>
    </row>
    <row r="40" spans="1:155" ht="17.25" thickBot="1" x14ac:dyDescent="0.3">
      <c r="A40" s="226">
        <v>46121</v>
      </c>
      <c r="B40" s="227" t="s">
        <v>172</v>
      </c>
      <c r="C40" s="227" t="s">
        <v>283</v>
      </c>
      <c r="D40" s="231">
        <v>1045.7</v>
      </c>
      <c r="E40" s="231">
        <v>1067.2</v>
      </c>
      <c r="F40" s="228">
        <v>-21.5</v>
      </c>
      <c r="G40" s="229">
        <v>-2.01E-2</v>
      </c>
      <c r="H40" s="231">
        <v>1040.95</v>
      </c>
      <c r="I40" s="231">
        <v>1061.45</v>
      </c>
      <c r="J40" s="228">
        <v>-20.5</v>
      </c>
      <c r="K40" s="229">
        <v>-1.9300000000000001E-2</v>
      </c>
      <c r="L40" s="231">
        <v>1045.7</v>
      </c>
      <c r="M40" s="231">
        <v>1067.2</v>
      </c>
      <c r="N40" s="228">
        <v>-21.5</v>
      </c>
      <c r="O40" s="229">
        <v>-2.01E-2</v>
      </c>
      <c r="P40" s="231">
        <v>1040.95</v>
      </c>
      <c r="Q40" s="231">
        <v>1062.6500000000001</v>
      </c>
      <c r="R40" s="228">
        <v>-21.7</v>
      </c>
      <c r="S40" s="229">
        <v>-2.0400000000000001E-2</v>
      </c>
      <c r="T40" s="231">
        <v>1042.7</v>
      </c>
      <c r="U40" s="231">
        <v>1064.4000000000001</v>
      </c>
      <c r="V40" s="228">
        <v>-21.7</v>
      </c>
      <c r="W40" s="229">
        <v>-2.0400000000000001E-2</v>
      </c>
      <c r="X40" s="228">
        <v>4.75</v>
      </c>
      <c r="Y40" s="228">
        <v>5.75</v>
      </c>
      <c r="Z40" s="228">
        <v>-1</v>
      </c>
      <c r="AA40" s="229">
        <v>4.5999999999999999E-3</v>
      </c>
      <c r="AB40" s="228">
        <v>4.75</v>
      </c>
      <c r="AC40" s="228">
        <v>5.75</v>
      </c>
      <c r="AD40" s="228">
        <v>-1</v>
      </c>
      <c r="AE40" s="229">
        <v>4.5999999999999999E-3</v>
      </c>
      <c r="AF40" s="228">
        <v>0</v>
      </c>
      <c r="AG40" s="228">
        <v>1.2</v>
      </c>
      <c r="AH40" s="228">
        <v>-1.2</v>
      </c>
      <c r="AI40" s="229">
        <v>0</v>
      </c>
      <c r="AJ40" s="228">
        <v>1.75</v>
      </c>
      <c r="AK40" s="228">
        <v>2.95</v>
      </c>
      <c r="AL40" s="228">
        <v>-1.2</v>
      </c>
      <c r="AM40" s="229">
        <v>1.6999999999999999E-3</v>
      </c>
      <c r="AN40" s="231">
        <v>1053.8599999999999</v>
      </c>
      <c r="AO40" s="231">
        <v>1047.8900000000001</v>
      </c>
      <c r="AP40" s="228">
        <v>0</v>
      </c>
      <c r="AQ40" s="230">
        <v>17224</v>
      </c>
      <c r="AR40" s="230">
        <v>29815</v>
      </c>
      <c r="AS40" s="230">
        <v>-12591</v>
      </c>
      <c r="AT40" s="229">
        <v>-0.42230000000000001</v>
      </c>
      <c r="AU40" s="230">
        <v>15248</v>
      </c>
      <c r="AV40" s="230">
        <v>27398</v>
      </c>
      <c r="AW40" s="230">
        <v>-12150</v>
      </c>
      <c r="AX40" s="229">
        <v>-0.44350000000000001</v>
      </c>
      <c r="AY40" s="230">
        <v>1723</v>
      </c>
      <c r="AZ40" s="230">
        <v>2034</v>
      </c>
      <c r="BA40" s="228">
        <v>-311</v>
      </c>
      <c r="BB40" s="229">
        <v>-0.15290000000000001</v>
      </c>
      <c r="BC40" s="228">
        <v>253</v>
      </c>
      <c r="BD40" s="228">
        <v>383</v>
      </c>
      <c r="BE40" s="228">
        <v>-130</v>
      </c>
      <c r="BF40" s="229">
        <v>-0.33939999999999998</v>
      </c>
      <c r="BG40" s="230">
        <v>74664</v>
      </c>
      <c r="BH40" s="230">
        <v>117319</v>
      </c>
      <c r="BI40" s="230">
        <v>-42655</v>
      </c>
      <c r="BJ40" s="229">
        <v>-0.36359999999999998</v>
      </c>
      <c r="BK40" s="230">
        <v>51227</v>
      </c>
      <c r="BL40" s="230">
        <v>66988</v>
      </c>
      <c r="BM40" s="230">
        <v>-15761</v>
      </c>
      <c r="BN40" s="229">
        <v>-0.23530000000000001</v>
      </c>
      <c r="BO40" s="230">
        <v>143115</v>
      </c>
      <c r="BP40" s="230">
        <v>214122</v>
      </c>
      <c r="BQ40" s="230">
        <v>-71007</v>
      </c>
      <c r="BR40" s="229">
        <v>-0.33160000000000001</v>
      </c>
      <c r="BS40" s="230">
        <v>27146495</v>
      </c>
      <c r="BT40" s="230">
        <v>29963002</v>
      </c>
      <c r="BU40" s="230">
        <v>-2816507</v>
      </c>
      <c r="BV40" s="229">
        <v>-9.4E-2</v>
      </c>
      <c r="BW40" s="230">
        <v>82201500</v>
      </c>
      <c r="BX40" s="230">
        <v>79862250</v>
      </c>
      <c r="BY40" s="230">
        <v>2339250</v>
      </c>
      <c r="BZ40" s="229">
        <v>2.93E-2</v>
      </c>
      <c r="CA40" s="230">
        <v>77110500</v>
      </c>
      <c r="CB40" s="230">
        <v>75561750</v>
      </c>
      <c r="CC40" s="230">
        <v>1548750</v>
      </c>
      <c r="CD40" s="229">
        <v>2.0500000000000001E-2</v>
      </c>
      <c r="CE40" s="230">
        <v>3620250</v>
      </c>
      <c r="CF40" s="230">
        <v>2922750</v>
      </c>
      <c r="CG40" s="230">
        <v>697500</v>
      </c>
      <c r="CH40" s="229">
        <v>0.23860000000000001</v>
      </c>
      <c r="CI40" s="230">
        <v>1470750</v>
      </c>
      <c r="CJ40" s="230">
        <v>1377750</v>
      </c>
      <c r="CK40" s="230">
        <v>93000</v>
      </c>
      <c r="CL40" s="229">
        <v>6.7500000000000004E-2</v>
      </c>
      <c r="CM40" s="230">
        <v>42215250</v>
      </c>
      <c r="CN40" s="230">
        <v>37205250</v>
      </c>
      <c r="CO40" s="230">
        <v>5010000</v>
      </c>
      <c r="CP40" s="229">
        <v>0.13469999999999999</v>
      </c>
      <c r="CQ40" s="230">
        <v>27324750</v>
      </c>
      <c r="CR40" s="230">
        <v>26550750</v>
      </c>
      <c r="CS40" s="230">
        <v>774000</v>
      </c>
      <c r="CT40" s="229">
        <v>2.92E-2</v>
      </c>
      <c r="CU40" s="230">
        <v>151741500</v>
      </c>
      <c r="CV40" s="230">
        <v>143618250</v>
      </c>
      <c r="CW40" s="230">
        <v>8123250</v>
      </c>
      <c r="CX40" s="229">
        <v>5.6599999999999998E-2</v>
      </c>
      <c r="CY40" s="228">
        <v>30.48</v>
      </c>
      <c r="CZ40" s="228">
        <v>30.46</v>
      </c>
      <c r="DA40" s="228">
        <v>0.02</v>
      </c>
      <c r="DB40" s="228">
        <v>0.02</v>
      </c>
      <c r="DC40" s="228">
        <v>29.29</v>
      </c>
      <c r="DD40" s="228">
        <v>29.24</v>
      </c>
      <c r="DE40" s="228">
        <v>1.19</v>
      </c>
      <c r="DF40" s="228">
        <v>0.05</v>
      </c>
      <c r="DG40" s="228">
        <v>30</v>
      </c>
      <c r="DH40" s="228">
        <v>29.33</v>
      </c>
      <c r="DI40" s="228">
        <v>0.67</v>
      </c>
      <c r="DJ40" s="228">
        <v>0.67</v>
      </c>
      <c r="DK40" s="228">
        <v>31.17</v>
      </c>
      <c r="DL40" s="228">
        <v>32.43</v>
      </c>
      <c r="DM40" s="228">
        <v>-1.26</v>
      </c>
      <c r="DN40" s="228">
        <v>-1.26</v>
      </c>
      <c r="DO40" s="228">
        <v>0.65</v>
      </c>
      <c r="DP40" s="228">
        <v>0.71</v>
      </c>
      <c r="DQ40" s="228">
        <v>-0.06</v>
      </c>
      <c r="DR40" s="229">
        <v>-8.4500000000000006E-2</v>
      </c>
      <c r="DS40" s="231">
        <v>1100</v>
      </c>
      <c r="DT40" s="231">
        <v>1100</v>
      </c>
      <c r="DU40" s="228">
        <v>0.69</v>
      </c>
      <c r="DV40" s="228">
        <v>0.56999999999999995</v>
      </c>
      <c r="DW40" s="228">
        <v>0.12</v>
      </c>
      <c r="DX40" s="229">
        <v>0.21049999999999999</v>
      </c>
      <c r="DY40" s="229">
        <v>6.1899999999999997E-2</v>
      </c>
      <c r="DZ40" s="230">
        <v>4300500</v>
      </c>
      <c r="EA40" s="229">
        <v>-4.4999999999999997E-3</v>
      </c>
      <c r="EB40" s="229">
        <v>6.1899999999999997E-2</v>
      </c>
      <c r="EC40" s="228">
        <v>-5.97</v>
      </c>
      <c r="ED40" s="229">
        <v>-5.7000000000000002E-3</v>
      </c>
      <c r="EE40" s="230">
        <v>11070557</v>
      </c>
      <c r="EF40" s="230">
        <v>15304014</v>
      </c>
      <c r="EG40" s="229">
        <v>-0.27660000000000001</v>
      </c>
      <c r="EH40" s="229">
        <v>0.4078</v>
      </c>
      <c r="EI40" s="231">
        <v>623414.18000000005</v>
      </c>
      <c r="EJ40" s="231">
        <v>399508.06</v>
      </c>
      <c r="EK40" s="231">
        <v>136055.29999999999</v>
      </c>
      <c r="EL40" s="231">
        <v>23972</v>
      </c>
      <c r="EM40" s="231">
        <v>1158977.54</v>
      </c>
      <c r="EN40" s="231">
        <v>1751552.84</v>
      </c>
      <c r="EO40" s="231">
        <v>-592575.30000000005</v>
      </c>
      <c r="EP40" s="229">
        <v>-0.33829999999999999</v>
      </c>
      <c r="EQ40" s="231">
        <v>466897</v>
      </c>
      <c r="ER40" s="231">
        <v>279966</v>
      </c>
      <c r="ES40" s="231">
        <v>859365</v>
      </c>
      <c r="ET40" s="231">
        <v>580324288</v>
      </c>
      <c r="EU40" s="231">
        <v>1606227</v>
      </c>
      <c r="EV40" s="231">
        <v>1535710</v>
      </c>
      <c r="EW40" s="231">
        <v>70517</v>
      </c>
      <c r="EX40" s="229">
        <v>4.5900000000000003E-2</v>
      </c>
      <c r="EY40" s="229">
        <v>0.26150000000000001</v>
      </c>
    </row>
    <row r="41" spans="1:155" ht="17.25" thickBot="1" x14ac:dyDescent="0.3">
      <c r="A41" s="226">
        <v>46121</v>
      </c>
      <c r="B41" s="227" t="s">
        <v>175</v>
      </c>
      <c r="C41" s="227" t="s">
        <v>561</v>
      </c>
      <c r="D41" s="228">
        <v>999.8</v>
      </c>
      <c r="E41" s="231">
        <v>1026.1500000000001</v>
      </c>
      <c r="F41" s="228">
        <v>-26.35</v>
      </c>
      <c r="G41" s="229">
        <v>-2.5700000000000001E-2</v>
      </c>
      <c r="H41" s="228">
        <v>996.3</v>
      </c>
      <c r="I41" s="231">
        <v>1023.2</v>
      </c>
      <c r="J41" s="228">
        <v>-26.9</v>
      </c>
      <c r="K41" s="229">
        <v>-2.63E-2</v>
      </c>
      <c r="L41" s="228">
        <v>999.8</v>
      </c>
      <c r="M41" s="231">
        <v>1026.1500000000001</v>
      </c>
      <c r="N41" s="228">
        <v>-26.35</v>
      </c>
      <c r="O41" s="229">
        <v>-2.5700000000000001E-2</v>
      </c>
      <c r="P41" s="231">
        <v>1006.1</v>
      </c>
      <c r="Q41" s="231">
        <v>1032.3499999999999</v>
      </c>
      <c r="R41" s="228">
        <v>-26.25</v>
      </c>
      <c r="S41" s="229">
        <v>-2.5399999999999999E-2</v>
      </c>
      <c r="T41" s="231">
        <v>1010.2</v>
      </c>
      <c r="U41" s="231">
        <v>1036.45</v>
      </c>
      <c r="V41" s="228">
        <v>-26.25</v>
      </c>
      <c r="W41" s="229">
        <v>-2.53E-2</v>
      </c>
      <c r="X41" s="228">
        <v>3.5</v>
      </c>
      <c r="Y41" s="228">
        <v>2.95</v>
      </c>
      <c r="Z41" s="228">
        <v>0.55000000000000004</v>
      </c>
      <c r="AA41" s="229">
        <v>3.5000000000000001E-3</v>
      </c>
      <c r="AB41" s="228">
        <v>3.5</v>
      </c>
      <c r="AC41" s="228">
        <v>2.95</v>
      </c>
      <c r="AD41" s="228">
        <v>0.55000000000000004</v>
      </c>
      <c r="AE41" s="229">
        <v>3.5000000000000001E-3</v>
      </c>
      <c r="AF41" s="228">
        <v>9.8000000000000007</v>
      </c>
      <c r="AG41" s="228">
        <v>9.15</v>
      </c>
      <c r="AH41" s="228">
        <v>0.65</v>
      </c>
      <c r="AI41" s="229">
        <v>9.7999999999999997E-3</v>
      </c>
      <c r="AJ41" s="228">
        <v>13.9</v>
      </c>
      <c r="AK41" s="228">
        <v>13.25</v>
      </c>
      <c r="AL41" s="228">
        <v>0.65</v>
      </c>
      <c r="AM41" s="229">
        <v>1.4E-2</v>
      </c>
      <c r="AN41" s="231">
        <v>1005.09</v>
      </c>
      <c r="AO41" s="231">
        <v>1012.36</v>
      </c>
      <c r="AP41" s="228">
        <v>0</v>
      </c>
      <c r="AQ41" s="230">
        <v>7986</v>
      </c>
      <c r="AR41" s="230">
        <v>20283</v>
      </c>
      <c r="AS41" s="230">
        <v>-12297</v>
      </c>
      <c r="AT41" s="229">
        <v>-0.60629999999999995</v>
      </c>
      <c r="AU41" s="230">
        <v>7470</v>
      </c>
      <c r="AV41" s="230">
        <v>18977</v>
      </c>
      <c r="AW41" s="230">
        <v>-11507</v>
      </c>
      <c r="AX41" s="229">
        <v>-0.60640000000000005</v>
      </c>
      <c r="AY41" s="228">
        <v>431</v>
      </c>
      <c r="AZ41" s="230">
        <v>1096</v>
      </c>
      <c r="BA41" s="228">
        <v>-665</v>
      </c>
      <c r="BB41" s="229">
        <v>-0.60680000000000001</v>
      </c>
      <c r="BC41" s="228">
        <v>85</v>
      </c>
      <c r="BD41" s="228">
        <v>210</v>
      </c>
      <c r="BE41" s="228">
        <v>-125</v>
      </c>
      <c r="BF41" s="229">
        <v>-0.59519999999999995</v>
      </c>
      <c r="BG41" s="230">
        <v>19295</v>
      </c>
      <c r="BH41" s="230">
        <v>58338</v>
      </c>
      <c r="BI41" s="230">
        <v>-39043</v>
      </c>
      <c r="BJ41" s="229">
        <v>-0.66930000000000001</v>
      </c>
      <c r="BK41" s="230">
        <v>14144</v>
      </c>
      <c r="BL41" s="230">
        <v>26874</v>
      </c>
      <c r="BM41" s="230">
        <v>-12730</v>
      </c>
      <c r="BN41" s="229">
        <v>-0.47370000000000001</v>
      </c>
      <c r="BO41" s="230">
        <v>41425</v>
      </c>
      <c r="BP41" s="230">
        <v>105495</v>
      </c>
      <c r="BQ41" s="230">
        <v>-64070</v>
      </c>
      <c r="BR41" s="229">
        <v>-0.60729999999999995</v>
      </c>
      <c r="BS41" s="230">
        <v>7945220</v>
      </c>
      <c r="BT41" s="230">
        <v>18717276</v>
      </c>
      <c r="BU41" s="230">
        <v>-10772056</v>
      </c>
      <c r="BV41" s="229">
        <v>-0.57550000000000001</v>
      </c>
      <c r="BW41" s="230">
        <v>42706950</v>
      </c>
      <c r="BX41" s="230">
        <v>43198650</v>
      </c>
      <c r="BY41" s="230">
        <v>-491700</v>
      </c>
      <c r="BZ41" s="229">
        <v>-1.14E-2</v>
      </c>
      <c r="CA41" s="230">
        <v>40404375</v>
      </c>
      <c r="CB41" s="230">
        <v>41075100</v>
      </c>
      <c r="CC41" s="230">
        <v>-670725</v>
      </c>
      <c r="CD41" s="229">
        <v>-1.6299999999999999E-2</v>
      </c>
      <c r="CE41" s="230">
        <v>2023725</v>
      </c>
      <c r="CF41" s="230">
        <v>1877700</v>
      </c>
      <c r="CG41" s="230">
        <v>146025</v>
      </c>
      <c r="CH41" s="229">
        <v>7.7799999999999994E-2</v>
      </c>
      <c r="CI41" s="230">
        <v>278850</v>
      </c>
      <c r="CJ41" s="230">
        <v>245850</v>
      </c>
      <c r="CK41" s="230">
        <v>33000</v>
      </c>
      <c r="CL41" s="229">
        <v>0.13420000000000001</v>
      </c>
      <c r="CM41" s="230">
        <v>11757075</v>
      </c>
      <c r="CN41" s="230">
        <v>10917225</v>
      </c>
      <c r="CO41" s="230">
        <v>839850</v>
      </c>
      <c r="CP41" s="229">
        <v>7.6899999999999996E-2</v>
      </c>
      <c r="CQ41" s="230">
        <v>8203800</v>
      </c>
      <c r="CR41" s="230">
        <v>8172450</v>
      </c>
      <c r="CS41" s="230">
        <v>31350</v>
      </c>
      <c r="CT41" s="229">
        <v>3.8E-3</v>
      </c>
      <c r="CU41" s="230">
        <v>62667825</v>
      </c>
      <c r="CV41" s="230">
        <v>62288325</v>
      </c>
      <c r="CW41" s="230">
        <v>379500</v>
      </c>
      <c r="CX41" s="229">
        <v>6.1000000000000004E-3</v>
      </c>
      <c r="CY41" s="228">
        <v>42.94</v>
      </c>
      <c r="CZ41" s="228">
        <v>43</v>
      </c>
      <c r="DA41" s="228">
        <v>-0.06</v>
      </c>
      <c r="DB41" s="228">
        <v>-0.06</v>
      </c>
      <c r="DC41" s="228">
        <v>45.29</v>
      </c>
      <c r="DD41" s="228">
        <v>45.26</v>
      </c>
      <c r="DE41" s="228">
        <v>-2.35</v>
      </c>
      <c r="DF41" s="228">
        <v>0.03</v>
      </c>
      <c r="DG41" s="228">
        <v>42.39</v>
      </c>
      <c r="DH41" s="228">
        <v>41.73</v>
      </c>
      <c r="DI41" s="228">
        <v>0.66</v>
      </c>
      <c r="DJ41" s="228">
        <v>0.66</v>
      </c>
      <c r="DK41" s="228">
        <v>43.69</v>
      </c>
      <c r="DL41" s="228">
        <v>45.76</v>
      </c>
      <c r="DM41" s="228">
        <v>-2.0699999999999998</v>
      </c>
      <c r="DN41" s="228">
        <v>-2.0699999999999998</v>
      </c>
      <c r="DO41" s="228">
        <v>0.7</v>
      </c>
      <c r="DP41" s="228">
        <v>0.75</v>
      </c>
      <c r="DQ41" s="228">
        <v>-0.05</v>
      </c>
      <c r="DR41" s="229">
        <v>-6.6699999999999995E-2</v>
      </c>
      <c r="DS41" s="231">
        <v>1000</v>
      </c>
      <c r="DT41" s="231">
        <v>1000</v>
      </c>
      <c r="DU41" s="228">
        <v>0.73</v>
      </c>
      <c r="DV41" s="228">
        <v>0.46</v>
      </c>
      <c r="DW41" s="228">
        <v>0.27</v>
      </c>
      <c r="DX41" s="229">
        <v>0.58699999999999997</v>
      </c>
      <c r="DY41" s="229">
        <v>5.3900000000000003E-2</v>
      </c>
      <c r="DZ41" s="230">
        <v>2123550</v>
      </c>
      <c r="EA41" s="229">
        <v>6.3E-3</v>
      </c>
      <c r="EB41" s="229">
        <v>5.3900000000000003E-2</v>
      </c>
      <c r="EC41" s="228">
        <v>7.27</v>
      </c>
      <c r="ED41" s="229">
        <v>7.1999999999999998E-3</v>
      </c>
      <c r="EE41" s="230">
        <v>3562398</v>
      </c>
      <c r="EF41" s="230">
        <v>8709692</v>
      </c>
      <c r="EG41" s="229">
        <v>-0.59099999999999997</v>
      </c>
      <c r="EH41" s="229">
        <v>0.44840000000000002</v>
      </c>
      <c r="EI41" s="231">
        <v>170797.86</v>
      </c>
      <c r="EJ41" s="231">
        <v>116313.76</v>
      </c>
      <c r="EK41" s="231">
        <v>66253.67</v>
      </c>
      <c r="EL41" s="231">
        <v>11611</v>
      </c>
      <c r="EM41" s="231">
        <v>353365.29</v>
      </c>
      <c r="EN41" s="231">
        <v>907197.9</v>
      </c>
      <c r="EO41" s="231">
        <v>-553832.61</v>
      </c>
      <c r="EP41" s="229">
        <v>-0.61050000000000004</v>
      </c>
      <c r="EQ41" s="231">
        <v>119231</v>
      </c>
      <c r="ER41" s="231">
        <v>76180</v>
      </c>
      <c r="ES41" s="231">
        <v>427141</v>
      </c>
      <c r="ET41" s="231">
        <v>210567108</v>
      </c>
      <c r="EU41" s="231">
        <v>622551</v>
      </c>
      <c r="EV41" s="231">
        <v>629638</v>
      </c>
      <c r="EW41" s="231">
        <v>-7087</v>
      </c>
      <c r="EX41" s="229">
        <v>-1.1299999999999999E-2</v>
      </c>
      <c r="EY41" s="229">
        <v>0.29759999999999998</v>
      </c>
    </row>
    <row r="42" spans="1:155" ht="17.25" thickBot="1" x14ac:dyDescent="0.3">
      <c r="A42" s="226">
        <v>46121</v>
      </c>
      <c r="B42" s="227" t="s">
        <v>170</v>
      </c>
      <c r="C42" s="227" t="s">
        <v>288</v>
      </c>
      <c r="D42" s="231">
        <v>1725</v>
      </c>
      <c r="E42" s="231">
        <v>1722.5</v>
      </c>
      <c r="F42" s="228">
        <v>2.5</v>
      </c>
      <c r="G42" s="229">
        <v>1.5E-3</v>
      </c>
      <c r="H42" s="231">
        <v>1717.1</v>
      </c>
      <c r="I42" s="231">
        <v>1714.6</v>
      </c>
      <c r="J42" s="228">
        <v>2.5</v>
      </c>
      <c r="K42" s="229">
        <v>1.5E-3</v>
      </c>
      <c r="L42" s="231">
        <v>1725</v>
      </c>
      <c r="M42" s="231">
        <v>1722.5</v>
      </c>
      <c r="N42" s="228">
        <v>2.5</v>
      </c>
      <c r="O42" s="229">
        <v>1.5E-3</v>
      </c>
      <c r="P42" s="231">
        <v>1733.8</v>
      </c>
      <c r="Q42" s="231">
        <v>1731.9</v>
      </c>
      <c r="R42" s="228">
        <v>1.9</v>
      </c>
      <c r="S42" s="229">
        <v>1.1000000000000001E-3</v>
      </c>
      <c r="T42" s="231">
        <v>1746.1</v>
      </c>
      <c r="U42" s="231">
        <v>1744.4</v>
      </c>
      <c r="V42" s="228">
        <v>1.7</v>
      </c>
      <c r="W42" s="229">
        <v>1E-3</v>
      </c>
      <c r="X42" s="228">
        <v>7.9</v>
      </c>
      <c r="Y42" s="228">
        <v>7.9</v>
      </c>
      <c r="Z42" s="228">
        <v>0</v>
      </c>
      <c r="AA42" s="229">
        <v>4.5999999999999999E-3</v>
      </c>
      <c r="AB42" s="228">
        <v>7.9</v>
      </c>
      <c r="AC42" s="228">
        <v>7.9</v>
      </c>
      <c r="AD42" s="228">
        <v>0</v>
      </c>
      <c r="AE42" s="229">
        <v>4.5999999999999999E-3</v>
      </c>
      <c r="AF42" s="228">
        <v>16.7</v>
      </c>
      <c r="AG42" s="228">
        <v>17.3</v>
      </c>
      <c r="AH42" s="228">
        <v>-0.6</v>
      </c>
      <c r="AI42" s="229">
        <v>9.7000000000000003E-3</v>
      </c>
      <c r="AJ42" s="228">
        <v>29</v>
      </c>
      <c r="AK42" s="228">
        <v>29.8</v>
      </c>
      <c r="AL42" s="228">
        <v>-0.8</v>
      </c>
      <c r="AM42" s="229">
        <v>1.6899999999999998E-2</v>
      </c>
      <c r="AN42" s="231">
        <v>1727.67</v>
      </c>
      <c r="AO42" s="231">
        <v>1734.83</v>
      </c>
      <c r="AP42" s="228">
        <v>0</v>
      </c>
      <c r="AQ42" s="230">
        <v>4702</v>
      </c>
      <c r="AR42" s="230">
        <v>8516</v>
      </c>
      <c r="AS42" s="230">
        <v>-3814</v>
      </c>
      <c r="AT42" s="229">
        <v>-0.44790000000000002</v>
      </c>
      <c r="AU42" s="230">
        <v>3779</v>
      </c>
      <c r="AV42" s="230">
        <v>7153</v>
      </c>
      <c r="AW42" s="230">
        <v>-3374</v>
      </c>
      <c r="AX42" s="229">
        <v>-0.47170000000000001</v>
      </c>
      <c r="AY42" s="228">
        <v>912</v>
      </c>
      <c r="AZ42" s="230">
        <v>1142</v>
      </c>
      <c r="BA42" s="228">
        <v>-230</v>
      </c>
      <c r="BB42" s="229">
        <v>-0.2014</v>
      </c>
      <c r="BC42" s="228">
        <v>11</v>
      </c>
      <c r="BD42" s="228">
        <v>221</v>
      </c>
      <c r="BE42" s="228">
        <v>-210</v>
      </c>
      <c r="BF42" s="229">
        <v>-0.95020000000000004</v>
      </c>
      <c r="BG42" s="230">
        <v>16973</v>
      </c>
      <c r="BH42" s="230">
        <v>33218</v>
      </c>
      <c r="BI42" s="230">
        <v>-16245</v>
      </c>
      <c r="BJ42" s="229">
        <v>-0.48899999999999999</v>
      </c>
      <c r="BK42" s="230">
        <v>10583</v>
      </c>
      <c r="BL42" s="230">
        <v>22225</v>
      </c>
      <c r="BM42" s="230">
        <v>-11642</v>
      </c>
      <c r="BN42" s="229">
        <v>-0.52380000000000004</v>
      </c>
      <c r="BO42" s="230">
        <v>32258</v>
      </c>
      <c r="BP42" s="230">
        <v>63959</v>
      </c>
      <c r="BQ42" s="230">
        <v>-31701</v>
      </c>
      <c r="BR42" s="229">
        <v>-0.49559999999999998</v>
      </c>
      <c r="BS42" s="230">
        <v>3368476</v>
      </c>
      <c r="BT42" s="230">
        <v>5089267</v>
      </c>
      <c r="BU42" s="230">
        <v>-1720791</v>
      </c>
      <c r="BV42" s="229">
        <v>-0.33810000000000001</v>
      </c>
      <c r="BW42" s="230">
        <v>19044900</v>
      </c>
      <c r="BX42" s="230">
        <v>18705750</v>
      </c>
      <c r="BY42" s="230">
        <v>339150</v>
      </c>
      <c r="BZ42" s="229">
        <v>1.8100000000000002E-2</v>
      </c>
      <c r="CA42" s="230">
        <v>16507050</v>
      </c>
      <c r="CB42" s="230">
        <v>16415350</v>
      </c>
      <c r="CC42" s="230">
        <v>91700</v>
      </c>
      <c r="CD42" s="229">
        <v>5.5999999999999999E-3</v>
      </c>
      <c r="CE42" s="230">
        <v>2216550</v>
      </c>
      <c r="CF42" s="230">
        <v>1968750</v>
      </c>
      <c r="CG42" s="230">
        <v>247800</v>
      </c>
      <c r="CH42" s="229">
        <v>0.12590000000000001</v>
      </c>
      <c r="CI42" s="230">
        <v>321300</v>
      </c>
      <c r="CJ42" s="230">
        <v>321650</v>
      </c>
      <c r="CK42" s="228">
        <v>-350</v>
      </c>
      <c r="CL42" s="229">
        <v>-1.1000000000000001E-3</v>
      </c>
      <c r="CM42" s="230">
        <v>4630500</v>
      </c>
      <c r="CN42" s="230">
        <v>4767350</v>
      </c>
      <c r="CO42" s="230">
        <v>-136850</v>
      </c>
      <c r="CP42" s="229">
        <v>-2.87E-2</v>
      </c>
      <c r="CQ42" s="230">
        <v>4135250</v>
      </c>
      <c r="CR42" s="230">
        <v>4208400</v>
      </c>
      <c r="CS42" s="230">
        <v>-73150</v>
      </c>
      <c r="CT42" s="229">
        <v>-1.7399999999999999E-2</v>
      </c>
      <c r="CU42" s="230">
        <v>27810650</v>
      </c>
      <c r="CV42" s="230">
        <v>27681500</v>
      </c>
      <c r="CW42" s="230">
        <v>129150</v>
      </c>
      <c r="CX42" s="229">
        <v>4.7000000000000002E-3</v>
      </c>
      <c r="CY42" s="228">
        <v>21.72</v>
      </c>
      <c r="CZ42" s="228">
        <v>21.6</v>
      </c>
      <c r="DA42" s="228">
        <v>0.12</v>
      </c>
      <c r="DB42" s="228">
        <v>0.12</v>
      </c>
      <c r="DC42" s="228">
        <v>23.2</v>
      </c>
      <c r="DD42" s="228">
        <v>23.25</v>
      </c>
      <c r="DE42" s="228">
        <v>-1.48</v>
      </c>
      <c r="DF42" s="228">
        <v>-0.05</v>
      </c>
      <c r="DG42" s="228">
        <v>21.32</v>
      </c>
      <c r="DH42" s="228">
        <v>21.19</v>
      </c>
      <c r="DI42" s="228">
        <v>0.13</v>
      </c>
      <c r="DJ42" s="228">
        <v>0.13</v>
      </c>
      <c r="DK42" s="228">
        <v>22.37</v>
      </c>
      <c r="DL42" s="228">
        <v>22.21</v>
      </c>
      <c r="DM42" s="228">
        <v>0.16</v>
      </c>
      <c r="DN42" s="228">
        <v>0.16</v>
      </c>
      <c r="DO42" s="228">
        <v>0.89</v>
      </c>
      <c r="DP42" s="228">
        <v>0.88</v>
      </c>
      <c r="DQ42" s="228">
        <v>0.01</v>
      </c>
      <c r="DR42" s="229">
        <v>1.14E-2</v>
      </c>
      <c r="DS42" s="231">
        <v>1800</v>
      </c>
      <c r="DT42" s="231">
        <v>1690</v>
      </c>
      <c r="DU42" s="228">
        <v>0.62</v>
      </c>
      <c r="DV42" s="228">
        <v>0.67</v>
      </c>
      <c r="DW42" s="228">
        <v>-0.05</v>
      </c>
      <c r="DX42" s="229">
        <v>-7.46E-2</v>
      </c>
      <c r="DY42" s="229">
        <v>0.1333</v>
      </c>
      <c r="DZ42" s="230">
        <v>2290400</v>
      </c>
      <c r="EA42" s="229">
        <v>5.1000000000000004E-3</v>
      </c>
      <c r="EB42" s="229">
        <v>0.1333</v>
      </c>
      <c r="EC42" s="228">
        <v>7.16</v>
      </c>
      <c r="ED42" s="229">
        <v>4.1000000000000003E-3</v>
      </c>
      <c r="EE42" s="230">
        <v>2235813</v>
      </c>
      <c r="EF42" s="230">
        <v>3410555</v>
      </c>
      <c r="EG42" s="229">
        <v>-0.34439999999999998</v>
      </c>
      <c r="EH42" s="229">
        <v>0.66369999999999996</v>
      </c>
      <c r="EI42" s="231">
        <v>105764.81</v>
      </c>
      <c r="EJ42" s="231">
        <v>63594.8</v>
      </c>
      <c r="EK42" s="231">
        <v>28455.96</v>
      </c>
      <c r="EL42" s="231">
        <v>7920</v>
      </c>
      <c r="EM42" s="231">
        <v>197815.57</v>
      </c>
      <c r="EN42" s="231">
        <v>390309.25</v>
      </c>
      <c r="EO42" s="231">
        <v>-192493.68</v>
      </c>
      <c r="EP42" s="229">
        <v>-0.49320000000000003</v>
      </c>
      <c r="EQ42" s="231">
        <v>82460</v>
      </c>
      <c r="ER42" s="231">
        <v>69286</v>
      </c>
      <c r="ES42" s="231">
        <v>328787</v>
      </c>
      <c r="ET42" s="231">
        <v>121755902</v>
      </c>
      <c r="EU42" s="231">
        <v>480533</v>
      </c>
      <c r="EV42" s="231">
        <v>477651</v>
      </c>
      <c r="EW42" s="231">
        <v>2882</v>
      </c>
      <c r="EX42" s="229">
        <v>6.0000000000000001E-3</v>
      </c>
      <c r="EY42" s="229">
        <v>0.22839999999999999</v>
      </c>
    </row>
    <row r="43" spans="1:155" ht="17.25" thickBot="1" x14ac:dyDescent="0.3">
      <c r="A43" s="226">
        <v>46121</v>
      </c>
      <c r="B43" s="227" t="s">
        <v>168</v>
      </c>
      <c r="C43" s="227" t="s">
        <v>291</v>
      </c>
      <c r="D43" s="231">
        <v>1082.5</v>
      </c>
      <c r="E43" s="231">
        <v>1073.9000000000001</v>
      </c>
      <c r="F43" s="228">
        <v>8.6</v>
      </c>
      <c r="G43" s="229">
        <v>8.0000000000000002E-3</v>
      </c>
      <c r="H43" s="231">
        <v>1078</v>
      </c>
      <c r="I43" s="231">
        <v>1068.5</v>
      </c>
      <c r="J43" s="228">
        <v>9.5</v>
      </c>
      <c r="K43" s="229">
        <v>8.8999999999999999E-3</v>
      </c>
      <c r="L43" s="231">
        <v>1082.5</v>
      </c>
      <c r="M43" s="231">
        <v>1073.9000000000001</v>
      </c>
      <c r="N43" s="228">
        <v>8.6</v>
      </c>
      <c r="O43" s="229">
        <v>8.0000000000000002E-3</v>
      </c>
      <c r="P43" s="231">
        <v>1086.4000000000001</v>
      </c>
      <c r="Q43" s="231">
        <v>1079.5999999999999</v>
      </c>
      <c r="R43" s="228">
        <v>6.8</v>
      </c>
      <c r="S43" s="229">
        <v>6.3E-3</v>
      </c>
      <c r="T43" s="231">
        <v>1088.2</v>
      </c>
      <c r="U43" s="231">
        <v>1079.0999999999999</v>
      </c>
      <c r="V43" s="228">
        <v>9.1</v>
      </c>
      <c r="W43" s="229">
        <v>8.3999999999999995E-3</v>
      </c>
      <c r="X43" s="228">
        <v>4.5</v>
      </c>
      <c r="Y43" s="228">
        <v>5.4</v>
      </c>
      <c r="Z43" s="228">
        <v>-0.9</v>
      </c>
      <c r="AA43" s="229">
        <v>4.1999999999999997E-3</v>
      </c>
      <c r="AB43" s="228">
        <v>4.5</v>
      </c>
      <c r="AC43" s="228">
        <v>5.4</v>
      </c>
      <c r="AD43" s="228">
        <v>-0.9</v>
      </c>
      <c r="AE43" s="229">
        <v>4.1999999999999997E-3</v>
      </c>
      <c r="AF43" s="228">
        <v>8.4</v>
      </c>
      <c r="AG43" s="228">
        <v>11.1</v>
      </c>
      <c r="AH43" s="228">
        <v>-2.7</v>
      </c>
      <c r="AI43" s="229">
        <v>7.7999999999999996E-3</v>
      </c>
      <c r="AJ43" s="228">
        <v>10.199999999999999</v>
      </c>
      <c r="AK43" s="228">
        <v>10.6</v>
      </c>
      <c r="AL43" s="228">
        <v>-0.4</v>
      </c>
      <c r="AM43" s="229">
        <v>9.4999999999999998E-3</v>
      </c>
      <c r="AN43" s="231">
        <v>1079.93</v>
      </c>
      <c r="AO43" s="231">
        <v>1080.56</v>
      </c>
      <c r="AP43" s="228">
        <v>0</v>
      </c>
      <c r="AQ43" s="230">
        <v>3138</v>
      </c>
      <c r="AR43" s="230">
        <v>4611</v>
      </c>
      <c r="AS43" s="230">
        <v>-1473</v>
      </c>
      <c r="AT43" s="229">
        <v>-0.31950000000000001</v>
      </c>
      <c r="AU43" s="230">
        <v>2857</v>
      </c>
      <c r="AV43" s="230">
        <v>4442</v>
      </c>
      <c r="AW43" s="230">
        <v>-1585</v>
      </c>
      <c r="AX43" s="229">
        <v>-0.35680000000000001</v>
      </c>
      <c r="AY43" s="228">
        <v>263</v>
      </c>
      <c r="AZ43" s="228">
        <v>154</v>
      </c>
      <c r="BA43" s="228">
        <v>109</v>
      </c>
      <c r="BB43" s="229">
        <v>0.70779999999999998</v>
      </c>
      <c r="BC43" s="228">
        <v>18</v>
      </c>
      <c r="BD43" s="228">
        <v>15</v>
      </c>
      <c r="BE43" s="228">
        <v>3</v>
      </c>
      <c r="BF43" s="229">
        <v>0.2</v>
      </c>
      <c r="BG43" s="230">
        <v>3598</v>
      </c>
      <c r="BH43" s="230">
        <v>3930</v>
      </c>
      <c r="BI43" s="228">
        <v>-332</v>
      </c>
      <c r="BJ43" s="229">
        <v>-8.4500000000000006E-2</v>
      </c>
      <c r="BK43" s="230">
        <v>1340</v>
      </c>
      <c r="BL43" s="230">
        <v>1580</v>
      </c>
      <c r="BM43" s="228">
        <v>-240</v>
      </c>
      <c r="BN43" s="229">
        <v>-0.15190000000000001</v>
      </c>
      <c r="BO43" s="230">
        <v>8076</v>
      </c>
      <c r="BP43" s="230">
        <v>10121</v>
      </c>
      <c r="BQ43" s="230">
        <v>-2045</v>
      </c>
      <c r="BR43" s="229">
        <v>-0.2021</v>
      </c>
      <c r="BS43" s="230">
        <v>2212178</v>
      </c>
      <c r="BT43" s="230">
        <v>1983251</v>
      </c>
      <c r="BU43" s="230">
        <v>228927</v>
      </c>
      <c r="BV43" s="229">
        <v>0.1154</v>
      </c>
      <c r="BW43" s="230">
        <v>13725800</v>
      </c>
      <c r="BX43" s="230">
        <v>13405150</v>
      </c>
      <c r="BY43" s="230">
        <v>320650</v>
      </c>
      <c r="BZ43" s="229">
        <v>2.3900000000000001E-2</v>
      </c>
      <c r="CA43" s="230">
        <v>12911250</v>
      </c>
      <c r="CB43" s="230">
        <v>12657150</v>
      </c>
      <c r="CC43" s="230">
        <v>254100</v>
      </c>
      <c r="CD43" s="229">
        <v>2.01E-2</v>
      </c>
      <c r="CE43" s="230">
        <v>749650</v>
      </c>
      <c r="CF43" s="230">
        <v>680900</v>
      </c>
      <c r="CG43" s="230">
        <v>68750</v>
      </c>
      <c r="CH43" s="229">
        <v>0.10100000000000001</v>
      </c>
      <c r="CI43" s="230">
        <v>64900</v>
      </c>
      <c r="CJ43" s="230">
        <v>67100</v>
      </c>
      <c r="CK43" s="230">
        <v>-2200</v>
      </c>
      <c r="CL43" s="229">
        <v>-3.2800000000000003E-2</v>
      </c>
      <c r="CM43" s="230">
        <v>1364550</v>
      </c>
      <c r="CN43" s="230">
        <v>1387650</v>
      </c>
      <c r="CO43" s="230">
        <v>-23100</v>
      </c>
      <c r="CP43" s="229">
        <v>-1.66E-2</v>
      </c>
      <c r="CQ43" s="230">
        <v>2132350</v>
      </c>
      <c r="CR43" s="230">
        <v>2114200</v>
      </c>
      <c r="CS43" s="230">
        <v>18150</v>
      </c>
      <c r="CT43" s="229">
        <v>8.6E-3</v>
      </c>
      <c r="CU43" s="230">
        <v>17222700</v>
      </c>
      <c r="CV43" s="230">
        <v>16907000</v>
      </c>
      <c r="CW43" s="230">
        <v>315700</v>
      </c>
      <c r="CX43" s="229">
        <v>1.8700000000000001E-2</v>
      </c>
      <c r="CY43" s="228">
        <v>28.69</v>
      </c>
      <c r="CZ43" s="228">
        <v>28.68</v>
      </c>
      <c r="DA43" s="228">
        <v>0.01</v>
      </c>
      <c r="DB43" s="228">
        <v>0.01</v>
      </c>
      <c r="DC43" s="228">
        <v>27.57</v>
      </c>
      <c r="DD43" s="228">
        <v>27.62</v>
      </c>
      <c r="DE43" s="228">
        <v>1.1200000000000001</v>
      </c>
      <c r="DF43" s="228">
        <v>-0.05</v>
      </c>
      <c r="DG43" s="228">
        <v>28.41</v>
      </c>
      <c r="DH43" s="228">
        <v>28.14</v>
      </c>
      <c r="DI43" s="228">
        <v>0.27</v>
      </c>
      <c r="DJ43" s="228">
        <v>0.27</v>
      </c>
      <c r="DK43" s="228">
        <v>29.43</v>
      </c>
      <c r="DL43" s="228">
        <v>30</v>
      </c>
      <c r="DM43" s="228">
        <v>-0.56999999999999995</v>
      </c>
      <c r="DN43" s="228">
        <v>-0.56999999999999995</v>
      </c>
      <c r="DO43" s="228">
        <v>1.56</v>
      </c>
      <c r="DP43" s="228">
        <v>1.52</v>
      </c>
      <c r="DQ43" s="228">
        <v>0.04</v>
      </c>
      <c r="DR43" s="229">
        <v>2.63E-2</v>
      </c>
      <c r="DS43" s="231">
        <v>1100</v>
      </c>
      <c r="DT43" s="228">
        <v>930</v>
      </c>
      <c r="DU43" s="228">
        <v>0.37</v>
      </c>
      <c r="DV43" s="228">
        <v>0.4</v>
      </c>
      <c r="DW43" s="228">
        <v>-0.03</v>
      </c>
      <c r="DX43" s="229">
        <v>-7.4999999999999997E-2</v>
      </c>
      <c r="DY43" s="229">
        <v>5.9299999999999999E-2</v>
      </c>
      <c r="DZ43" s="230">
        <v>748000</v>
      </c>
      <c r="EA43" s="229">
        <v>3.5999999999999999E-3</v>
      </c>
      <c r="EB43" s="229">
        <v>5.9299999999999999E-2</v>
      </c>
      <c r="EC43" s="228">
        <v>0.63</v>
      </c>
      <c r="ED43" s="229">
        <v>5.9999999999999995E-4</v>
      </c>
      <c r="EE43" s="230">
        <v>1345165</v>
      </c>
      <c r="EF43" s="230">
        <v>1181363</v>
      </c>
      <c r="EG43" s="229">
        <v>0.13869999999999999</v>
      </c>
      <c r="EH43" s="229">
        <v>0.60809999999999997</v>
      </c>
      <c r="EI43" s="231">
        <v>22706.95</v>
      </c>
      <c r="EJ43" s="231">
        <v>7728.57</v>
      </c>
      <c r="EK43" s="231">
        <v>18639.88</v>
      </c>
      <c r="EL43" s="231">
        <v>3897</v>
      </c>
      <c r="EM43" s="231">
        <v>49075.4</v>
      </c>
      <c r="EN43" s="231">
        <v>60711.77</v>
      </c>
      <c r="EO43" s="231">
        <v>-11636.37</v>
      </c>
      <c r="EP43" s="229">
        <v>-0.19170000000000001</v>
      </c>
      <c r="EQ43" s="231">
        <v>15182</v>
      </c>
      <c r="ER43" s="231">
        <v>21212</v>
      </c>
      <c r="ES43" s="231">
        <v>148615</v>
      </c>
      <c r="ET43" s="231">
        <v>65472757</v>
      </c>
      <c r="EU43" s="231">
        <v>185009</v>
      </c>
      <c r="EV43" s="231">
        <v>180456</v>
      </c>
      <c r="EW43" s="231">
        <v>4553</v>
      </c>
      <c r="EX43" s="229">
        <v>2.52E-2</v>
      </c>
      <c r="EY43" s="229">
        <v>0.2631</v>
      </c>
    </row>
    <row r="44" spans="1:155" ht="17.25" thickBot="1" x14ac:dyDescent="0.3">
      <c r="A44" s="226">
        <v>46121</v>
      </c>
      <c r="B44" s="227" t="s">
        <v>227</v>
      </c>
      <c r="C44" s="227" t="s">
        <v>294</v>
      </c>
      <c r="D44" s="228">
        <v>206.19</v>
      </c>
      <c r="E44" s="228">
        <v>205.23</v>
      </c>
      <c r="F44" s="228">
        <v>0.96</v>
      </c>
      <c r="G44" s="229">
        <v>4.7000000000000002E-3</v>
      </c>
      <c r="H44" s="228">
        <v>205.2</v>
      </c>
      <c r="I44" s="228">
        <v>204.18</v>
      </c>
      <c r="J44" s="228">
        <v>1.02</v>
      </c>
      <c r="K44" s="229">
        <v>5.0000000000000001E-3</v>
      </c>
      <c r="L44" s="228">
        <v>206.19</v>
      </c>
      <c r="M44" s="228">
        <v>205.23</v>
      </c>
      <c r="N44" s="228">
        <v>0.96</v>
      </c>
      <c r="O44" s="229">
        <v>4.7000000000000002E-3</v>
      </c>
      <c r="P44" s="228">
        <v>207.26</v>
      </c>
      <c r="Q44" s="228">
        <v>206.35</v>
      </c>
      <c r="R44" s="228">
        <v>0.91</v>
      </c>
      <c r="S44" s="229">
        <v>4.4000000000000003E-3</v>
      </c>
      <c r="T44" s="228">
        <v>205.39</v>
      </c>
      <c r="U44" s="228">
        <v>204.26</v>
      </c>
      <c r="V44" s="228">
        <v>1.1299999999999999</v>
      </c>
      <c r="W44" s="229">
        <v>5.4999999999999997E-3</v>
      </c>
      <c r="X44" s="228">
        <v>0.99</v>
      </c>
      <c r="Y44" s="228">
        <v>1.05</v>
      </c>
      <c r="Z44" s="228">
        <v>-0.06</v>
      </c>
      <c r="AA44" s="229">
        <v>4.7999999999999996E-3</v>
      </c>
      <c r="AB44" s="228">
        <v>0.99</v>
      </c>
      <c r="AC44" s="228">
        <v>1.05</v>
      </c>
      <c r="AD44" s="228">
        <v>-0.06</v>
      </c>
      <c r="AE44" s="229">
        <v>4.7999999999999996E-3</v>
      </c>
      <c r="AF44" s="228">
        <v>2.06</v>
      </c>
      <c r="AG44" s="228">
        <v>2.17</v>
      </c>
      <c r="AH44" s="228">
        <v>-0.11</v>
      </c>
      <c r="AI44" s="229">
        <v>0.01</v>
      </c>
      <c r="AJ44" s="228">
        <v>0.19</v>
      </c>
      <c r="AK44" s="228">
        <v>0.08</v>
      </c>
      <c r="AL44" s="228">
        <v>0.11</v>
      </c>
      <c r="AM44" s="229">
        <v>8.9999999999999998E-4</v>
      </c>
      <c r="AN44" s="228">
        <v>206.91</v>
      </c>
      <c r="AO44" s="228">
        <v>208.06</v>
      </c>
      <c r="AP44" s="228">
        <v>0</v>
      </c>
      <c r="AQ44" s="230">
        <v>7386</v>
      </c>
      <c r="AR44" s="230">
        <v>8772</v>
      </c>
      <c r="AS44" s="230">
        <v>-1386</v>
      </c>
      <c r="AT44" s="229">
        <v>-0.158</v>
      </c>
      <c r="AU44" s="230">
        <v>5968</v>
      </c>
      <c r="AV44" s="230">
        <v>7441</v>
      </c>
      <c r="AW44" s="230">
        <v>-1473</v>
      </c>
      <c r="AX44" s="229">
        <v>-0.19800000000000001</v>
      </c>
      <c r="AY44" s="230">
        <v>1018</v>
      </c>
      <c r="AZ44" s="228">
        <v>959</v>
      </c>
      <c r="BA44" s="228">
        <v>59</v>
      </c>
      <c r="BB44" s="229">
        <v>6.1499999999999999E-2</v>
      </c>
      <c r="BC44" s="228">
        <v>400</v>
      </c>
      <c r="BD44" s="228">
        <v>372</v>
      </c>
      <c r="BE44" s="228">
        <v>28</v>
      </c>
      <c r="BF44" s="229">
        <v>7.5300000000000006E-2</v>
      </c>
      <c r="BG44" s="230">
        <v>21653</v>
      </c>
      <c r="BH44" s="230">
        <v>24186</v>
      </c>
      <c r="BI44" s="230">
        <v>-2533</v>
      </c>
      <c r="BJ44" s="229">
        <v>-0.1047</v>
      </c>
      <c r="BK44" s="230">
        <v>14785</v>
      </c>
      <c r="BL44" s="230">
        <v>18333</v>
      </c>
      <c r="BM44" s="230">
        <v>-3548</v>
      </c>
      <c r="BN44" s="229">
        <v>-0.19350000000000001</v>
      </c>
      <c r="BO44" s="230">
        <v>43824</v>
      </c>
      <c r="BP44" s="230">
        <v>51291</v>
      </c>
      <c r="BQ44" s="230">
        <v>-7467</v>
      </c>
      <c r="BR44" s="229">
        <v>-0.14560000000000001</v>
      </c>
      <c r="BS44" s="230">
        <v>39998630</v>
      </c>
      <c r="BT44" s="230">
        <v>38489411</v>
      </c>
      <c r="BU44" s="230">
        <v>1509219</v>
      </c>
      <c r="BV44" s="229">
        <v>3.9199999999999999E-2</v>
      </c>
      <c r="BW44" s="230">
        <v>190619000</v>
      </c>
      <c r="BX44" s="230">
        <v>183199500</v>
      </c>
      <c r="BY44" s="230">
        <v>7419500</v>
      </c>
      <c r="BZ44" s="229">
        <v>4.0500000000000001E-2</v>
      </c>
      <c r="CA44" s="230">
        <v>169746500</v>
      </c>
      <c r="CB44" s="230">
        <v>165737000</v>
      </c>
      <c r="CC44" s="230">
        <v>4009500</v>
      </c>
      <c r="CD44" s="229">
        <v>2.4199999999999999E-2</v>
      </c>
      <c r="CE44" s="230">
        <v>15922500</v>
      </c>
      <c r="CF44" s="230">
        <v>13722500</v>
      </c>
      <c r="CG44" s="230">
        <v>2200000</v>
      </c>
      <c r="CH44" s="229">
        <v>0.1603</v>
      </c>
      <c r="CI44" s="230">
        <v>4950000</v>
      </c>
      <c r="CJ44" s="230">
        <v>3740000</v>
      </c>
      <c r="CK44" s="230">
        <v>1210000</v>
      </c>
      <c r="CL44" s="229">
        <v>0.32350000000000001</v>
      </c>
      <c r="CM44" s="230">
        <v>105798000</v>
      </c>
      <c r="CN44" s="230">
        <v>101491500</v>
      </c>
      <c r="CO44" s="230">
        <v>4306500</v>
      </c>
      <c r="CP44" s="229">
        <v>4.24E-2</v>
      </c>
      <c r="CQ44" s="230">
        <v>82318500</v>
      </c>
      <c r="CR44" s="230">
        <v>75922000</v>
      </c>
      <c r="CS44" s="230">
        <v>6396500</v>
      </c>
      <c r="CT44" s="229">
        <v>8.43E-2</v>
      </c>
      <c r="CU44" s="230">
        <v>378735500</v>
      </c>
      <c r="CV44" s="230">
        <v>360613000</v>
      </c>
      <c r="CW44" s="230">
        <v>18122500</v>
      </c>
      <c r="CX44" s="229">
        <v>5.0299999999999997E-2</v>
      </c>
      <c r="CY44" s="228">
        <v>31.07</v>
      </c>
      <c r="CZ44" s="228">
        <v>31.26</v>
      </c>
      <c r="DA44" s="228">
        <v>-0.19</v>
      </c>
      <c r="DB44" s="228">
        <v>-0.19</v>
      </c>
      <c r="DC44" s="228">
        <v>36.53</v>
      </c>
      <c r="DD44" s="228">
        <v>36.619999999999997</v>
      </c>
      <c r="DE44" s="228">
        <v>-5.46</v>
      </c>
      <c r="DF44" s="228">
        <v>-0.09</v>
      </c>
      <c r="DG44" s="228">
        <v>30.15</v>
      </c>
      <c r="DH44" s="228">
        <v>29.71</v>
      </c>
      <c r="DI44" s="228">
        <v>0.44</v>
      </c>
      <c r="DJ44" s="228">
        <v>0.44</v>
      </c>
      <c r="DK44" s="228">
        <v>32.409999999999997</v>
      </c>
      <c r="DL44" s="228">
        <v>33.29</v>
      </c>
      <c r="DM44" s="228">
        <v>-0.88</v>
      </c>
      <c r="DN44" s="228">
        <v>-0.88</v>
      </c>
      <c r="DO44" s="228">
        <v>0.78</v>
      </c>
      <c r="DP44" s="228">
        <v>0.75</v>
      </c>
      <c r="DQ44" s="228">
        <v>0.03</v>
      </c>
      <c r="DR44" s="229">
        <v>0.04</v>
      </c>
      <c r="DS44" s="228">
        <v>195</v>
      </c>
      <c r="DT44" s="228">
        <v>200</v>
      </c>
      <c r="DU44" s="228">
        <v>0.68</v>
      </c>
      <c r="DV44" s="228">
        <v>0.76</v>
      </c>
      <c r="DW44" s="228">
        <v>-0.08</v>
      </c>
      <c r="DX44" s="229">
        <v>-0.1053</v>
      </c>
      <c r="DY44" s="229">
        <v>0.1095</v>
      </c>
      <c r="DZ44" s="230">
        <v>17462500</v>
      </c>
      <c r="EA44" s="229">
        <v>5.1999999999999998E-3</v>
      </c>
      <c r="EB44" s="229">
        <v>0.1095</v>
      </c>
      <c r="EC44" s="228">
        <v>1.1499999999999999</v>
      </c>
      <c r="ED44" s="229">
        <v>5.5999999999999999E-3</v>
      </c>
      <c r="EE44" s="230">
        <v>16861598</v>
      </c>
      <c r="EF44" s="230">
        <v>19100999</v>
      </c>
      <c r="EG44" s="229">
        <v>-0.1172</v>
      </c>
      <c r="EH44" s="229">
        <v>0.42159999999999997</v>
      </c>
      <c r="EI44" s="231">
        <v>257191.29</v>
      </c>
      <c r="EJ44" s="231">
        <v>163060.35999999999</v>
      </c>
      <c r="EK44" s="231">
        <v>84094.26</v>
      </c>
      <c r="EL44" s="231">
        <v>7228</v>
      </c>
      <c r="EM44" s="231">
        <v>504345.91</v>
      </c>
      <c r="EN44" s="231">
        <v>580532.30000000005</v>
      </c>
      <c r="EO44" s="231">
        <v>-76186.39</v>
      </c>
      <c r="EP44" s="229">
        <v>-0.13120000000000001</v>
      </c>
      <c r="EQ44" s="231">
        <v>216994</v>
      </c>
      <c r="ER44" s="231">
        <v>157048</v>
      </c>
      <c r="ES44" s="231">
        <v>393168</v>
      </c>
      <c r="ET44" s="231">
        <v>1049350971</v>
      </c>
      <c r="EU44" s="231">
        <v>767211</v>
      </c>
      <c r="EV44" s="231">
        <v>727784</v>
      </c>
      <c r="EW44" s="231">
        <v>39427</v>
      </c>
      <c r="EX44" s="229">
        <v>5.4199999999999998E-2</v>
      </c>
      <c r="EY44" s="229">
        <v>0.3609</v>
      </c>
    </row>
    <row r="45" spans="1:155" ht="17.25" thickBot="1" x14ac:dyDescent="0.3">
      <c r="A45" s="226">
        <v>46121</v>
      </c>
      <c r="B45" s="227" t="s">
        <v>221</v>
      </c>
      <c r="C45" s="227" t="s">
        <v>295</v>
      </c>
      <c r="D45" s="231">
        <v>2588</v>
      </c>
      <c r="E45" s="231">
        <v>2563.4</v>
      </c>
      <c r="F45" s="228">
        <v>24.6</v>
      </c>
      <c r="G45" s="229">
        <v>9.5999999999999992E-3</v>
      </c>
      <c r="H45" s="231">
        <v>2589</v>
      </c>
      <c r="I45" s="231">
        <v>2559.1999999999998</v>
      </c>
      <c r="J45" s="228">
        <v>29.8</v>
      </c>
      <c r="K45" s="229">
        <v>1.1599999999999999E-2</v>
      </c>
      <c r="L45" s="231">
        <v>2588</v>
      </c>
      <c r="M45" s="231">
        <v>2563.4</v>
      </c>
      <c r="N45" s="228">
        <v>24.6</v>
      </c>
      <c r="O45" s="229">
        <v>9.5999999999999992E-3</v>
      </c>
      <c r="P45" s="231">
        <v>2593.6999999999998</v>
      </c>
      <c r="Q45" s="231">
        <v>2569.4</v>
      </c>
      <c r="R45" s="228">
        <v>24.3</v>
      </c>
      <c r="S45" s="229">
        <v>9.4999999999999998E-3</v>
      </c>
      <c r="T45" s="231">
        <v>2594.8000000000002</v>
      </c>
      <c r="U45" s="231">
        <v>2568.1</v>
      </c>
      <c r="V45" s="228">
        <v>26.7</v>
      </c>
      <c r="W45" s="229">
        <v>1.04E-2</v>
      </c>
      <c r="X45" s="228">
        <v>-1</v>
      </c>
      <c r="Y45" s="228">
        <v>4.2</v>
      </c>
      <c r="Z45" s="228">
        <v>-5.2</v>
      </c>
      <c r="AA45" s="229">
        <v>-4.0000000000000002E-4</v>
      </c>
      <c r="AB45" s="228">
        <v>-1</v>
      </c>
      <c r="AC45" s="228">
        <v>4.2</v>
      </c>
      <c r="AD45" s="228">
        <v>-5.2</v>
      </c>
      <c r="AE45" s="229">
        <v>-4.0000000000000002E-4</v>
      </c>
      <c r="AF45" s="228">
        <v>4.7</v>
      </c>
      <c r="AG45" s="228">
        <v>10.199999999999999</v>
      </c>
      <c r="AH45" s="228">
        <v>-5.5</v>
      </c>
      <c r="AI45" s="229">
        <v>1.8E-3</v>
      </c>
      <c r="AJ45" s="228">
        <v>5.8</v>
      </c>
      <c r="AK45" s="228">
        <v>8.9</v>
      </c>
      <c r="AL45" s="228">
        <v>-3.1</v>
      </c>
      <c r="AM45" s="229">
        <v>2.2000000000000001E-3</v>
      </c>
      <c r="AN45" s="231">
        <v>2577.81</v>
      </c>
      <c r="AO45" s="231">
        <v>2584.5</v>
      </c>
      <c r="AP45" s="228">
        <v>0</v>
      </c>
      <c r="AQ45" s="230">
        <v>39416</v>
      </c>
      <c r="AR45" s="230">
        <v>29595</v>
      </c>
      <c r="AS45" s="230">
        <v>9821</v>
      </c>
      <c r="AT45" s="229">
        <v>0.33179999999999998</v>
      </c>
      <c r="AU45" s="230">
        <v>36863</v>
      </c>
      <c r="AV45" s="230">
        <v>27395</v>
      </c>
      <c r="AW45" s="230">
        <v>9468</v>
      </c>
      <c r="AX45" s="229">
        <v>0.34560000000000002</v>
      </c>
      <c r="AY45" s="230">
        <v>1949</v>
      </c>
      <c r="AZ45" s="230">
        <v>1562</v>
      </c>
      <c r="BA45" s="228">
        <v>387</v>
      </c>
      <c r="BB45" s="229">
        <v>0.24779999999999999</v>
      </c>
      <c r="BC45" s="228">
        <v>604</v>
      </c>
      <c r="BD45" s="228">
        <v>638</v>
      </c>
      <c r="BE45" s="228">
        <v>-34</v>
      </c>
      <c r="BF45" s="229">
        <v>-5.33E-2</v>
      </c>
      <c r="BG45" s="230">
        <v>225502</v>
      </c>
      <c r="BH45" s="230">
        <v>98595</v>
      </c>
      <c r="BI45" s="230">
        <v>126907</v>
      </c>
      <c r="BJ45" s="229">
        <v>1.2871999999999999</v>
      </c>
      <c r="BK45" s="230">
        <v>114793</v>
      </c>
      <c r="BL45" s="230">
        <v>51024</v>
      </c>
      <c r="BM45" s="230">
        <v>63769</v>
      </c>
      <c r="BN45" s="229">
        <v>1.2498</v>
      </c>
      <c r="BO45" s="230">
        <v>379711</v>
      </c>
      <c r="BP45" s="230">
        <v>179214</v>
      </c>
      <c r="BQ45" s="230">
        <v>200497</v>
      </c>
      <c r="BR45" s="229">
        <v>1.1188</v>
      </c>
      <c r="BS45" s="230">
        <v>6364033</v>
      </c>
      <c r="BT45" s="230">
        <v>5045914</v>
      </c>
      <c r="BU45" s="230">
        <v>1318119</v>
      </c>
      <c r="BV45" s="229">
        <v>0.26119999999999999</v>
      </c>
      <c r="BW45" s="230">
        <v>31869250</v>
      </c>
      <c r="BX45" s="230">
        <v>32402825</v>
      </c>
      <c r="BY45" s="230">
        <v>-533575</v>
      </c>
      <c r="BZ45" s="229">
        <v>-1.6500000000000001E-2</v>
      </c>
      <c r="CA45" s="230">
        <v>29806700</v>
      </c>
      <c r="CB45" s="230">
        <v>30423050</v>
      </c>
      <c r="CC45" s="230">
        <v>-616350</v>
      </c>
      <c r="CD45" s="229">
        <v>-2.0299999999999999E-2</v>
      </c>
      <c r="CE45" s="230">
        <v>1759275</v>
      </c>
      <c r="CF45" s="230">
        <v>1711500</v>
      </c>
      <c r="CG45" s="230">
        <v>47775</v>
      </c>
      <c r="CH45" s="229">
        <v>2.7900000000000001E-2</v>
      </c>
      <c r="CI45" s="230">
        <v>303275</v>
      </c>
      <c r="CJ45" s="230">
        <v>268275</v>
      </c>
      <c r="CK45" s="230">
        <v>35000</v>
      </c>
      <c r="CL45" s="229">
        <v>0.1305</v>
      </c>
      <c r="CM45" s="230">
        <v>16373700</v>
      </c>
      <c r="CN45" s="230">
        <v>9787225</v>
      </c>
      <c r="CO45" s="230">
        <v>6586475</v>
      </c>
      <c r="CP45" s="229">
        <v>0.67300000000000004</v>
      </c>
      <c r="CQ45" s="230">
        <v>11864475</v>
      </c>
      <c r="CR45" s="230">
        <v>9173325</v>
      </c>
      <c r="CS45" s="230">
        <v>2691150</v>
      </c>
      <c r="CT45" s="229">
        <v>0.29339999999999999</v>
      </c>
      <c r="CU45" s="230">
        <v>60107425</v>
      </c>
      <c r="CV45" s="230">
        <v>51363375</v>
      </c>
      <c r="CW45" s="230">
        <v>8744050</v>
      </c>
      <c r="CX45" s="229">
        <v>0.17019999999999999</v>
      </c>
      <c r="CY45" s="228">
        <v>33.479999999999997</v>
      </c>
      <c r="CZ45" s="228">
        <v>33.86</v>
      </c>
      <c r="DA45" s="228">
        <v>-0.38</v>
      </c>
      <c r="DB45" s="228">
        <v>-0.38</v>
      </c>
      <c r="DC45" s="228">
        <v>26.91</v>
      </c>
      <c r="DD45" s="228">
        <v>26.94</v>
      </c>
      <c r="DE45" s="228">
        <v>6.57</v>
      </c>
      <c r="DF45" s="228">
        <v>-0.03</v>
      </c>
      <c r="DG45" s="228">
        <v>32.69</v>
      </c>
      <c r="DH45" s="228">
        <v>33.18</v>
      </c>
      <c r="DI45" s="228">
        <v>-0.49</v>
      </c>
      <c r="DJ45" s="228">
        <v>-0.49</v>
      </c>
      <c r="DK45" s="228">
        <v>35.03</v>
      </c>
      <c r="DL45" s="228">
        <v>35.159999999999997</v>
      </c>
      <c r="DM45" s="228">
        <v>-0.13</v>
      </c>
      <c r="DN45" s="228">
        <v>-0.13</v>
      </c>
      <c r="DO45" s="228">
        <v>0.72</v>
      </c>
      <c r="DP45" s="228">
        <v>0.94</v>
      </c>
      <c r="DQ45" s="228">
        <v>-0.22</v>
      </c>
      <c r="DR45" s="229">
        <v>-0.23400000000000001</v>
      </c>
      <c r="DS45" s="231">
        <v>2600</v>
      </c>
      <c r="DT45" s="231">
        <v>2400</v>
      </c>
      <c r="DU45" s="228">
        <v>0.51</v>
      </c>
      <c r="DV45" s="228">
        <v>0.52</v>
      </c>
      <c r="DW45" s="228">
        <v>-0.01</v>
      </c>
      <c r="DX45" s="229">
        <v>-1.9199999999999998E-2</v>
      </c>
      <c r="DY45" s="229">
        <v>6.4699999999999994E-2</v>
      </c>
      <c r="DZ45" s="230">
        <v>1979775</v>
      </c>
      <c r="EA45" s="229">
        <v>2.2000000000000001E-3</v>
      </c>
      <c r="EB45" s="229">
        <v>6.4699999999999994E-2</v>
      </c>
      <c r="EC45" s="228">
        <v>6.69</v>
      </c>
      <c r="ED45" s="229">
        <v>2.5999999999999999E-3</v>
      </c>
      <c r="EE45" s="230">
        <v>2138762</v>
      </c>
      <c r="EF45" s="230">
        <v>2279227</v>
      </c>
      <c r="EG45" s="229">
        <v>-6.1600000000000002E-2</v>
      </c>
      <c r="EH45" s="229">
        <v>0.33610000000000001</v>
      </c>
      <c r="EI45" s="231">
        <v>1078958.8600000001</v>
      </c>
      <c r="EJ45" s="231">
        <v>501606.88</v>
      </c>
      <c r="EK45" s="231">
        <v>177839.14</v>
      </c>
      <c r="EL45" s="231">
        <v>21993</v>
      </c>
      <c r="EM45" s="231">
        <v>1758404.88</v>
      </c>
      <c r="EN45" s="231">
        <v>824098.39</v>
      </c>
      <c r="EO45" s="231">
        <v>934306.49</v>
      </c>
      <c r="EP45" s="229">
        <v>1.1336999999999999</v>
      </c>
      <c r="EQ45" s="231">
        <v>438163</v>
      </c>
      <c r="ER45" s="231">
        <v>295639</v>
      </c>
      <c r="ES45" s="231">
        <v>824897</v>
      </c>
      <c r="ET45" s="231">
        <v>153229333</v>
      </c>
      <c r="EU45" s="231">
        <v>1558699</v>
      </c>
      <c r="EV45" s="231">
        <v>1316908</v>
      </c>
      <c r="EW45" s="231">
        <v>241791</v>
      </c>
      <c r="EX45" s="229">
        <v>0.18360000000000001</v>
      </c>
      <c r="EY45" s="229">
        <v>0.39229999999999998</v>
      </c>
    </row>
    <row r="46" spans="1:155" ht="17.25" thickBot="1" x14ac:dyDescent="0.3">
      <c r="A46" s="226">
        <v>46121</v>
      </c>
      <c r="B46" s="227" t="s">
        <v>221</v>
      </c>
      <c r="C46" s="227" t="s">
        <v>296</v>
      </c>
      <c r="D46" s="231">
        <v>1464.6</v>
      </c>
      <c r="E46" s="231">
        <v>1456</v>
      </c>
      <c r="F46" s="228">
        <v>8.6</v>
      </c>
      <c r="G46" s="229">
        <v>5.8999999999999999E-3</v>
      </c>
      <c r="H46" s="231">
        <v>1461.6</v>
      </c>
      <c r="I46" s="231">
        <v>1451.4</v>
      </c>
      <c r="J46" s="228">
        <v>10.199999999999999</v>
      </c>
      <c r="K46" s="229">
        <v>7.0000000000000001E-3</v>
      </c>
      <c r="L46" s="231">
        <v>1464.6</v>
      </c>
      <c r="M46" s="231">
        <v>1456</v>
      </c>
      <c r="N46" s="228">
        <v>8.6</v>
      </c>
      <c r="O46" s="229">
        <v>5.8999999999999999E-3</v>
      </c>
      <c r="P46" s="231">
        <v>1467</v>
      </c>
      <c r="Q46" s="231">
        <v>1459.2</v>
      </c>
      <c r="R46" s="228">
        <v>7.8</v>
      </c>
      <c r="S46" s="229">
        <v>5.3E-3</v>
      </c>
      <c r="T46" s="231">
        <v>1473.4</v>
      </c>
      <c r="U46" s="231">
        <v>1467.6</v>
      </c>
      <c r="V46" s="228">
        <v>5.8</v>
      </c>
      <c r="W46" s="229">
        <v>4.0000000000000001E-3</v>
      </c>
      <c r="X46" s="228">
        <v>3</v>
      </c>
      <c r="Y46" s="228">
        <v>4.5999999999999996</v>
      </c>
      <c r="Z46" s="228">
        <v>-1.6</v>
      </c>
      <c r="AA46" s="229">
        <v>2.0999999999999999E-3</v>
      </c>
      <c r="AB46" s="228">
        <v>3</v>
      </c>
      <c r="AC46" s="228">
        <v>4.5999999999999996</v>
      </c>
      <c r="AD46" s="228">
        <v>-1.6</v>
      </c>
      <c r="AE46" s="229">
        <v>2.0999999999999999E-3</v>
      </c>
      <c r="AF46" s="228">
        <v>5.4</v>
      </c>
      <c r="AG46" s="228">
        <v>7.8</v>
      </c>
      <c r="AH46" s="228">
        <v>-2.4</v>
      </c>
      <c r="AI46" s="229">
        <v>3.7000000000000002E-3</v>
      </c>
      <c r="AJ46" s="228">
        <v>11.8</v>
      </c>
      <c r="AK46" s="228">
        <v>16.2</v>
      </c>
      <c r="AL46" s="228">
        <v>-4.4000000000000004</v>
      </c>
      <c r="AM46" s="229">
        <v>8.0999999999999996E-3</v>
      </c>
      <c r="AN46" s="231">
        <v>1454.62</v>
      </c>
      <c r="AO46" s="231">
        <v>1456.56</v>
      </c>
      <c r="AP46" s="228">
        <v>0</v>
      </c>
      <c r="AQ46" s="230">
        <v>4042</v>
      </c>
      <c r="AR46" s="230">
        <v>5885</v>
      </c>
      <c r="AS46" s="230">
        <v>-1843</v>
      </c>
      <c r="AT46" s="229">
        <v>-0.31319999999999998</v>
      </c>
      <c r="AU46" s="230">
        <v>3845</v>
      </c>
      <c r="AV46" s="230">
        <v>5524</v>
      </c>
      <c r="AW46" s="230">
        <v>-1679</v>
      </c>
      <c r="AX46" s="229">
        <v>-0.3039</v>
      </c>
      <c r="AY46" s="228">
        <v>179</v>
      </c>
      <c r="AZ46" s="228">
        <v>303</v>
      </c>
      <c r="BA46" s="228">
        <v>-124</v>
      </c>
      <c r="BB46" s="229">
        <v>-0.40920000000000001</v>
      </c>
      <c r="BC46" s="228">
        <v>18</v>
      </c>
      <c r="BD46" s="228">
        <v>58</v>
      </c>
      <c r="BE46" s="228">
        <v>-40</v>
      </c>
      <c r="BF46" s="229">
        <v>-0.68969999999999998</v>
      </c>
      <c r="BG46" s="230">
        <v>12783</v>
      </c>
      <c r="BH46" s="230">
        <v>14891</v>
      </c>
      <c r="BI46" s="230">
        <v>-2108</v>
      </c>
      <c r="BJ46" s="229">
        <v>-0.1416</v>
      </c>
      <c r="BK46" s="230">
        <v>7524</v>
      </c>
      <c r="BL46" s="230">
        <v>10111</v>
      </c>
      <c r="BM46" s="230">
        <v>-2587</v>
      </c>
      <c r="BN46" s="229">
        <v>-0.25590000000000002</v>
      </c>
      <c r="BO46" s="230">
        <v>24349</v>
      </c>
      <c r="BP46" s="230">
        <v>30887</v>
      </c>
      <c r="BQ46" s="230">
        <v>-6538</v>
      </c>
      <c r="BR46" s="229">
        <v>-0.2117</v>
      </c>
      <c r="BS46" s="230">
        <v>1866643</v>
      </c>
      <c r="BT46" s="230">
        <v>2857029</v>
      </c>
      <c r="BU46" s="230">
        <v>-990386</v>
      </c>
      <c r="BV46" s="229">
        <v>-0.34660000000000002</v>
      </c>
      <c r="BW46" s="230">
        <v>18630600</v>
      </c>
      <c r="BX46" s="230">
        <v>19127400</v>
      </c>
      <c r="BY46" s="230">
        <v>-496800</v>
      </c>
      <c r="BZ46" s="229">
        <v>-2.5999999999999999E-2</v>
      </c>
      <c r="CA46" s="230">
        <v>18244800</v>
      </c>
      <c r="CB46" s="230">
        <v>18753000</v>
      </c>
      <c r="CC46" s="230">
        <v>-508200</v>
      </c>
      <c r="CD46" s="229">
        <v>-2.7099999999999999E-2</v>
      </c>
      <c r="CE46" s="230">
        <v>291600</v>
      </c>
      <c r="CF46" s="230">
        <v>283200</v>
      </c>
      <c r="CG46" s="230">
        <v>8400</v>
      </c>
      <c r="CH46" s="229">
        <v>2.9700000000000001E-2</v>
      </c>
      <c r="CI46" s="230">
        <v>94200</v>
      </c>
      <c r="CJ46" s="230">
        <v>91200</v>
      </c>
      <c r="CK46" s="230">
        <v>3000</v>
      </c>
      <c r="CL46" s="229">
        <v>3.2899999999999999E-2</v>
      </c>
      <c r="CM46" s="230">
        <v>4905600</v>
      </c>
      <c r="CN46" s="230">
        <v>4807200</v>
      </c>
      <c r="CO46" s="230">
        <v>98400</v>
      </c>
      <c r="CP46" s="229">
        <v>2.0500000000000001E-2</v>
      </c>
      <c r="CQ46" s="230">
        <v>3864600</v>
      </c>
      <c r="CR46" s="230">
        <v>3912000</v>
      </c>
      <c r="CS46" s="230">
        <v>-47400</v>
      </c>
      <c r="CT46" s="229">
        <v>-1.21E-2</v>
      </c>
      <c r="CU46" s="230">
        <v>27400800</v>
      </c>
      <c r="CV46" s="230">
        <v>27846600</v>
      </c>
      <c r="CW46" s="230">
        <v>-445800</v>
      </c>
      <c r="CX46" s="229">
        <v>-1.6E-2</v>
      </c>
      <c r="CY46" s="228">
        <v>34.99</v>
      </c>
      <c r="CZ46" s="228">
        <v>35.11</v>
      </c>
      <c r="DA46" s="228">
        <v>-0.12</v>
      </c>
      <c r="DB46" s="228">
        <v>-0.12</v>
      </c>
      <c r="DC46" s="228">
        <v>31.24</v>
      </c>
      <c r="DD46" s="228">
        <v>31.31</v>
      </c>
      <c r="DE46" s="228">
        <v>3.75</v>
      </c>
      <c r="DF46" s="228">
        <v>-7.0000000000000007E-2</v>
      </c>
      <c r="DG46" s="228">
        <v>34.130000000000003</v>
      </c>
      <c r="DH46" s="228">
        <v>34.65</v>
      </c>
      <c r="DI46" s="228">
        <v>-0.52</v>
      </c>
      <c r="DJ46" s="228">
        <v>-0.52</v>
      </c>
      <c r="DK46" s="228">
        <v>36.450000000000003</v>
      </c>
      <c r="DL46" s="228">
        <v>35.78</v>
      </c>
      <c r="DM46" s="228">
        <v>0.67</v>
      </c>
      <c r="DN46" s="228">
        <v>0.67</v>
      </c>
      <c r="DO46" s="228">
        <v>0.79</v>
      </c>
      <c r="DP46" s="228">
        <v>0.81</v>
      </c>
      <c r="DQ46" s="228">
        <v>-0.02</v>
      </c>
      <c r="DR46" s="229">
        <v>-2.47E-2</v>
      </c>
      <c r="DS46" s="231">
        <v>1500</v>
      </c>
      <c r="DT46" s="231">
        <v>1320</v>
      </c>
      <c r="DU46" s="228">
        <v>0.59</v>
      </c>
      <c r="DV46" s="228">
        <v>0.68</v>
      </c>
      <c r="DW46" s="228">
        <v>-0.09</v>
      </c>
      <c r="DX46" s="229">
        <v>-0.13239999999999999</v>
      </c>
      <c r="DY46" s="229">
        <v>2.07E-2</v>
      </c>
      <c r="DZ46" s="230">
        <v>374400</v>
      </c>
      <c r="EA46" s="229">
        <v>1.6000000000000001E-3</v>
      </c>
      <c r="EB46" s="229">
        <v>2.07E-2</v>
      </c>
      <c r="EC46" s="228">
        <v>1.94</v>
      </c>
      <c r="ED46" s="229">
        <v>1.2999999999999999E-3</v>
      </c>
      <c r="EE46" s="230">
        <v>738287</v>
      </c>
      <c r="EF46" s="230">
        <v>1316326</v>
      </c>
      <c r="EG46" s="229">
        <v>-0.43909999999999999</v>
      </c>
      <c r="EH46" s="229">
        <v>0.39550000000000002</v>
      </c>
      <c r="EI46" s="231">
        <v>117278.48</v>
      </c>
      <c r="EJ46" s="231">
        <v>65548.710000000006</v>
      </c>
      <c r="EK46" s="231">
        <v>35280.76</v>
      </c>
      <c r="EL46" s="231">
        <v>4907</v>
      </c>
      <c r="EM46" s="231">
        <v>218107.95</v>
      </c>
      <c r="EN46" s="231">
        <v>278455.5</v>
      </c>
      <c r="EO46" s="231">
        <v>-60347.55</v>
      </c>
      <c r="EP46" s="229">
        <v>-0.2167</v>
      </c>
      <c r="EQ46" s="231">
        <v>73048</v>
      </c>
      <c r="ER46" s="231">
        <v>53416</v>
      </c>
      <c r="ES46" s="231">
        <v>272879</v>
      </c>
      <c r="ET46" s="231">
        <v>95553300</v>
      </c>
      <c r="EU46" s="231">
        <v>399343</v>
      </c>
      <c r="EV46" s="231">
        <v>404179</v>
      </c>
      <c r="EW46" s="231">
        <v>-4836</v>
      </c>
      <c r="EX46" s="229">
        <v>-1.2E-2</v>
      </c>
      <c r="EY46" s="229">
        <v>0.2868</v>
      </c>
    </row>
    <row r="47" spans="1:155" ht="17.25" thickBot="1" x14ac:dyDescent="0.3">
      <c r="A47" s="226">
        <v>46121</v>
      </c>
      <c r="B47" s="227" t="s">
        <v>168</v>
      </c>
      <c r="C47" s="227" t="s">
        <v>297</v>
      </c>
      <c r="D47" s="231">
        <v>4449.7</v>
      </c>
      <c r="E47" s="231">
        <v>4501.8999999999996</v>
      </c>
      <c r="F47" s="228">
        <v>-52.2</v>
      </c>
      <c r="G47" s="229">
        <v>-1.1599999999999999E-2</v>
      </c>
      <c r="H47" s="231">
        <v>4439.8</v>
      </c>
      <c r="I47" s="231">
        <v>4492.5</v>
      </c>
      <c r="J47" s="228">
        <v>-52.7</v>
      </c>
      <c r="K47" s="229">
        <v>-1.17E-2</v>
      </c>
      <c r="L47" s="231">
        <v>4449.7</v>
      </c>
      <c r="M47" s="231">
        <v>4501.8999999999996</v>
      </c>
      <c r="N47" s="228">
        <v>-52.2</v>
      </c>
      <c r="O47" s="229">
        <v>-1.1599999999999999E-2</v>
      </c>
      <c r="P47" s="231">
        <v>4471.5</v>
      </c>
      <c r="Q47" s="231">
        <v>4530.3</v>
      </c>
      <c r="R47" s="228">
        <v>-58.8</v>
      </c>
      <c r="S47" s="229">
        <v>-1.2999999999999999E-2</v>
      </c>
      <c r="T47" s="231">
        <v>4496.3</v>
      </c>
      <c r="U47" s="231">
        <v>4554.3</v>
      </c>
      <c r="V47" s="228">
        <v>-58</v>
      </c>
      <c r="W47" s="229">
        <v>-1.2699999999999999E-2</v>
      </c>
      <c r="X47" s="228">
        <v>9.9</v>
      </c>
      <c r="Y47" s="228">
        <v>9.4</v>
      </c>
      <c r="Z47" s="228">
        <v>0.5</v>
      </c>
      <c r="AA47" s="229">
        <v>2.2000000000000001E-3</v>
      </c>
      <c r="AB47" s="228">
        <v>9.9</v>
      </c>
      <c r="AC47" s="228">
        <v>9.4</v>
      </c>
      <c r="AD47" s="228">
        <v>0.5</v>
      </c>
      <c r="AE47" s="229">
        <v>2.2000000000000001E-3</v>
      </c>
      <c r="AF47" s="228">
        <v>31.7</v>
      </c>
      <c r="AG47" s="228">
        <v>37.799999999999997</v>
      </c>
      <c r="AH47" s="228">
        <v>-6.1</v>
      </c>
      <c r="AI47" s="229">
        <v>7.1000000000000004E-3</v>
      </c>
      <c r="AJ47" s="228">
        <v>56.5</v>
      </c>
      <c r="AK47" s="228">
        <v>61.8</v>
      </c>
      <c r="AL47" s="228">
        <v>-5.3</v>
      </c>
      <c r="AM47" s="229">
        <v>1.2699999999999999E-2</v>
      </c>
      <c r="AN47" s="231">
        <v>4461.3999999999996</v>
      </c>
      <c r="AO47" s="231">
        <v>4490.1400000000003</v>
      </c>
      <c r="AP47" s="228">
        <v>0</v>
      </c>
      <c r="AQ47" s="230">
        <v>4802</v>
      </c>
      <c r="AR47" s="230">
        <v>18531</v>
      </c>
      <c r="AS47" s="230">
        <v>-13729</v>
      </c>
      <c r="AT47" s="229">
        <v>-0.7409</v>
      </c>
      <c r="AU47" s="230">
        <v>4380</v>
      </c>
      <c r="AV47" s="230">
        <v>17480</v>
      </c>
      <c r="AW47" s="230">
        <v>-13100</v>
      </c>
      <c r="AX47" s="229">
        <v>-0.74939999999999996</v>
      </c>
      <c r="AY47" s="228">
        <v>387</v>
      </c>
      <c r="AZ47" s="228">
        <v>954</v>
      </c>
      <c r="BA47" s="228">
        <v>-567</v>
      </c>
      <c r="BB47" s="229">
        <v>-0.59430000000000005</v>
      </c>
      <c r="BC47" s="228">
        <v>35</v>
      </c>
      <c r="BD47" s="228">
        <v>97</v>
      </c>
      <c r="BE47" s="228">
        <v>-62</v>
      </c>
      <c r="BF47" s="229">
        <v>-0.63919999999999999</v>
      </c>
      <c r="BG47" s="230">
        <v>19569</v>
      </c>
      <c r="BH47" s="230">
        <v>76940</v>
      </c>
      <c r="BI47" s="230">
        <v>-57371</v>
      </c>
      <c r="BJ47" s="229">
        <v>-0.74570000000000003</v>
      </c>
      <c r="BK47" s="230">
        <v>16230</v>
      </c>
      <c r="BL47" s="230">
        <v>41175</v>
      </c>
      <c r="BM47" s="230">
        <v>-24945</v>
      </c>
      <c r="BN47" s="229">
        <v>-0.60580000000000001</v>
      </c>
      <c r="BO47" s="230">
        <v>40601</v>
      </c>
      <c r="BP47" s="230">
        <v>136646</v>
      </c>
      <c r="BQ47" s="230">
        <v>-96045</v>
      </c>
      <c r="BR47" s="229">
        <v>-0.70289999999999997</v>
      </c>
      <c r="BS47" s="230">
        <v>1467417</v>
      </c>
      <c r="BT47" s="230">
        <v>4096058</v>
      </c>
      <c r="BU47" s="230">
        <v>-2628641</v>
      </c>
      <c r="BV47" s="229">
        <v>-0.64170000000000005</v>
      </c>
      <c r="BW47" s="230">
        <v>9811375</v>
      </c>
      <c r="BX47" s="230">
        <v>9840250</v>
      </c>
      <c r="BY47" s="230">
        <v>-28875</v>
      </c>
      <c r="BZ47" s="229">
        <v>-2.8999999999999998E-3</v>
      </c>
      <c r="CA47" s="230">
        <v>9430575</v>
      </c>
      <c r="CB47" s="230">
        <v>9483425</v>
      </c>
      <c r="CC47" s="230">
        <v>-52850</v>
      </c>
      <c r="CD47" s="229">
        <v>-5.5999999999999999E-3</v>
      </c>
      <c r="CE47" s="230">
        <v>339150</v>
      </c>
      <c r="CF47" s="230">
        <v>317275</v>
      </c>
      <c r="CG47" s="230">
        <v>21875</v>
      </c>
      <c r="CH47" s="229">
        <v>6.8900000000000003E-2</v>
      </c>
      <c r="CI47" s="230">
        <v>41650</v>
      </c>
      <c r="CJ47" s="230">
        <v>39550</v>
      </c>
      <c r="CK47" s="230">
        <v>2100</v>
      </c>
      <c r="CL47" s="229">
        <v>5.3100000000000001E-2</v>
      </c>
      <c r="CM47" s="230">
        <v>3281600</v>
      </c>
      <c r="CN47" s="230">
        <v>3285100</v>
      </c>
      <c r="CO47" s="230">
        <v>-3500</v>
      </c>
      <c r="CP47" s="229">
        <v>-1.1000000000000001E-3</v>
      </c>
      <c r="CQ47" s="230">
        <v>2435650</v>
      </c>
      <c r="CR47" s="230">
        <v>2569875</v>
      </c>
      <c r="CS47" s="230">
        <v>-134225</v>
      </c>
      <c r="CT47" s="229">
        <v>-5.2200000000000003E-2</v>
      </c>
      <c r="CU47" s="230">
        <v>15528625</v>
      </c>
      <c r="CV47" s="230">
        <v>15695225</v>
      </c>
      <c r="CW47" s="230">
        <v>-166600</v>
      </c>
      <c r="CX47" s="229">
        <v>-1.06E-2</v>
      </c>
      <c r="CY47" s="228">
        <v>25.97</v>
      </c>
      <c r="CZ47" s="228">
        <v>27.52</v>
      </c>
      <c r="DA47" s="228">
        <v>-1.55</v>
      </c>
      <c r="DB47" s="228">
        <v>-1.55</v>
      </c>
      <c r="DC47" s="228">
        <v>27.94</v>
      </c>
      <c r="DD47" s="228">
        <v>27.97</v>
      </c>
      <c r="DE47" s="228">
        <v>-1.97</v>
      </c>
      <c r="DF47" s="228">
        <v>-0.03</v>
      </c>
      <c r="DG47" s="228">
        <v>24.49</v>
      </c>
      <c r="DH47" s="228">
        <v>26.1</v>
      </c>
      <c r="DI47" s="228">
        <v>-1.61</v>
      </c>
      <c r="DJ47" s="228">
        <v>-1.61</v>
      </c>
      <c r="DK47" s="228">
        <v>27.75</v>
      </c>
      <c r="DL47" s="228">
        <v>30.17</v>
      </c>
      <c r="DM47" s="228">
        <v>-2.42</v>
      </c>
      <c r="DN47" s="228">
        <v>-2.42</v>
      </c>
      <c r="DO47" s="228">
        <v>0.74</v>
      </c>
      <c r="DP47" s="228">
        <v>0.78</v>
      </c>
      <c r="DQ47" s="228">
        <v>-0.04</v>
      </c>
      <c r="DR47" s="229">
        <v>-5.1299999999999998E-2</v>
      </c>
      <c r="DS47" s="231">
        <v>4200</v>
      </c>
      <c r="DT47" s="231">
        <v>4200</v>
      </c>
      <c r="DU47" s="228">
        <v>0.83</v>
      </c>
      <c r="DV47" s="228">
        <v>0.54</v>
      </c>
      <c r="DW47" s="228">
        <v>0.28999999999999998</v>
      </c>
      <c r="DX47" s="229">
        <v>0.53700000000000003</v>
      </c>
      <c r="DY47" s="229">
        <v>3.8800000000000001E-2</v>
      </c>
      <c r="DZ47" s="230">
        <v>356825</v>
      </c>
      <c r="EA47" s="229">
        <v>4.8999999999999998E-3</v>
      </c>
      <c r="EB47" s="229">
        <v>3.8800000000000001E-2</v>
      </c>
      <c r="EC47" s="228">
        <v>28.74</v>
      </c>
      <c r="ED47" s="229">
        <v>6.4000000000000003E-3</v>
      </c>
      <c r="EE47" s="230">
        <v>897897</v>
      </c>
      <c r="EF47" s="230">
        <v>2303570</v>
      </c>
      <c r="EG47" s="229">
        <v>-0.61019999999999996</v>
      </c>
      <c r="EH47" s="229">
        <v>0.6119</v>
      </c>
      <c r="EI47" s="231">
        <v>159124.26</v>
      </c>
      <c r="EJ47" s="231">
        <v>123322.11</v>
      </c>
      <c r="EK47" s="231">
        <v>37514.14</v>
      </c>
      <c r="EL47" s="231">
        <v>10882</v>
      </c>
      <c r="EM47" s="231">
        <v>319960.51</v>
      </c>
      <c r="EN47" s="231">
        <v>1072858.6100000001</v>
      </c>
      <c r="EO47" s="231">
        <v>-752898.1</v>
      </c>
      <c r="EP47" s="229">
        <v>-0.70179999999999998</v>
      </c>
      <c r="EQ47" s="231">
        <v>143681</v>
      </c>
      <c r="ER47" s="231">
        <v>99684</v>
      </c>
      <c r="ES47" s="231">
        <v>436670</v>
      </c>
      <c r="ET47" s="231">
        <v>41744334</v>
      </c>
      <c r="EU47" s="231">
        <v>680036</v>
      </c>
      <c r="EV47" s="231">
        <v>691459</v>
      </c>
      <c r="EW47" s="231">
        <v>-11423</v>
      </c>
      <c r="EX47" s="229">
        <v>-1.6500000000000001E-2</v>
      </c>
      <c r="EY47" s="229">
        <v>0.372</v>
      </c>
    </row>
    <row r="48" spans="1:155" ht="17.25" thickBot="1" x14ac:dyDescent="0.3">
      <c r="A48" s="226">
        <v>46121</v>
      </c>
      <c r="B48" s="227" t="s">
        <v>162</v>
      </c>
      <c r="C48" s="227" t="s">
        <v>687</v>
      </c>
      <c r="D48" s="228">
        <v>333.9</v>
      </c>
      <c r="E48" s="228">
        <v>336.3</v>
      </c>
      <c r="F48" s="228">
        <v>-2.4</v>
      </c>
      <c r="G48" s="229">
        <v>-7.1000000000000004E-3</v>
      </c>
      <c r="H48" s="228">
        <v>333.25</v>
      </c>
      <c r="I48" s="228">
        <v>334.75</v>
      </c>
      <c r="J48" s="228">
        <v>-1.5</v>
      </c>
      <c r="K48" s="229">
        <v>-4.4999999999999997E-3</v>
      </c>
      <c r="L48" s="228">
        <v>333.9</v>
      </c>
      <c r="M48" s="228">
        <v>336.3</v>
      </c>
      <c r="N48" s="228">
        <v>-2.4</v>
      </c>
      <c r="O48" s="229">
        <v>-7.1000000000000004E-3</v>
      </c>
      <c r="P48" s="228">
        <v>335.5</v>
      </c>
      <c r="Q48" s="228">
        <v>338.25</v>
      </c>
      <c r="R48" s="228">
        <v>-2.75</v>
      </c>
      <c r="S48" s="229">
        <v>-8.0999999999999996E-3</v>
      </c>
      <c r="T48" s="228">
        <v>335.1</v>
      </c>
      <c r="U48" s="228">
        <v>338.55</v>
      </c>
      <c r="V48" s="228">
        <v>-3.45</v>
      </c>
      <c r="W48" s="229">
        <v>-1.0200000000000001E-2</v>
      </c>
      <c r="X48" s="228">
        <v>0.65</v>
      </c>
      <c r="Y48" s="228">
        <v>1.55</v>
      </c>
      <c r="Z48" s="228">
        <v>-0.9</v>
      </c>
      <c r="AA48" s="229">
        <v>2E-3</v>
      </c>
      <c r="AB48" s="228">
        <v>0.65</v>
      </c>
      <c r="AC48" s="228">
        <v>1.55</v>
      </c>
      <c r="AD48" s="228">
        <v>-0.9</v>
      </c>
      <c r="AE48" s="229">
        <v>2E-3</v>
      </c>
      <c r="AF48" s="228">
        <v>2.25</v>
      </c>
      <c r="AG48" s="228">
        <v>3.5</v>
      </c>
      <c r="AH48" s="228">
        <v>-1.25</v>
      </c>
      <c r="AI48" s="229">
        <v>6.7999999999999996E-3</v>
      </c>
      <c r="AJ48" s="228">
        <v>1.85</v>
      </c>
      <c r="AK48" s="228">
        <v>3.8</v>
      </c>
      <c r="AL48" s="228">
        <v>-1.95</v>
      </c>
      <c r="AM48" s="229">
        <v>5.5999999999999999E-3</v>
      </c>
      <c r="AN48" s="228">
        <v>335.89</v>
      </c>
      <c r="AO48" s="228">
        <v>337.61</v>
      </c>
      <c r="AP48" s="228">
        <v>0</v>
      </c>
      <c r="AQ48" s="230">
        <v>13478</v>
      </c>
      <c r="AR48" s="230">
        <v>25909</v>
      </c>
      <c r="AS48" s="230">
        <v>-12431</v>
      </c>
      <c r="AT48" s="229">
        <v>-0.4798</v>
      </c>
      <c r="AU48" s="230">
        <v>11303</v>
      </c>
      <c r="AV48" s="230">
        <v>23306</v>
      </c>
      <c r="AW48" s="230">
        <v>-12003</v>
      </c>
      <c r="AX48" s="229">
        <v>-0.51500000000000001</v>
      </c>
      <c r="AY48" s="230">
        <v>1390</v>
      </c>
      <c r="AZ48" s="230">
        <v>2140</v>
      </c>
      <c r="BA48" s="228">
        <v>-750</v>
      </c>
      <c r="BB48" s="229">
        <v>-0.35049999999999998</v>
      </c>
      <c r="BC48" s="228">
        <v>785</v>
      </c>
      <c r="BD48" s="228">
        <v>463</v>
      </c>
      <c r="BE48" s="228">
        <v>322</v>
      </c>
      <c r="BF48" s="229">
        <v>0.69550000000000001</v>
      </c>
      <c r="BG48" s="230">
        <v>41478</v>
      </c>
      <c r="BH48" s="230">
        <v>90006</v>
      </c>
      <c r="BI48" s="230">
        <v>-48528</v>
      </c>
      <c r="BJ48" s="229">
        <v>-0.53920000000000001</v>
      </c>
      <c r="BK48" s="230">
        <v>26742</v>
      </c>
      <c r="BL48" s="230">
        <v>49843</v>
      </c>
      <c r="BM48" s="230">
        <v>-23101</v>
      </c>
      <c r="BN48" s="229">
        <v>-0.46350000000000002</v>
      </c>
      <c r="BO48" s="230">
        <v>81698</v>
      </c>
      <c r="BP48" s="230">
        <v>165758</v>
      </c>
      <c r="BQ48" s="230">
        <v>-84060</v>
      </c>
      <c r="BR48" s="229">
        <v>-0.5071</v>
      </c>
      <c r="BS48" s="230">
        <v>11110200</v>
      </c>
      <c r="BT48" s="230">
        <v>20930060</v>
      </c>
      <c r="BU48" s="230">
        <v>-9819860</v>
      </c>
      <c r="BV48" s="229">
        <v>-0.46920000000000001</v>
      </c>
      <c r="BW48" s="230">
        <v>59316000</v>
      </c>
      <c r="BX48" s="230">
        <v>59612000</v>
      </c>
      <c r="BY48" s="230">
        <v>-296000</v>
      </c>
      <c r="BZ48" s="229">
        <v>-5.0000000000000001E-3</v>
      </c>
      <c r="CA48" s="230">
        <v>54549600</v>
      </c>
      <c r="CB48" s="230">
        <v>55137600</v>
      </c>
      <c r="CC48" s="230">
        <v>-588000</v>
      </c>
      <c r="CD48" s="229">
        <v>-1.0699999999999999E-2</v>
      </c>
      <c r="CE48" s="230">
        <v>4072000</v>
      </c>
      <c r="CF48" s="230">
        <v>4001600</v>
      </c>
      <c r="CG48" s="230">
        <v>70400</v>
      </c>
      <c r="CH48" s="229">
        <v>1.7600000000000001E-2</v>
      </c>
      <c r="CI48" s="230">
        <v>694400</v>
      </c>
      <c r="CJ48" s="230">
        <v>472800</v>
      </c>
      <c r="CK48" s="230">
        <v>221600</v>
      </c>
      <c r="CL48" s="229">
        <v>0.46870000000000001</v>
      </c>
      <c r="CM48" s="230">
        <v>27486400</v>
      </c>
      <c r="CN48" s="230">
        <v>24942400</v>
      </c>
      <c r="CO48" s="230">
        <v>2544000</v>
      </c>
      <c r="CP48" s="229">
        <v>0.10199999999999999</v>
      </c>
      <c r="CQ48" s="230">
        <v>22145600</v>
      </c>
      <c r="CR48" s="230">
        <v>22303200</v>
      </c>
      <c r="CS48" s="230">
        <v>-157600</v>
      </c>
      <c r="CT48" s="229">
        <v>-7.1000000000000004E-3</v>
      </c>
      <c r="CU48" s="230">
        <v>108948000</v>
      </c>
      <c r="CV48" s="230">
        <v>106857600</v>
      </c>
      <c r="CW48" s="230">
        <v>2090400</v>
      </c>
      <c r="CX48" s="229">
        <v>1.9599999999999999E-2</v>
      </c>
      <c r="CY48" s="228">
        <v>36.28</v>
      </c>
      <c r="CZ48" s="228">
        <v>37.68</v>
      </c>
      <c r="DA48" s="228">
        <v>-1.4</v>
      </c>
      <c r="DB48" s="228">
        <v>-1.4</v>
      </c>
      <c r="DC48" s="228">
        <v>38.21</v>
      </c>
      <c r="DD48" s="228">
        <v>38.29</v>
      </c>
      <c r="DE48" s="228">
        <v>-1.93</v>
      </c>
      <c r="DF48" s="228">
        <v>-0.08</v>
      </c>
      <c r="DG48" s="228">
        <v>34.92</v>
      </c>
      <c r="DH48" s="228">
        <v>36.090000000000003</v>
      </c>
      <c r="DI48" s="228">
        <v>-1.17</v>
      </c>
      <c r="DJ48" s="228">
        <v>-1.17</v>
      </c>
      <c r="DK48" s="228">
        <v>38.4</v>
      </c>
      <c r="DL48" s="228">
        <v>40.549999999999997</v>
      </c>
      <c r="DM48" s="228">
        <v>-2.15</v>
      </c>
      <c r="DN48" s="228">
        <v>-2.15</v>
      </c>
      <c r="DO48" s="228">
        <v>0.81</v>
      </c>
      <c r="DP48" s="228">
        <v>0.89</v>
      </c>
      <c r="DQ48" s="228">
        <v>-0.08</v>
      </c>
      <c r="DR48" s="229">
        <v>-8.9899999999999994E-2</v>
      </c>
      <c r="DS48" s="228">
        <v>380</v>
      </c>
      <c r="DT48" s="228">
        <v>300</v>
      </c>
      <c r="DU48" s="228">
        <v>0.64</v>
      </c>
      <c r="DV48" s="228">
        <v>0.55000000000000004</v>
      </c>
      <c r="DW48" s="228">
        <v>0.09</v>
      </c>
      <c r="DX48" s="229">
        <v>0.1636</v>
      </c>
      <c r="DY48" s="229">
        <v>8.0399999999999999E-2</v>
      </c>
      <c r="DZ48" s="230">
        <v>4474400</v>
      </c>
      <c r="EA48" s="229">
        <v>4.7999999999999996E-3</v>
      </c>
      <c r="EB48" s="229">
        <v>8.0399999999999999E-2</v>
      </c>
      <c r="EC48" s="228">
        <v>1.72</v>
      </c>
      <c r="ED48" s="229">
        <v>5.1000000000000004E-3</v>
      </c>
      <c r="EE48" s="230">
        <v>4985840</v>
      </c>
      <c r="EF48" s="230">
        <v>8143895</v>
      </c>
      <c r="EG48" s="229">
        <v>-0.38779999999999998</v>
      </c>
      <c r="EH48" s="229">
        <v>0.44879999999999998</v>
      </c>
      <c r="EI48" s="231">
        <v>119090.77</v>
      </c>
      <c r="EJ48" s="231">
        <v>69833.34</v>
      </c>
      <c r="EK48" s="231">
        <v>36246.239999999998</v>
      </c>
      <c r="EL48" s="231">
        <v>15595</v>
      </c>
      <c r="EM48" s="231">
        <v>225170.35</v>
      </c>
      <c r="EN48" s="231">
        <v>450774.07</v>
      </c>
      <c r="EO48" s="231">
        <v>-225603.72</v>
      </c>
      <c r="EP48" s="229">
        <v>-0.50049999999999994</v>
      </c>
      <c r="EQ48" s="231">
        <v>95245</v>
      </c>
      <c r="ER48" s="231">
        <v>70769</v>
      </c>
      <c r="ES48" s="231">
        <v>198130</v>
      </c>
      <c r="ET48" s="231">
        <v>317244234</v>
      </c>
      <c r="EU48" s="231">
        <v>364144</v>
      </c>
      <c r="EV48" s="231">
        <v>357908</v>
      </c>
      <c r="EW48" s="231">
        <v>6236</v>
      </c>
      <c r="EX48" s="229">
        <v>1.7399999999999999E-2</v>
      </c>
      <c r="EY48" s="229">
        <v>0.34339999999999998</v>
      </c>
    </row>
    <row r="49" spans="1:155" ht="17.25" thickBot="1" x14ac:dyDescent="0.3">
      <c r="A49" s="226">
        <v>46121</v>
      </c>
      <c r="B49" s="227" t="s">
        <v>197</v>
      </c>
      <c r="C49" s="227" t="s">
        <v>482</v>
      </c>
      <c r="D49" s="231">
        <v>3853.6</v>
      </c>
      <c r="E49" s="231">
        <v>3894.6</v>
      </c>
      <c r="F49" s="228">
        <v>-41</v>
      </c>
      <c r="G49" s="229">
        <v>-1.0500000000000001E-2</v>
      </c>
      <c r="H49" s="231">
        <v>3850.7</v>
      </c>
      <c r="I49" s="231">
        <v>3905</v>
      </c>
      <c r="J49" s="228">
        <v>-54.3</v>
      </c>
      <c r="K49" s="229">
        <v>-1.3899999999999999E-2</v>
      </c>
      <c r="L49" s="231">
        <v>3853.6</v>
      </c>
      <c r="M49" s="231">
        <v>3894.6</v>
      </c>
      <c r="N49" s="228">
        <v>-41</v>
      </c>
      <c r="O49" s="229">
        <v>-1.0500000000000001E-2</v>
      </c>
      <c r="P49" s="231">
        <v>3861.2</v>
      </c>
      <c r="Q49" s="231">
        <v>3903.9</v>
      </c>
      <c r="R49" s="228">
        <v>-42.7</v>
      </c>
      <c r="S49" s="229">
        <v>-1.09E-2</v>
      </c>
      <c r="T49" s="231">
        <v>3875.7</v>
      </c>
      <c r="U49" s="231">
        <v>3916.3</v>
      </c>
      <c r="V49" s="228">
        <v>-40.6</v>
      </c>
      <c r="W49" s="229">
        <v>-1.04E-2</v>
      </c>
      <c r="X49" s="228">
        <v>2.9</v>
      </c>
      <c r="Y49" s="228">
        <v>-10.4</v>
      </c>
      <c r="Z49" s="228">
        <v>13.3</v>
      </c>
      <c r="AA49" s="229">
        <v>8.0000000000000004E-4</v>
      </c>
      <c r="AB49" s="228">
        <v>2.9</v>
      </c>
      <c r="AC49" s="228">
        <v>-10.4</v>
      </c>
      <c r="AD49" s="228">
        <v>13.3</v>
      </c>
      <c r="AE49" s="229">
        <v>8.0000000000000004E-4</v>
      </c>
      <c r="AF49" s="228">
        <v>10.5</v>
      </c>
      <c r="AG49" s="228">
        <v>-1.1000000000000001</v>
      </c>
      <c r="AH49" s="228">
        <v>11.6</v>
      </c>
      <c r="AI49" s="229">
        <v>2.7000000000000001E-3</v>
      </c>
      <c r="AJ49" s="228">
        <v>25</v>
      </c>
      <c r="AK49" s="228">
        <v>11.3</v>
      </c>
      <c r="AL49" s="228">
        <v>13.7</v>
      </c>
      <c r="AM49" s="229">
        <v>6.4999999999999997E-3</v>
      </c>
      <c r="AN49" s="231">
        <v>3867.29</v>
      </c>
      <c r="AO49" s="231">
        <v>3869.52</v>
      </c>
      <c r="AP49" s="228">
        <v>0</v>
      </c>
      <c r="AQ49" s="230">
        <v>9284</v>
      </c>
      <c r="AR49" s="230">
        <v>17380</v>
      </c>
      <c r="AS49" s="230">
        <v>-8096</v>
      </c>
      <c r="AT49" s="229">
        <v>-0.46579999999999999</v>
      </c>
      <c r="AU49" s="230">
        <v>8102</v>
      </c>
      <c r="AV49" s="230">
        <v>15411</v>
      </c>
      <c r="AW49" s="230">
        <v>-7309</v>
      </c>
      <c r="AX49" s="229">
        <v>-0.4743</v>
      </c>
      <c r="AY49" s="230">
        <v>1104</v>
      </c>
      <c r="AZ49" s="230">
        <v>1793</v>
      </c>
      <c r="BA49" s="228">
        <v>-689</v>
      </c>
      <c r="BB49" s="229">
        <v>-0.38429999999999997</v>
      </c>
      <c r="BC49" s="228">
        <v>78</v>
      </c>
      <c r="BD49" s="228">
        <v>176</v>
      </c>
      <c r="BE49" s="228">
        <v>-98</v>
      </c>
      <c r="BF49" s="229">
        <v>-0.55679999999999996</v>
      </c>
      <c r="BG49" s="230">
        <v>26138</v>
      </c>
      <c r="BH49" s="230">
        <v>67845</v>
      </c>
      <c r="BI49" s="230">
        <v>-41707</v>
      </c>
      <c r="BJ49" s="229">
        <v>-0.61470000000000002</v>
      </c>
      <c r="BK49" s="230">
        <v>19268</v>
      </c>
      <c r="BL49" s="230">
        <v>31978</v>
      </c>
      <c r="BM49" s="230">
        <v>-12710</v>
      </c>
      <c r="BN49" s="229">
        <v>-0.39750000000000002</v>
      </c>
      <c r="BO49" s="230">
        <v>54690</v>
      </c>
      <c r="BP49" s="230">
        <v>117203</v>
      </c>
      <c r="BQ49" s="230">
        <v>-62513</v>
      </c>
      <c r="BR49" s="229">
        <v>-0.53339999999999999</v>
      </c>
      <c r="BS49" s="230">
        <v>808739</v>
      </c>
      <c r="BT49" s="230">
        <v>1520388</v>
      </c>
      <c r="BU49" s="230">
        <v>-711649</v>
      </c>
      <c r="BV49" s="229">
        <v>-0.46810000000000002</v>
      </c>
      <c r="BW49" s="230">
        <v>7835400</v>
      </c>
      <c r="BX49" s="230">
        <v>7626900</v>
      </c>
      <c r="BY49" s="230">
        <v>208500</v>
      </c>
      <c r="BZ49" s="229">
        <v>2.7300000000000001E-2</v>
      </c>
      <c r="CA49" s="230">
        <v>7014600</v>
      </c>
      <c r="CB49" s="230">
        <v>6873600</v>
      </c>
      <c r="CC49" s="230">
        <v>141000</v>
      </c>
      <c r="CD49" s="229">
        <v>2.0500000000000001E-2</v>
      </c>
      <c r="CE49" s="230">
        <v>780000</v>
      </c>
      <c r="CF49" s="230">
        <v>715200</v>
      </c>
      <c r="CG49" s="230">
        <v>64800</v>
      </c>
      <c r="CH49" s="229">
        <v>9.06E-2</v>
      </c>
      <c r="CI49" s="230">
        <v>40800</v>
      </c>
      <c r="CJ49" s="230">
        <v>38100</v>
      </c>
      <c r="CK49" s="230">
        <v>2700</v>
      </c>
      <c r="CL49" s="229">
        <v>7.0900000000000005E-2</v>
      </c>
      <c r="CM49" s="230">
        <v>2397400</v>
      </c>
      <c r="CN49" s="230">
        <v>2277700</v>
      </c>
      <c r="CO49" s="230">
        <v>119700</v>
      </c>
      <c r="CP49" s="229">
        <v>5.2600000000000001E-2</v>
      </c>
      <c r="CQ49" s="230">
        <v>2141500</v>
      </c>
      <c r="CR49" s="230">
        <v>2000800</v>
      </c>
      <c r="CS49" s="230">
        <v>140700</v>
      </c>
      <c r="CT49" s="229">
        <v>7.0300000000000001E-2</v>
      </c>
      <c r="CU49" s="230">
        <v>12374300</v>
      </c>
      <c r="CV49" s="230">
        <v>11905400</v>
      </c>
      <c r="CW49" s="230">
        <v>468900</v>
      </c>
      <c r="CX49" s="229">
        <v>3.9399999999999998E-2</v>
      </c>
      <c r="CY49" s="228">
        <v>38.799999999999997</v>
      </c>
      <c r="CZ49" s="228">
        <v>38.729999999999997</v>
      </c>
      <c r="DA49" s="228">
        <v>7.0000000000000007E-2</v>
      </c>
      <c r="DB49" s="228">
        <v>7.0000000000000007E-2</v>
      </c>
      <c r="DC49" s="228">
        <v>44.31</v>
      </c>
      <c r="DD49" s="228">
        <v>44.38</v>
      </c>
      <c r="DE49" s="228">
        <v>-5.51</v>
      </c>
      <c r="DF49" s="228">
        <v>-7.0000000000000007E-2</v>
      </c>
      <c r="DG49" s="228">
        <v>38.25</v>
      </c>
      <c r="DH49" s="228">
        <v>37.82</v>
      </c>
      <c r="DI49" s="228">
        <v>0.43</v>
      </c>
      <c r="DJ49" s="228">
        <v>0.43</v>
      </c>
      <c r="DK49" s="228">
        <v>39.549999999999997</v>
      </c>
      <c r="DL49" s="228">
        <v>40.659999999999997</v>
      </c>
      <c r="DM49" s="228">
        <v>-1.1100000000000001</v>
      </c>
      <c r="DN49" s="228">
        <v>-1.1100000000000001</v>
      </c>
      <c r="DO49" s="228">
        <v>0.89</v>
      </c>
      <c r="DP49" s="228">
        <v>0.88</v>
      </c>
      <c r="DQ49" s="228">
        <v>0.01</v>
      </c>
      <c r="DR49" s="229">
        <v>1.14E-2</v>
      </c>
      <c r="DS49" s="231">
        <v>4000</v>
      </c>
      <c r="DT49" s="231">
        <v>3500</v>
      </c>
      <c r="DU49" s="228">
        <v>0.74</v>
      </c>
      <c r="DV49" s="228">
        <v>0.47</v>
      </c>
      <c r="DW49" s="228">
        <v>0.27</v>
      </c>
      <c r="DX49" s="229">
        <v>0.57450000000000001</v>
      </c>
      <c r="DY49" s="229">
        <v>0.1048</v>
      </c>
      <c r="DZ49" s="230">
        <v>753300</v>
      </c>
      <c r="EA49" s="229">
        <v>2E-3</v>
      </c>
      <c r="EB49" s="229">
        <v>0.1048</v>
      </c>
      <c r="EC49" s="228">
        <v>2.23</v>
      </c>
      <c r="ED49" s="229">
        <v>5.9999999999999995E-4</v>
      </c>
      <c r="EE49" s="230">
        <v>271523</v>
      </c>
      <c r="EF49" s="230">
        <v>512777</v>
      </c>
      <c r="EG49" s="229">
        <v>-0.47049999999999997</v>
      </c>
      <c r="EH49" s="229">
        <v>0.3357</v>
      </c>
      <c r="EI49" s="231">
        <v>107341.99</v>
      </c>
      <c r="EJ49" s="231">
        <v>72965.89</v>
      </c>
      <c r="EK49" s="231">
        <v>35907.919999999998</v>
      </c>
      <c r="EL49" s="231">
        <v>21324</v>
      </c>
      <c r="EM49" s="231">
        <v>216215.8</v>
      </c>
      <c r="EN49" s="231">
        <v>469852.04</v>
      </c>
      <c r="EO49" s="231">
        <v>-253636.24</v>
      </c>
      <c r="EP49" s="229">
        <v>-0.53979999999999995</v>
      </c>
      <c r="EQ49" s="231">
        <v>93858</v>
      </c>
      <c r="ER49" s="231">
        <v>77842</v>
      </c>
      <c r="ES49" s="231">
        <v>302013</v>
      </c>
      <c r="ET49" s="231">
        <v>33590487</v>
      </c>
      <c r="EU49" s="231">
        <v>473713</v>
      </c>
      <c r="EV49" s="231">
        <v>459005</v>
      </c>
      <c r="EW49" s="231">
        <v>14708</v>
      </c>
      <c r="EX49" s="229">
        <v>3.2000000000000001E-2</v>
      </c>
      <c r="EY49" s="229">
        <v>0.36840000000000001</v>
      </c>
    </row>
    <row r="50" spans="1:155" ht="17.25" thickBot="1" x14ac:dyDescent="0.3">
      <c r="A50" s="226">
        <v>46121</v>
      </c>
      <c r="B50" s="227" t="s">
        <v>157</v>
      </c>
      <c r="C50" s="227" t="s">
        <v>302</v>
      </c>
      <c r="D50" s="231">
        <v>11468</v>
      </c>
      <c r="E50" s="231">
        <v>11625</v>
      </c>
      <c r="F50" s="228">
        <v>-157</v>
      </c>
      <c r="G50" s="229">
        <v>-1.35E-2</v>
      </c>
      <c r="H50" s="231">
        <v>11448</v>
      </c>
      <c r="I50" s="231">
        <v>11603</v>
      </c>
      <c r="J50" s="228">
        <v>-155</v>
      </c>
      <c r="K50" s="229">
        <v>-1.34E-2</v>
      </c>
      <c r="L50" s="231">
        <v>11468</v>
      </c>
      <c r="M50" s="231">
        <v>11625</v>
      </c>
      <c r="N50" s="228">
        <v>-157</v>
      </c>
      <c r="O50" s="229">
        <v>-1.35E-2</v>
      </c>
      <c r="P50" s="231">
        <v>11534</v>
      </c>
      <c r="Q50" s="231">
        <v>11706</v>
      </c>
      <c r="R50" s="228">
        <v>-172</v>
      </c>
      <c r="S50" s="229">
        <v>-1.47E-2</v>
      </c>
      <c r="T50" s="231">
        <v>11595</v>
      </c>
      <c r="U50" s="231">
        <v>11751</v>
      </c>
      <c r="V50" s="228">
        <v>-156</v>
      </c>
      <c r="W50" s="229">
        <v>-1.3299999999999999E-2</v>
      </c>
      <c r="X50" s="228">
        <v>20</v>
      </c>
      <c r="Y50" s="228">
        <v>22</v>
      </c>
      <c r="Z50" s="228">
        <v>-2</v>
      </c>
      <c r="AA50" s="229">
        <v>1.6999999999999999E-3</v>
      </c>
      <c r="AB50" s="228">
        <v>20</v>
      </c>
      <c r="AC50" s="228">
        <v>22</v>
      </c>
      <c r="AD50" s="228">
        <v>-2</v>
      </c>
      <c r="AE50" s="229">
        <v>1.6999999999999999E-3</v>
      </c>
      <c r="AF50" s="228">
        <v>86</v>
      </c>
      <c r="AG50" s="228">
        <v>103</v>
      </c>
      <c r="AH50" s="228">
        <v>-17</v>
      </c>
      <c r="AI50" s="229">
        <v>7.4999999999999997E-3</v>
      </c>
      <c r="AJ50" s="228">
        <v>147</v>
      </c>
      <c r="AK50" s="228">
        <v>148</v>
      </c>
      <c r="AL50" s="228">
        <v>-1</v>
      </c>
      <c r="AM50" s="229">
        <v>1.2800000000000001E-2</v>
      </c>
      <c r="AN50" s="231">
        <v>11475.72</v>
      </c>
      <c r="AO50" s="231">
        <v>11544.64</v>
      </c>
      <c r="AP50" s="228">
        <v>0</v>
      </c>
      <c r="AQ50" s="230">
        <v>5900</v>
      </c>
      <c r="AR50" s="230">
        <v>11330</v>
      </c>
      <c r="AS50" s="230">
        <v>-5430</v>
      </c>
      <c r="AT50" s="229">
        <v>-0.4793</v>
      </c>
      <c r="AU50" s="230">
        <v>5691</v>
      </c>
      <c r="AV50" s="230">
        <v>10802</v>
      </c>
      <c r="AW50" s="230">
        <v>-5111</v>
      </c>
      <c r="AX50" s="229">
        <v>-0.47320000000000001</v>
      </c>
      <c r="AY50" s="228">
        <v>194</v>
      </c>
      <c r="AZ50" s="228">
        <v>471</v>
      </c>
      <c r="BA50" s="228">
        <v>-277</v>
      </c>
      <c r="BB50" s="229">
        <v>-0.58809999999999996</v>
      </c>
      <c r="BC50" s="228">
        <v>15</v>
      </c>
      <c r="BD50" s="228">
        <v>57</v>
      </c>
      <c r="BE50" s="228">
        <v>-42</v>
      </c>
      <c r="BF50" s="229">
        <v>-0.73680000000000001</v>
      </c>
      <c r="BG50" s="230">
        <v>10276</v>
      </c>
      <c r="BH50" s="230">
        <v>24294</v>
      </c>
      <c r="BI50" s="230">
        <v>-14018</v>
      </c>
      <c r="BJ50" s="229">
        <v>-0.57699999999999996</v>
      </c>
      <c r="BK50" s="230">
        <v>7482</v>
      </c>
      <c r="BL50" s="230">
        <v>15680</v>
      </c>
      <c r="BM50" s="230">
        <v>-8198</v>
      </c>
      <c r="BN50" s="229">
        <v>-0.52280000000000004</v>
      </c>
      <c r="BO50" s="230">
        <v>23658</v>
      </c>
      <c r="BP50" s="230">
        <v>51304</v>
      </c>
      <c r="BQ50" s="230">
        <v>-27646</v>
      </c>
      <c r="BR50" s="229">
        <v>-0.53890000000000005</v>
      </c>
      <c r="BS50" s="230">
        <v>351939</v>
      </c>
      <c r="BT50" s="230">
        <v>627808</v>
      </c>
      <c r="BU50" s="230">
        <v>-275869</v>
      </c>
      <c r="BV50" s="229">
        <v>-0.43940000000000001</v>
      </c>
      <c r="BW50" s="230">
        <v>2476150</v>
      </c>
      <c r="BX50" s="230">
        <v>2431700</v>
      </c>
      <c r="BY50" s="230">
        <v>44450</v>
      </c>
      <c r="BZ50" s="229">
        <v>1.83E-2</v>
      </c>
      <c r="CA50" s="230">
        <v>2199150</v>
      </c>
      <c r="CB50" s="230">
        <v>2157850</v>
      </c>
      <c r="CC50" s="230">
        <v>41300</v>
      </c>
      <c r="CD50" s="229">
        <v>1.9099999999999999E-2</v>
      </c>
      <c r="CE50" s="230">
        <v>191800</v>
      </c>
      <c r="CF50" s="230">
        <v>189150</v>
      </c>
      <c r="CG50" s="230">
        <v>2650</v>
      </c>
      <c r="CH50" s="229">
        <v>1.4E-2</v>
      </c>
      <c r="CI50" s="230">
        <v>85200</v>
      </c>
      <c r="CJ50" s="230">
        <v>84700</v>
      </c>
      <c r="CK50" s="228">
        <v>500</v>
      </c>
      <c r="CL50" s="229">
        <v>5.8999999999999999E-3</v>
      </c>
      <c r="CM50" s="230">
        <v>451350</v>
      </c>
      <c r="CN50" s="230">
        <v>417750</v>
      </c>
      <c r="CO50" s="230">
        <v>33600</v>
      </c>
      <c r="CP50" s="229">
        <v>8.0399999999999999E-2</v>
      </c>
      <c r="CQ50" s="230">
        <v>331450</v>
      </c>
      <c r="CR50" s="230">
        <v>328900</v>
      </c>
      <c r="CS50" s="230">
        <v>2550</v>
      </c>
      <c r="CT50" s="229">
        <v>7.7999999999999996E-3</v>
      </c>
      <c r="CU50" s="230">
        <v>3258950</v>
      </c>
      <c r="CV50" s="230">
        <v>3178350</v>
      </c>
      <c r="CW50" s="230">
        <v>80600</v>
      </c>
      <c r="CX50" s="229">
        <v>2.5399999999999999E-2</v>
      </c>
      <c r="CY50" s="228">
        <v>32.9</v>
      </c>
      <c r="CZ50" s="228">
        <v>32.21</v>
      </c>
      <c r="DA50" s="228">
        <v>0.69</v>
      </c>
      <c r="DB50" s="228">
        <v>0.69</v>
      </c>
      <c r="DC50" s="228">
        <v>30.27</v>
      </c>
      <c r="DD50" s="228">
        <v>30.29</v>
      </c>
      <c r="DE50" s="228">
        <v>2.63</v>
      </c>
      <c r="DF50" s="228">
        <v>-0.02</v>
      </c>
      <c r="DG50" s="228">
        <v>30.48</v>
      </c>
      <c r="DH50" s="228">
        <v>30.48</v>
      </c>
      <c r="DI50" s="228">
        <v>0</v>
      </c>
      <c r="DJ50" s="228">
        <v>0</v>
      </c>
      <c r="DK50" s="228">
        <v>36.21</v>
      </c>
      <c r="DL50" s="228">
        <v>34.869999999999997</v>
      </c>
      <c r="DM50" s="228">
        <v>1.34</v>
      </c>
      <c r="DN50" s="228">
        <v>1.34</v>
      </c>
      <c r="DO50" s="228">
        <v>0.73</v>
      </c>
      <c r="DP50" s="228">
        <v>0.79</v>
      </c>
      <c r="DQ50" s="228">
        <v>-0.06</v>
      </c>
      <c r="DR50" s="229">
        <v>-7.5899999999999995E-2</v>
      </c>
      <c r="DS50" s="231">
        <v>12000</v>
      </c>
      <c r="DT50" s="231">
        <v>10000</v>
      </c>
      <c r="DU50" s="228">
        <v>0.73</v>
      </c>
      <c r="DV50" s="228">
        <v>0.65</v>
      </c>
      <c r="DW50" s="228">
        <v>0.08</v>
      </c>
      <c r="DX50" s="229">
        <v>0.1231</v>
      </c>
      <c r="DY50" s="229">
        <v>0.1119</v>
      </c>
      <c r="DZ50" s="230">
        <v>273850</v>
      </c>
      <c r="EA50" s="229">
        <v>5.7999999999999996E-3</v>
      </c>
      <c r="EB50" s="229">
        <v>0.1119</v>
      </c>
      <c r="EC50" s="228">
        <v>68.92</v>
      </c>
      <c r="ED50" s="229">
        <v>6.0000000000000001E-3</v>
      </c>
      <c r="EE50" s="230">
        <v>175967</v>
      </c>
      <c r="EF50" s="230">
        <v>382594</v>
      </c>
      <c r="EG50" s="229">
        <v>-0.54010000000000002</v>
      </c>
      <c r="EH50" s="229">
        <v>0.5</v>
      </c>
      <c r="EI50" s="231">
        <v>62723.67</v>
      </c>
      <c r="EJ50" s="231">
        <v>40352.76</v>
      </c>
      <c r="EK50" s="231">
        <v>33861.199999999997</v>
      </c>
      <c r="EL50" s="231">
        <v>7735</v>
      </c>
      <c r="EM50" s="231">
        <v>136937.63</v>
      </c>
      <c r="EN50" s="231">
        <v>301032.24</v>
      </c>
      <c r="EO50" s="231">
        <v>-164094.60999999999</v>
      </c>
      <c r="EP50" s="229">
        <v>-0.54510000000000003</v>
      </c>
      <c r="EQ50" s="231">
        <v>53601</v>
      </c>
      <c r="ER50" s="231">
        <v>35282</v>
      </c>
      <c r="ES50" s="231">
        <v>284200</v>
      </c>
      <c r="ET50" s="231">
        <v>12994504</v>
      </c>
      <c r="EU50" s="231">
        <v>373082</v>
      </c>
      <c r="EV50" s="231">
        <v>367526</v>
      </c>
      <c r="EW50" s="231">
        <v>5556</v>
      </c>
      <c r="EX50" s="229">
        <v>1.5100000000000001E-2</v>
      </c>
      <c r="EY50" s="229">
        <v>0.25080000000000002</v>
      </c>
    </row>
    <row r="51" spans="1:155" ht="17.25" thickBot="1" x14ac:dyDescent="0.3">
      <c r="A51" s="226">
        <v>46121</v>
      </c>
      <c r="B51" s="227" t="s">
        <v>221</v>
      </c>
      <c r="C51" s="227" t="s">
        <v>306</v>
      </c>
      <c r="D51" s="228">
        <v>202.36</v>
      </c>
      <c r="E51" s="228">
        <v>201.82</v>
      </c>
      <c r="F51" s="228">
        <v>0.54</v>
      </c>
      <c r="G51" s="229">
        <v>2.7000000000000001E-3</v>
      </c>
      <c r="H51" s="228">
        <v>202.87</v>
      </c>
      <c r="I51" s="228">
        <v>203.42</v>
      </c>
      <c r="J51" s="228">
        <v>-0.55000000000000004</v>
      </c>
      <c r="K51" s="229">
        <v>-2.7000000000000001E-3</v>
      </c>
      <c r="L51" s="228">
        <v>202.36</v>
      </c>
      <c r="M51" s="228">
        <v>201.82</v>
      </c>
      <c r="N51" s="228">
        <v>0.54</v>
      </c>
      <c r="O51" s="229">
        <v>2.7000000000000001E-3</v>
      </c>
      <c r="P51" s="228">
        <v>201.44</v>
      </c>
      <c r="Q51" s="228">
        <v>201.01</v>
      </c>
      <c r="R51" s="228">
        <v>0.43</v>
      </c>
      <c r="S51" s="229">
        <v>2.0999999999999999E-3</v>
      </c>
      <c r="T51" s="228">
        <v>201.15</v>
      </c>
      <c r="U51" s="228">
        <v>200.84</v>
      </c>
      <c r="V51" s="228">
        <v>0.31</v>
      </c>
      <c r="W51" s="229">
        <v>1.5E-3</v>
      </c>
      <c r="X51" s="228">
        <v>-0.51</v>
      </c>
      <c r="Y51" s="228">
        <v>-1.6</v>
      </c>
      <c r="Z51" s="228">
        <v>1.0900000000000001</v>
      </c>
      <c r="AA51" s="229">
        <v>-2.5000000000000001E-3</v>
      </c>
      <c r="AB51" s="228">
        <v>-0.51</v>
      </c>
      <c r="AC51" s="228">
        <v>-1.6</v>
      </c>
      <c r="AD51" s="228">
        <v>1.0900000000000001</v>
      </c>
      <c r="AE51" s="229">
        <v>-2.5000000000000001E-3</v>
      </c>
      <c r="AF51" s="228">
        <v>-1.43</v>
      </c>
      <c r="AG51" s="228">
        <v>-2.41</v>
      </c>
      <c r="AH51" s="228">
        <v>0.98</v>
      </c>
      <c r="AI51" s="229">
        <v>-7.0000000000000001E-3</v>
      </c>
      <c r="AJ51" s="228">
        <v>-1.72</v>
      </c>
      <c r="AK51" s="228">
        <v>-2.58</v>
      </c>
      <c r="AL51" s="228">
        <v>0.86</v>
      </c>
      <c r="AM51" s="229">
        <v>-8.5000000000000006E-3</v>
      </c>
      <c r="AN51" s="228">
        <v>201.79</v>
      </c>
      <c r="AO51" s="228">
        <v>200.79</v>
      </c>
      <c r="AP51" s="228">
        <v>0</v>
      </c>
      <c r="AQ51" s="230">
        <v>6971</v>
      </c>
      <c r="AR51" s="230">
        <v>16848</v>
      </c>
      <c r="AS51" s="230">
        <v>-9877</v>
      </c>
      <c r="AT51" s="229">
        <v>-0.58620000000000005</v>
      </c>
      <c r="AU51" s="230">
        <v>5997</v>
      </c>
      <c r="AV51" s="230">
        <v>12975</v>
      </c>
      <c r="AW51" s="230">
        <v>-6978</v>
      </c>
      <c r="AX51" s="229">
        <v>-0.53779999999999994</v>
      </c>
      <c r="AY51" s="228">
        <v>843</v>
      </c>
      <c r="AZ51" s="230">
        <v>3368</v>
      </c>
      <c r="BA51" s="230">
        <v>-2525</v>
      </c>
      <c r="BB51" s="229">
        <v>-0.74970000000000003</v>
      </c>
      <c r="BC51" s="228">
        <v>131</v>
      </c>
      <c r="BD51" s="228">
        <v>505</v>
      </c>
      <c r="BE51" s="228">
        <v>-374</v>
      </c>
      <c r="BF51" s="229">
        <v>-0.74060000000000004</v>
      </c>
      <c r="BG51" s="230">
        <v>12923</v>
      </c>
      <c r="BH51" s="230">
        <v>22669</v>
      </c>
      <c r="BI51" s="230">
        <v>-9746</v>
      </c>
      <c r="BJ51" s="229">
        <v>-0.4299</v>
      </c>
      <c r="BK51" s="230">
        <v>6480</v>
      </c>
      <c r="BL51" s="230">
        <v>10127</v>
      </c>
      <c r="BM51" s="230">
        <v>-3647</v>
      </c>
      <c r="BN51" s="229">
        <v>-0.36009999999999998</v>
      </c>
      <c r="BO51" s="230">
        <v>26374</v>
      </c>
      <c r="BP51" s="230">
        <v>49644</v>
      </c>
      <c r="BQ51" s="230">
        <v>-23270</v>
      </c>
      <c r="BR51" s="229">
        <v>-0.46870000000000001</v>
      </c>
      <c r="BS51" s="230">
        <v>14884053</v>
      </c>
      <c r="BT51" s="230">
        <v>22911491</v>
      </c>
      <c r="BU51" s="230">
        <v>-8027438</v>
      </c>
      <c r="BV51" s="229">
        <v>-0.35039999999999999</v>
      </c>
      <c r="BW51" s="230">
        <v>224436000</v>
      </c>
      <c r="BX51" s="230">
        <v>221691000</v>
      </c>
      <c r="BY51" s="230">
        <v>2745000</v>
      </c>
      <c r="BZ51" s="229">
        <v>1.24E-2</v>
      </c>
      <c r="CA51" s="230">
        <v>208431000</v>
      </c>
      <c r="CB51" s="230">
        <v>206853000</v>
      </c>
      <c r="CC51" s="230">
        <v>1578000</v>
      </c>
      <c r="CD51" s="229">
        <v>7.6E-3</v>
      </c>
      <c r="CE51" s="230">
        <v>13827000</v>
      </c>
      <c r="CF51" s="230">
        <v>12813000</v>
      </c>
      <c r="CG51" s="230">
        <v>1014000</v>
      </c>
      <c r="CH51" s="229">
        <v>7.9100000000000004E-2</v>
      </c>
      <c r="CI51" s="230">
        <v>2178000</v>
      </c>
      <c r="CJ51" s="230">
        <v>2025000</v>
      </c>
      <c r="CK51" s="230">
        <v>153000</v>
      </c>
      <c r="CL51" s="229">
        <v>7.5600000000000001E-2</v>
      </c>
      <c r="CM51" s="230">
        <v>53088000</v>
      </c>
      <c r="CN51" s="230">
        <v>51000000</v>
      </c>
      <c r="CO51" s="230">
        <v>2088000</v>
      </c>
      <c r="CP51" s="229">
        <v>4.0899999999999999E-2</v>
      </c>
      <c r="CQ51" s="230">
        <v>38829000</v>
      </c>
      <c r="CR51" s="230">
        <v>35193000</v>
      </c>
      <c r="CS51" s="230">
        <v>3636000</v>
      </c>
      <c r="CT51" s="229">
        <v>0.1033</v>
      </c>
      <c r="CU51" s="230">
        <v>316353000</v>
      </c>
      <c r="CV51" s="230">
        <v>307884000</v>
      </c>
      <c r="CW51" s="230">
        <v>8469000</v>
      </c>
      <c r="CX51" s="229">
        <v>2.75E-2</v>
      </c>
      <c r="CY51" s="228">
        <v>38.97</v>
      </c>
      <c r="CZ51" s="228">
        <v>38</v>
      </c>
      <c r="DA51" s="228">
        <v>0.97</v>
      </c>
      <c r="DB51" s="228">
        <v>0.97</v>
      </c>
      <c r="DC51" s="228">
        <v>31.32</v>
      </c>
      <c r="DD51" s="228">
        <v>31.4</v>
      </c>
      <c r="DE51" s="228">
        <v>7.65</v>
      </c>
      <c r="DF51" s="228">
        <v>-0.08</v>
      </c>
      <c r="DG51" s="228">
        <v>38.4</v>
      </c>
      <c r="DH51" s="228">
        <v>37.729999999999997</v>
      </c>
      <c r="DI51" s="228">
        <v>0.67</v>
      </c>
      <c r="DJ51" s="228">
        <v>0.67</v>
      </c>
      <c r="DK51" s="228">
        <v>40.11</v>
      </c>
      <c r="DL51" s="228">
        <v>38.61</v>
      </c>
      <c r="DM51" s="228">
        <v>1.5</v>
      </c>
      <c r="DN51" s="228">
        <v>1.5</v>
      </c>
      <c r="DO51" s="228">
        <v>0.73</v>
      </c>
      <c r="DP51" s="228">
        <v>0.69</v>
      </c>
      <c r="DQ51" s="228">
        <v>0.04</v>
      </c>
      <c r="DR51" s="229">
        <v>5.8000000000000003E-2</v>
      </c>
      <c r="DS51" s="228">
        <v>200</v>
      </c>
      <c r="DT51" s="228">
        <v>200</v>
      </c>
      <c r="DU51" s="228">
        <v>0.5</v>
      </c>
      <c r="DV51" s="228">
        <v>0.45</v>
      </c>
      <c r="DW51" s="228">
        <v>0.05</v>
      </c>
      <c r="DX51" s="229">
        <v>0.1111</v>
      </c>
      <c r="DY51" s="229">
        <v>7.1300000000000002E-2</v>
      </c>
      <c r="DZ51" s="230">
        <v>14838000</v>
      </c>
      <c r="EA51" s="229">
        <v>-4.4999999999999997E-3</v>
      </c>
      <c r="EB51" s="229">
        <v>7.1300000000000002E-2</v>
      </c>
      <c r="EC51" s="228">
        <v>-1</v>
      </c>
      <c r="ED51" s="229">
        <v>-5.0000000000000001E-3</v>
      </c>
      <c r="EE51" s="230">
        <v>7239417</v>
      </c>
      <c r="EF51" s="230">
        <v>8669641</v>
      </c>
      <c r="EG51" s="229">
        <v>-0.16500000000000001</v>
      </c>
      <c r="EH51" s="229">
        <v>0.4864</v>
      </c>
      <c r="EI51" s="231">
        <v>83437.070000000007</v>
      </c>
      <c r="EJ51" s="231">
        <v>38560.25</v>
      </c>
      <c r="EK51" s="231">
        <v>42169.94</v>
      </c>
      <c r="EL51" s="231">
        <v>11146</v>
      </c>
      <c r="EM51" s="231">
        <v>164167.26</v>
      </c>
      <c r="EN51" s="231">
        <v>309706.63</v>
      </c>
      <c r="EO51" s="231">
        <v>-145539.37</v>
      </c>
      <c r="EP51" s="229">
        <v>-0.46989999999999998</v>
      </c>
      <c r="EQ51" s="231">
        <v>111558</v>
      </c>
      <c r="ER51" s="231">
        <v>75516</v>
      </c>
      <c r="ES51" s="231">
        <v>454015</v>
      </c>
      <c r="ET51" s="231">
        <v>428710078</v>
      </c>
      <c r="EU51" s="231">
        <v>641090</v>
      </c>
      <c r="EV51" s="231">
        <v>622797</v>
      </c>
      <c r="EW51" s="231">
        <v>18293</v>
      </c>
      <c r="EX51" s="229">
        <v>2.9399999999999999E-2</v>
      </c>
      <c r="EY51" s="229">
        <v>0.7379</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C1" zoomScale="86" zoomScaleNormal="86" workbookViewId="0">
      <selection activeCell="N8" sqref="N8"/>
    </sheetView>
  </sheetViews>
  <sheetFormatPr defaultRowHeight="15" x14ac:dyDescent="0.25"/>
  <cols>
    <col min="1" max="1" width="12.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2" width="11.710937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46121</v>
      </c>
      <c r="B2" s="227" t="s">
        <v>175</v>
      </c>
      <c r="C2" s="227" t="s">
        <v>680</v>
      </c>
      <c r="D2" s="228">
        <v>500</v>
      </c>
      <c r="E2" s="228">
        <v>19</v>
      </c>
      <c r="F2" s="231">
        <v>1001.3</v>
      </c>
      <c r="G2" s="228">
        <v>973.85</v>
      </c>
      <c r="H2" s="228">
        <v>27.45</v>
      </c>
      <c r="I2" s="229">
        <v>2.8199999999999999E-2</v>
      </c>
      <c r="J2" s="228">
        <v>998.1</v>
      </c>
      <c r="K2" s="228">
        <v>971.7</v>
      </c>
      <c r="L2" s="228">
        <v>26.4</v>
      </c>
      <c r="M2" s="229">
        <v>2.7199999999999998E-2</v>
      </c>
      <c r="N2" s="231">
        <v>1001.3</v>
      </c>
      <c r="O2" s="228">
        <v>973.85</v>
      </c>
      <c r="P2" s="228">
        <v>27.45</v>
      </c>
      <c r="Q2" s="229">
        <v>2.8199999999999999E-2</v>
      </c>
      <c r="R2" s="231">
        <v>1010.25</v>
      </c>
      <c r="S2" s="228">
        <v>979.1</v>
      </c>
      <c r="T2" s="228">
        <v>31.15</v>
      </c>
      <c r="U2" s="229">
        <v>3.1800000000000002E-2</v>
      </c>
      <c r="V2" s="231">
        <v>1009.55</v>
      </c>
      <c r="W2" s="228">
        <v>978</v>
      </c>
      <c r="X2" s="228">
        <v>31.55</v>
      </c>
      <c r="Y2" s="229">
        <v>3.2300000000000002E-2</v>
      </c>
      <c r="Z2" s="228">
        <v>3.2</v>
      </c>
      <c r="AA2" s="228">
        <v>2.15</v>
      </c>
      <c r="AB2" s="228">
        <v>1.05</v>
      </c>
      <c r="AC2" s="229">
        <v>3.2000000000000002E-3</v>
      </c>
      <c r="AD2" s="228">
        <v>3.2</v>
      </c>
      <c r="AE2" s="228">
        <v>2.15</v>
      </c>
      <c r="AF2" s="228">
        <v>1.05</v>
      </c>
      <c r="AG2" s="229">
        <v>3.2000000000000002E-3</v>
      </c>
      <c r="AH2" s="228">
        <v>12.15</v>
      </c>
      <c r="AI2" s="228">
        <v>7.4</v>
      </c>
      <c r="AJ2" s="228">
        <v>4.75</v>
      </c>
      <c r="AK2" s="229">
        <v>1.2200000000000001E-2</v>
      </c>
      <c r="AL2" s="228">
        <v>11.45</v>
      </c>
      <c r="AM2" s="228">
        <v>6.3</v>
      </c>
      <c r="AN2" s="228">
        <v>5.15</v>
      </c>
      <c r="AO2" s="229">
        <v>1.15E-2</v>
      </c>
      <c r="AP2" s="231">
        <v>1001.09</v>
      </c>
      <c r="AQ2" s="231">
        <v>1009.02</v>
      </c>
      <c r="AR2" s="228">
        <v>0</v>
      </c>
      <c r="AS2" s="228">
        <v>187</v>
      </c>
      <c r="AT2" s="228">
        <v>286</v>
      </c>
      <c r="AU2" s="228">
        <v>-99</v>
      </c>
      <c r="AV2" s="229">
        <v>-0.3458</v>
      </c>
      <c r="AW2" s="228">
        <v>171</v>
      </c>
      <c r="AX2" s="228">
        <v>279</v>
      </c>
      <c r="AY2" s="228">
        <v>-108</v>
      </c>
      <c r="AZ2" s="229">
        <v>-0.38769999999999999</v>
      </c>
      <c r="BA2" s="228">
        <v>16</v>
      </c>
      <c r="BB2" s="228">
        <v>6</v>
      </c>
      <c r="BC2" s="228">
        <v>9</v>
      </c>
      <c r="BD2" s="229">
        <v>1.4340999999999999</v>
      </c>
      <c r="BE2" s="228">
        <v>0</v>
      </c>
      <c r="BF2" s="228">
        <v>0</v>
      </c>
      <c r="BG2" s="228">
        <v>0</v>
      </c>
      <c r="BH2" s="229">
        <v>1</v>
      </c>
      <c r="BI2" s="228">
        <v>419</v>
      </c>
      <c r="BJ2" s="228">
        <v>311</v>
      </c>
      <c r="BK2" s="228">
        <v>109</v>
      </c>
      <c r="BL2" s="229">
        <v>0.35010000000000002</v>
      </c>
      <c r="BM2" s="228">
        <v>85</v>
      </c>
      <c r="BN2" s="228">
        <v>76</v>
      </c>
      <c r="BO2" s="228">
        <v>9</v>
      </c>
      <c r="BP2" s="229">
        <v>0.1172</v>
      </c>
      <c r="BQ2" s="228">
        <v>691</v>
      </c>
      <c r="BR2" s="228">
        <v>672</v>
      </c>
      <c r="BS2" s="228">
        <v>19</v>
      </c>
      <c r="BT2" s="229">
        <v>2.81E-2</v>
      </c>
      <c r="BU2" s="230">
        <v>3171641</v>
      </c>
      <c r="BV2" s="230">
        <v>4855833</v>
      </c>
      <c r="BW2" s="230">
        <v>-1684192</v>
      </c>
      <c r="BX2" s="229">
        <v>-0.3468</v>
      </c>
      <c r="BY2" s="228">
        <v>503</v>
      </c>
      <c r="BZ2" s="228">
        <v>459</v>
      </c>
      <c r="CA2" s="228">
        <v>44</v>
      </c>
      <c r="CB2" s="229">
        <v>9.6299999999999997E-2</v>
      </c>
      <c r="CC2" s="228">
        <v>491</v>
      </c>
      <c r="CD2" s="228">
        <v>452</v>
      </c>
      <c r="CE2" s="228">
        <v>39</v>
      </c>
      <c r="CF2" s="229">
        <v>8.6099999999999996E-2</v>
      </c>
      <c r="CG2" s="228">
        <v>11</v>
      </c>
      <c r="CH2" s="228">
        <v>6</v>
      </c>
      <c r="CI2" s="228">
        <v>5</v>
      </c>
      <c r="CJ2" s="229">
        <v>0.83609999999999995</v>
      </c>
      <c r="CK2" s="228">
        <v>0</v>
      </c>
      <c r="CL2" s="228">
        <v>0</v>
      </c>
      <c r="CM2" s="228">
        <v>0</v>
      </c>
      <c r="CN2" s="229">
        <v>0.4</v>
      </c>
      <c r="CO2" s="228">
        <v>86</v>
      </c>
      <c r="CP2" s="228">
        <v>90</v>
      </c>
      <c r="CQ2" s="228">
        <v>-5</v>
      </c>
      <c r="CR2" s="229">
        <v>-5.3699999999999998E-2</v>
      </c>
      <c r="CS2" s="228">
        <v>66</v>
      </c>
      <c r="CT2" s="228">
        <v>52</v>
      </c>
      <c r="CU2" s="228">
        <v>15</v>
      </c>
      <c r="CV2" s="229">
        <v>0.28860000000000002</v>
      </c>
      <c r="CW2" s="228">
        <v>655</v>
      </c>
      <c r="CX2" s="228">
        <v>601</v>
      </c>
      <c r="CY2" s="228">
        <v>54</v>
      </c>
      <c r="CZ2" s="229">
        <v>9.0200000000000002E-2</v>
      </c>
      <c r="DA2" s="228">
        <v>43.44</v>
      </c>
      <c r="DB2" s="228">
        <v>43.58</v>
      </c>
      <c r="DC2" s="228">
        <v>-0.14000000000000001</v>
      </c>
      <c r="DD2" s="228">
        <v>-0.14000000000000001</v>
      </c>
      <c r="DE2" s="228">
        <v>41.95</v>
      </c>
      <c r="DF2" s="228">
        <v>41.88</v>
      </c>
      <c r="DG2" s="228">
        <v>1.49</v>
      </c>
      <c r="DH2" s="228">
        <v>7.0000000000000007E-2</v>
      </c>
      <c r="DI2" s="228">
        <v>43.49</v>
      </c>
      <c r="DJ2" s="228">
        <v>43.75</v>
      </c>
      <c r="DK2" s="228">
        <v>-0.26</v>
      </c>
      <c r="DL2" s="228">
        <v>-0.26</v>
      </c>
      <c r="DM2" s="228">
        <v>43.19</v>
      </c>
      <c r="DN2" s="228">
        <v>42.87</v>
      </c>
      <c r="DO2" s="228">
        <v>0.32</v>
      </c>
      <c r="DP2" s="228">
        <v>0.32</v>
      </c>
      <c r="DQ2" s="228">
        <v>0.78</v>
      </c>
      <c r="DR2" s="228">
        <v>0.56999999999999995</v>
      </c>
      <c r="DS2" s="228">
        <v>0.21</v>
      </c>
      <c r="DT2" s="229">
        <v>0.36840000000000001</v>
      </c>
      <c r="DU2" s="231">
        <v>1000</v>
      </c>
      <c r="DV2" s="228">
        <v>940</v>
      </c>
      <c r="DW2" s="228">
        <v>0.2</v>
      </c>
      <c r="DX2" s="228">
        <v>0.24</v>
      </c>
      <c r="DY2" s="228">
        <v>-0.04</v>
      </c>
      <c r="DZ2" s="229">
        <v>-0.16669999999999999</v>
      </c>
      <c r="EA2" s="229">
        <v>2.3E-2</v>
      </c>
      <c r="EB2" s="230">
        <v>63500</v>
      </c>
      <c r="EC2" s="229">
        <v>8.8999999999999999E-3</v>
      </c>
      <c r="ED2" s="229">
        <v>2.3E-2</v>
      </c>
      <c r="EE2" s="228">
        <v>7.93</v>
      </c>
      <c r="EF2" s="229">
        <v>7.9000000000000008E-3</v>
      </c>
      <c r="EG2" s="230">
        <v>1905658</v>
      </c>
      <c r="EH2" s="230">
        <v>3532951</v>
      </c>
      <c r="EI2" s="229">
        <v>-0.46060000000000001</v>
      </c>
      <c r="EJ2" s="229">
        <v>0.6008</v>
      </c>
      <c r="EK2" s="228">
        <v>444.11</v>
      </c>
      <c r="EL2" s="228">
        <v>84.78</v>
      </c>
      <c r="EM2" s="228">
        <v>186.98</v>
      </c>
      <c r="EN2" s="228">
        <v>32.020000000000003</v>
      </c>
      <c r="EO2" s="228">
        <v>715.87</v>
      </c>
      <c r="EP2" s="228">
        <v>677.13</v>
      </c>
      <c r="EQ2" s="228">
        <v>38.729999999999997</v>
      </c>
      <c r="ER2" s="229">
        <v>5.7200000000000001E-2</v>
      </c>
      <c r="ES2" s="228">
        <v>87.76</v>
      </c>
      <c r="ET2" s="228">
        <v>63.26</v>
      </c>
      <c r="EU2" s="228">
        <v>503.01</v>
      </c>
      <c r="EV2" s="231">
        <v>37756901</v>
      </c>
      <c r="EW2" s="228">
        <v>654.02</v>
      </c>
      <c r="EX2" s="228">
        <v>586.76</v>
      </c>
      <c r="EY2" s="228">
        <v>67.260000000000005</v>
      </c>
      <c r="EZ2" s="229">
        <v>0.11459999999999999</v>
      </c>
      <c r="FA2" s="229">
        <v>0.17319999999999999</v>
      </c>
      <c r="FB2" s="227" t="s">
        <v>555</v>
      </c>
      <c r="FC2">
        <f>BY2-CC2</f>
        <v>12</v>
      </c>
    </row>
    <row r="3" spans="1:159" ht="17.25" thickBot="1" x14ac:dyDescent="0.3">
      <c r="A3" s="226">
        <v>46121</v>
      </c>
      <c r="B3" s="227" t="s">
        <v>184</v>
      </c>
      <c r="C3" s="227" t="s">
        <v>553</v>
      </c>
      <c r="D3" s="228">
        <v>125</v>
      </c>
      <c r="E3" s="228">
        <v>19</v>
      </c>
      <c r="F3" s="231">
        <v>6646.5</v>
      </c>
      <c r="G3" s="231">
        <v>6557</v>
      </c>
      <c r="H3" s="228">
        <v>89.5</v>
      </c>
      <c r="I3" s="229">
        <v>1.3599999999999999E-2</v>
      </c>
      <c r="J3" s="231">
        <v>6614</v>
      </c>
      <c r="K3" s="231">
        <v>6565</v>
      </c>
      <c r="L3" s="228">
        <v>49</v>
      </c>
      <c r="M3" s="229">
        <v>7.4999999999999997E-3</v>
      </c>
      <c r="N3" s="231">
        <v>6646.5</v>
      </c>
      <c r="O3" s="231">
        <v>6557</v>
      </c>
      <c r="P3" s="228">
        <v>89.5</v>
      </c>
      <c r="Q3" s="229">
        <v>1.3599999999999999E-2</v>
      </c>
      <c r="R3" s="231">
        <v>6614.5</v>
      </c>
      <c r="S3" s="231">
        <v>6524.5</v>
      </c>
      <c r="T3" s="228">
        <v>90</v>
      </c>
      <c r="U3" s="229">
        <v>1.38E-2</v>
      </c>
      <c r="V3" s="231">
        <v>6624.5</v>
      </c>
      <c r="W3" s="231">
        <v>6515.5</v>
      </c>
      <c r="X3" s="228">
        <v>109</v>
      </c>
      <c r="Y3" s="229">
        <v>1.67E-2</v>
      </c>
      <c r="Z3" s="228">
        <v>32.5</v>
      </c>
      <c r="AA3" s="228">
        <v>-8</v>
      </c>
      <c r="AB3" s="228">
        <v>40.5</v>
      </c>
      <c r="AC3" s="229">
        <v>4.8999999999999998E-3</v>
      </c>
      <c r="AD3" s="228">
        <v>32.5</v>
      </c>
      <c r="AE3" s="228">
        <v>-8</v>
      </c>
      <c r="AF3" s="228">
        <v>40.5</v>
      </c>
      <c r="AG3" s="229">
        <v>4.8999999999999998E-3</v>
      </c>
      <c r="AH3" s="228">
        <v>0.5</v>
      </c>
      <c r="AI3" s="228">
        <v>-40.5</v>
      </c>
      <c r="AJ3" s="228">
        <v>41</v>
      </c>
      <c r="AK3" s="229">
        <v>1E-4</v>
      </c>
      <c r="AL3" s="228">
        <v>10.5</v>
      </c>
      <c r="AM3" s="228">
        <v>-49.5</v>
      </c>
      <c r="AN3" s="228">
        <v>60</v>
      </c>
      <c r="AO3" s="229">
        <v>1.6000000000000001E-3</v>
      </c>
      <c r="AP3" s="231">
        <v>6605.09</v>
      </c>
      <c r="AQ3" s="231">
        <v>6590.96</v>
      </c>
      <c r="AR3" s="228">
        <v>0</v>
      </c>
      <c r="AS3" s="228">
        <v>445</v>
      </c>
      <c r="AT3" s="228">
        <v>479</v>
      </c>
      <c r="AU3" s="228">
        <v>-34</v>
      </c>
      <c r="AV3" s="229">
        <v>-7.0999999999999994E-2</v>
      </c>
      <c r="AW3" s="228">
        <v>390</v>
      </c>
      <c r="AX3" s="228">
        <v>446</v>
      </c>
      <c r="AY3" s="228">
        <v>-56</v>
      </c>
      <c r="AZ3" s="229">
        <v>-0.12509999999999999</v>
      </c>
      <c r="BA3" s="228">
        <v>52</v>
      </c>
      <c r="BB3" s="228">
        <v>29</v>
      </c>
      <c r="BC3" s="228">
        <v>22</v>
      </c>
      <c r="BD3" s="229">
        <v>0.75919999999999999</v>
      </c>
      <c r="BE3" s="228">
        <v>3</v>
      </c>
      <c r="BF3" s="228">
        <v>4</v>
      </c>
      <c r="BG3" s="228">
        <v>0</v>
      </c>
      <c r="BH3" s="229">
        <v>-0.13039999999999999</v>
      </c>
      <c r="BI3" s="230">
        <v>1037</v>
      </c>
      <c r="BJ3" s="230">
        <v>1486</v>
      </c>
      <c r="BK3" s="228">
        <v>-449</v>
      </c>
      <c r="BL3" s="229">
        <v>-0.30230000000000001</v>
      </c>
      <c r="BM3" s="228">
        <v>498</v>
      </c>
      <c r="BN3" s="228">
        <v>639</v>
      </c>
      <c r="BO3" s="228">
        <v>-142</v>
      </c>
      <c r="BP3" s="229">
        <v>-0.2218</v>
      </c>
      <c r="BQ3" s="230">
        <v>1979</v>
      </c>
      <c r="BR3" s="230">
        <v>2605</v>
      </c>
      <c r="BS3" s="228">
        <v>-625</v>
      </c>
      <c r="BT3" s="229">
        <v>-0.24</v>
      </c>
      <c r="BU3" s="230">
        <v>614191</v>
      </c>
      <c r="BV3" s="230">
        <v>654695</v>
      </c>
      <c r="BW3" s="230">
        <v>-40504</v>
      </c>
      <c r="BX3" s="229">
        <v>-6.1899999999999997E-2</v>
      </c>
      <c r="BY3" s="230">
        <v>1445</v>
      </c>
      <c r="BZ3" s="230">
        <v>1414</v>
      </c>
      <c r="CA3" s="228">
        <v>32</v>
      </c>
      <c r="CB3" s="229">
        <v>2.23E-2</v>
      </c>
      <c r="CC3" s="230">
        <v>1396</v>
      </c>
      <c r="CD3" s="230">
        <v>1369</v>
      </c>
      <c r="CE3" s="228">
        <v>27</v>
      </c>
      <c r="CF3" s="229">
        <v>1.9699999999999999E-2</v>
      </c>
      <c r="CG3" s="228">
        <v>42</v>
      </c>
      <c r="CH3" s="228">
        <v>38</v>
      </c>
      <c r="CI3" s="228">
        <v>4</v>
      </c>
      <c r="CJ3" s="229">
        <v>0.1013</v>
      </c>
      <c r="CK3" s="228">
        <v>8</v>
      </c>
      <c r="CL3" s="228">
        <v>7</v>
      </c>
      <c r="CM3" s="228">
        <v>1</v>
      </c>
      <c r="CN3" s="229">
        <v>0.1023</v>
      </c>
      <c r="CO3" s="228">
        <v>442</v>
      </c>
      <c r="CP3" s="228">
        <v>419</v>
      </c>
      <c r="CQ3" s="228">
        <v>23</v>
      </c>
      <c r="CR3" s="229">
        <v>5.4699999999999999E-2</v>
      </c>
      <c r="CS3" s="228">
        <v>464</v>
      </c>
      <c r="CT3" s="228">
        <v>407</v>
      </c>
      <c r="CU3" s="228">
        <v>57</v>
      </c>
      <c r="CV3" s="229">
        <v>0.1389</v>
      </c>
      <c r="CW3" s="230">
        <v>2352</v>
      </c>
      <c r="CX3" s="230">
        <v>2241</v>
      </c>
      <c r="CY3" s="228">
        <v>111</v>
      </c>
      <c r="CZ3" s="229">
        <v>4.9599999999999998E-2</v>
      </c>
      <c r="DA3" s="228">
        <v>33.79</v>
      </c>
      <c r="DB3" s="228">
        <v>33.979999999999997</v>
      </c>
      <c r="DC3" s="228">
        <v>-0.19</v>
      </c>
      <c r="DD3" s="228">
        <v>-0.19</v>
      </c>
      <c r="DE3" s="228">
        <v>37.119999999999997</v>
      </c>
      <c r="DF3" s="228">
        <v>37.200000000000003</v>
      </c>
      <c r="DG3" s="228">
        <v>-3.33</v>
      </c>
      <c r="DH3" s="228">
        <v>-0.08</v>
      </c>
      <c r="DI3" s="228">
        <v>32.39</v>
      </c>
      <c r="DJ3" s="228">
        <v>32.590000000000003</v>
      </c>
      <c r="DK3" s="228">
        <v>-0.2</v>
      </c>
      <c r="DL3" s="228">
        <v>-0.2</v>
      </c>
      <c r="DM3" s="228">
        <v>36.71</v>
      </c>
      <c r="DN3" s="228">
        <v>37.200000000000003</v>
      </c>
      <c r="DO3" s="228">
        <v>-0.49</v>
      </c>
      <c r="DP3" s="228">
        <v>-0.49</v>
      </c>
      <c r="DQ3" s="228">
        <v>1.05</v>
      </c>
      <c r="DR3" s="228">
        <v>0.97</v>
      </c>
      <c r="DS3" s="228">
        <v>0.08</v>
      </c>
      <c r="DT3" s="229">
        <v>8.2500000000000004E-2</v>
      </c>
      <c r="DU3" s="231">
        <v>7000</v>
      </c>
      <c r="DV3" s="231">
        <v>6000</v>
      </c>
      <c r="DW3" s="228">
        <v>0.48</v>
      </c>
      <c r="DX3" s="228">
        <v>0.43</v>
      </c>
      <c r="DY3" s="228">
        <v>0.05</v>
      </c>
      <c r="DZ3" s="229">
        <v>0.1163</v>
      </c>
      <c r="EA3" s="229">
        <v>3.4299999999999997E-2</v>
      </c>
      <c r="EB3" s="230">
        <v>67750</v>
      </c>
      <c r="EC3" s="229">
        <v>-4.7999999999999996E-3</v>
      </c>
      <c r="ED3" s="229">
        <v>3.4299999999999997E-2</v>
      </c>
      <c r="EE3" s="228">
        <v>-14.13</v>
      </c>
      <c r="EF3" s="229">
        <v>-2.0999999999999999E-3</v>
      </c>
      <c r="EG3" s="230">
        <v>302400</v>
      </c>
      <c r="EH3" s="230">
        <v>318930</v>
      </c>
      <c r="EI3" s="229">
        <v>-5.1799999999999999E-2</v>
      </c>
      <c r="EJ3" s="229">
        <v>0.4924</v>
      </c>
      <c r="EK3" s="231">
        <v>1077.55</v>
      </c>
      <c r="EL3" s="228">
        <v>477.08</v>
      </c>
      <c r="EM3" s="228">
        <v>441.99</v>
      </c>
      <c r="EN3" s="228">
        <v>31.5</v>
      </c>
      <c r="EO3" s="231">
        <v>1996.61</v>
      </c>
      <c r="EP3" s="231">
        <v>2577.29</v>
      </c>
      <c r="EQ3" s="228">
        <v>-580.67999999999995</v>
      </c>
      <c r="ER3" s="229">
        <v>-0.2253</v>
      </c>
      <c r="ES3" s="228">
        <v>438.65</v>
      </c>
      <c r="ET3" s="228">
        <v>423.86</v>
      </c>
      <c r="EU3" s="231">
        <v>1445.14</v>
      </c>
      <c r="EV3" s="231">
        <v>7946564</v>
      </c>
      <c r="EW3" s="231">
        <v>2307.65</v>
      </c>
      <c r="EX3" s="231">
        <v>2177.67</v>
      </c>
      <c r="EY3" s="228">
        <v>129.97999999999999</v>
      </c>
      <c r="EZ3" s="229">
        <v>5.9700000000000003E-2</v>
      </c>
      <c r="FA3" s="229">
        <v>0.44529999999999997</v>
      </c>
      <c r="FB3" s="227" t="s">
        <v>555</v>
      </c>
      <c r="FC3">
        <f t="shared" ref="FC3:FC66" si="0">BY3-CC3</f>
        <v>49</v>
      </c>
    </row>
    <row r="4" spans="1:159" ht="17.25" thickBot="1" x14ac:dyDescent="0.3">
      <c r="A4" s="226">
        <v>46121</v>
      </c>
      <c r="B4" s="227" t="s">
        <v>175</v>
      </c>
      <c r="C4" s="227" t="s">
        <v>544</v>
      </c>
      <c r="D4" s="228">
        <v>3100</v>
      </c>
      <c r="E4" s="228">
        <v>19</v>
      </c>
      <c r="F4" s="228">
        <v>335.75</v>
      </c>
      <c r="G4" s="228">
        <v>340.15</v>
      </c>
      <c r="H4" s="228">
        <v>-4.4000000000000004</v>
      </c>
      <c r="I4" s="229">
        <v>-1.29E-2</v>
      </c>
      <c r="J4" s="228">
        <v>334.55</v>
      </c>
      <c r="K4" s="228">
        <v>338.4</v>
      </c>
      <c r="L4" s="228">
        <v>-3.85</v>
      </c>
      <c r="M4" s="229">
        <v>-1.14E-2</v>
      </c>
      <c r="N4" s="228">
        <v>335.75</v>
      </c>
      <c r="O4" s="228">
        <v>340.15</v>
      </c>
      <c r="P4" s="228">
        <v>-4.4000000000000004</v>
      </c>
      <c r="Q4" s="229">
        <v>-1.29E-2</v>
      </c>
      <c r="R4" s="228">
        <v>337.35</v>
      </c>
      <c r="S4" s="228">
        <v>341.75</v>
      </c>
      <c r="T4" s="228">
        <v>-4.4000000000000004</v>
      </c>
      <c r="U4" s="229">
        <v>-1.29E-2</v>
      </c>
      <c r="V4" s="228">
        <v>339</v>
      </c>
      <c r="W4" s="228">
        <v>341.4</v>
      </c>
      <c r="X4" s="228">
        <v>-2.4</v>
      </c>
      <c r="Y4" s="229">
        <v>-7.0000000000000001E-3</v>
      </c>
      <c r="Z4" s="228">
        <v>1.2</v>
      </c>
      <c r="AA4" s="228">
        <v>1.75</v>
      </c>
      <c r="AB4" s="228">
        <v>-0.55000000000000004</v>
      </c>
      <c r="AC4" s="229">
        <v>3.5999999999999999E-3</v>
      </c>
      <c r="AD4" s="228">
        <v>1.2</v>
      </c>
      <c r="AE4" s="228">
        <v>1.75</v>
      </c>
      <c r="AF4" s="228">
        <v>-0.55000000000000004</v>
      </c>
      <c r="AG4" s="229">
        <v>3.5999999999999999E-3</v>
      </c>
      <c r="AH4" s="228">
        <v>2.8</v>
      </c>
      <c r="AI4" s="228">
        <v>3.35</v>
      </c>
      <c r="AJ4" s="228">
        <v>-0.55000000000000004</v>
      </c>
      <c r="AK4" s="229">
        <v>8.3999999999999995E-3</v>
      </c>
      <c r="AL4" s="228">
        <v>4.45</v>
      </c>
      <c r="AM4" s="228">
        <v>3</v>
      </c>
      <c r="AN4" s="228">
        <v>1.45</v>
      </c>
      <c r="AO4" s="229">
        <v>1.3299999999999999E-2</v>
      </c>
      <c r="AP4" s="228">
        <v>338.33</v>
      </c>
      <c r="AQ4" s="228">
        <v>340.28</v>
      </c>
      <c r="AR4" s="228">
        <v>0</v>
      </c>
      <c r="AS4" s="228">
        <v>290</v>
      </c>
      <c r="AT4" s="228">
        <v>455</v>
      </c>
      <c r="AU4" s="228">
        <v>-165</v>
      </c>
      <c r="AV4" s="229">
        <v>-0.36180000000000001</v>
      </c>
      <c r="AW4" s="228">
        <v>274</v>
      </c>
      <c r="AX4" s="228">
        <v>436</v>
      </c>
      <c r="AY4" s="228">
        <v>-162</v>
      </c>
      <c r="AZ4" s="229">
        <v>-0.37130000000000002</v>
      </c>
      <c r="BA4" s="228">
        <v>14</v>
      </c>
      <c r="BB4" s="228">
        <v>18</v>
      </c>
      <c r="BC4" s="228">
        <v>-4</v>
      </c>
      <c r="BD4" s="229">
        <v>-0.22600000000000001</v>
      </c>
      <c r="BE4" s="228">
        <v>2</v>
      </c>
      <c r="BF4" s="228">
        <v>0</v>
      </c>
      <c r="BG4" s="228">
        <v>2</v>
      </c>
      <c r="BH4" s="229">
        <v>5</v>
      </c>
      <c r="BI4" s="228">
        <v>350</v>
      </c>
      <c r="BJ4" s="228">
        <v>725</v>
      </c>
      <c r="BK4" s="228">
        <v>-376</v>
      </c>
      <c r="BL4" s="229">
        <v>-0.51800000000000002</v>
      </c>
      <c r="BM4" s="228">
        <v>338</v>
      </c>
      <c r="BN4" s="228">
        <v>689</v>
      </c>
      <c r="BO4" s="228">
        <v>-351</v>
      </c>
      <c r="BP4" s="229">
        <v>-0.50939999999999996</v>
      </c>
      <c r="BQ4" s="228">
        <v>978</v>
      </c>
      <c r="BR4" s="230">
        <v>1869</v>
      </c>
      <c r="BS4" s="228">
        <v>-891</v>
      </c>
      <c r="BT4" s="229">
        <v>-0.4768</v>
      </c>
      <c r="BU4" s="230">
        <v>7386816</v>
      </c>
      <c r="BV4" s="230">
        <v>7557416</v>
      </c>
      <c r="BW4" s="230">
        <v>-170600</v>
      </c>
      <c r="BX4" s="229">
        <v>-2.2599999999999999E-2</v>
      </c>
      <c r="BY4" s="230">
        <v>1476</v>
      </c>
      <c r="BZ4" s="230">
        <v>1427</v>
      </c>
      <c r="CA4" s="228">
        <v>49</v>
      </c>
      <c r="CB4" s="229">
        <v>3.4299999999999997E-2</v>
      </c>
      <c r="CC4" s="230">
        <v>1455</v>
      </c>
      <c r="CD4" s="230">
        <v>1410</v>
      </c>
      <c r="CE4" s="228">
        <v>45</v>
      </c>
      <c r="CF4" s="229">
        <v>3.2300000000000002E-2</v>
      </c>
      <c r="CG4" s="228">
        <v>20</v>
      </c>
      <c r="CH4" s="228">
        <v>17</v>
      </c>
      <c r="CI4" s="228">
        <v>3</v>
      </c>
      <c r="CJ4" s="229">
        <v>0.15240000000000001</v>
      </c>
      <c r="CK4" s="228">
        <v>1</v>
      </c>
      <c r="CL4" s="228">
        <v>0</v>
      </c>
      <c r="CM4" s="228">
        <v>1</v>
      </c>
      <c r="CN4" s="229">
        <v>2.25</v>
      </c>
      <c r="CO4" s="228">
        <v>276</v>
      </c>
      <c r="CP4" s="228">
        <v>265</v>
      </c>
      <c r="CQ4" s="228">
        <v>11</v>
      </c>
      <c r="CR4" s="229">
        <v>4.24E-2</v>
      </c>
      <c r="CS4" s="228">
        <v>268</v>
      </c>
      <c r="CT4" s="228">
        <v>259</v>
      </c>
      <c r="CU4" s="228">
        <v>9</v>
      </c>
      <c r="CV4" s="229">
        <v>3.2899999999999999E-2</v>
      </c>
      <c r="CW4" s="230">
        <v>2020</v>
      </c>
      <c r="CX4" s="230">
        <v>1951</v>
      </c>
      <c r="CY4" s="228">
        <v>69</v>
      </c>
      <c r="CZ4" s="229">
        <v>3.5299999999999998E-2</v>
      </c>
      <c r="DA4" s="228">
        <v>40.880000000000003</v>
      </c>
      <c r="DB4" s="228">
        <v>42.41</v>
      </c>
      <c r="DC4" s="228">
        <v>-1.53</v>
      </c>
      <c r="DD4" s="228">
        <v>-1.53</v>
      </c>
      <c r="DE4" s="228">
        <v>41.67</v>
      </c>
      <c r="DF4" s="228">
        <v>41.73</v>
      </c>
      <c r="DG4" s="228">
        <v>-0.79</v>
      </c>
      <c r="DH4" s="228">
        <v>-0.06</v>
      </c>
      <c r="DI4" s="228">
        <v>39.770000000000003</v>
      </c>
      <c r="DJ4" s="228">
        <v>39.69</v>
      </c>
      <c r="DK4" s="228">
        <v>0.08</v>
      </c>
      <c r="DL4" s="228">
        <v>0.08</v>
      </c>
      <c r="DM4" s="228">
        <v>42.02</v>
      </c>
      <c r="DN4" s="228">
        <v>45.28</v>
      </c>
      <c r="DO4" s="228">
        <v>-3.26</v>
      </c>
      <c r="DP4" s="228">
        <v>-3.26</v>
      </c>
      <c r="DQ4" s="228">
        <v>0.97</v>
      </c>
      <c r="DR4" s="228">
        <v>0.98</v>
      </c>
      <c r="DS4" s="228">
        <v>-0.01</v>
      </c>
      <c r="DT4" s="229">
        <v>-1.0200000000000001E-2</v>
      </c>
      <c r="DU4" s="228">
        <v>330</v>
      </c>
      <c r="DV4" s="228">
        <v>320</v>
      </c>
      <c r="DW4" s="228">
        <v>0.97</v>
      </c>
      <c r="DX4" s="228">
        <v>0.95</v>
      </c>
      <c r="DY4" s="228">
        <v>0.02</v>
      </c>
      <c r="DZ4" s="229">
        <v>2.1100000000000001E-2</v>
      </c>
      <c r="EA4" s="229">
        <v>1.4200000000000001E-2</v>
      </c>
      <c r="EB4" s="230">
        <v>520800</v>
      </c>
      <c r="EC4" s="229">
        <v>4.7999999999999996E-3</v>
      </c>
      <c r="ED4" s="229">
        <v>1.4200000000000001E-2</v>
      </c>
      <c r="EE4" s="228">
        <v>1.95</v>
      </c>
      <c r="EF4" s="229">
        <v>5.7999999999999996E-3</v>
      </c>
      <c r="EG4" s="230">
        <v>3285912</v>
      </c>
      <c r="EH4" s="230">
        <v>2558112</v>
      </c>
      <c r="EI4" s="229">
        <v>0.28449999999999998</v>
      </c>
      <c r="EJ4" s="229">
        <v>0.44479999999999997</v>
      </c>
      <c r="EK4" s="228">
        <v>372.11</v>
      </c>
      <c r="EL4" s="228">
        <v>331.86</v>
      </c>
      <c r="EM4" s="228">
        <v>292.83</v>
      </c>
      <c r="EN4" s="228">
        <v>31.47</v>
      </c>
      <c r="EO4" s="228">
        <v>996.79</v>
      </c>
      <c r="EP4" s="231">
        <v>1852.23</v>
      </c>
      <c r="EQ4" s="228">
        <v>-855.44</v>
      </c>
      <c r="ER4" s="229">
        <v>-0.46179999999999999</v>
      </c>
      <c r="ES4" s="228">
        <v>273.67</v>
      </c>
      <c r="ET4" s="228">
        <v>245.86</v>
      </c>
      <c r="EU4" s="231">
        <v>1476.41</v>
      </c>
      <c r="EV4" s="231">
        <v>123369777</v>
      </c>
      <c r="EW4" s="231">
        <v>1995.94</v>
      </c>
      <c r="EX4" s="231">
        <v>1944.16</v>
      </c>
      <c r="EY4" s="228">
        <v>51.78</v>
      </c>
      <c r="EZ4" s="229">
        <v>2.6599999999999999E-2</v>
      </c>
      <c r="FA4" s="229">
        <v>0.48770000000000002</v>
      </c>
      <c r="FB4" s="227" t="s">
        <v>566</v>
      </c>
      <c r="FC4">
        <f t="shared" si="0"/>
        <v>21</v>
      </c>
    </row>
    <row r="5" spans="1:159" ht="17.25" thickBot="1" x14ac:dyDescent="0.3">
      <c r="A5" s="226">
        <v>46121</v>
      </c>
      <c r="B5" s="227" t="s">
        <v>161</v>
      </c>
      <c r="C5" s="227" t="s">
        <v>578</v>
      </c>
      <c r="D5" s="228">
        <v>675</v>
      </c>
      <c r="E5" s="228">
        <v>19</v>
      </c>
      <c r="F5" s="231">
        <v>1080.05</v>
      </c>
      <c r="G5" s="231">
        <v>1080</v>
      </c>
      <c r="H5" s="228">
        <v>0.05</v>
      </c>
      <c r="I5" s="229">
        <v>0</v>
      </c>
      <c r="J5" s="231">
        <v>1078.75</v>
      </c>
      <c r="K5" s="231">
        <v>1073.3</v>
      </c>
      <c r="L5" s="228">
        <v>5.45</v>
      </c>
      <c r="M5" s="229">
        <v>5.1000000000000004E-3</v>
      </c>
      <c r="N5" s="231">
        <v>1080.05</v>
      </c>
      <c r="O5" s="231">
        <v>1080</v>
      </c>
      <c r="P5" s="228">
        <v>0.05</v>
      </c>
      <c r="Q5" s="229">
        <v>0</v>
      </c>
      <c r="R5" s="231">
        <v>1085.05</v>
      </c>
      <c r="S5" s="231">
        <v>1084.3499999999999</v>
      </c>
      <c r="T5" s="228">
        <v>0.7</v>
      </c>
      <c r="U5" s="229">
        <v>5.9999999999999995E-4</v>
      </c>
      <c r="V5" s="231">
        <v>1093.2</v>
      </c>
      <c r="W5" s="231">
        <v>1094.8499999999999</v>
      </c>
      <c r="X5" s="228">
        <v>-1.65</v>
      </c>
      <c r="Y5" s="229">
        <v>-1.5E-3</v>
      </c>
      <c r="Z5" s="228">
        <v>1.3</v>
      </c>
      <c r="AA5" s="228">
        <v>6.7</v>
      </c>
      <c r="AB5" s="228">
        <v>-5.4</v>
      </c>
      <c r="AC5" s="229">
        <v>1.1999999999999999E-3</v>
      </c>
      <c r="AD5" s="228">
        <v>1.3</v>
      </c>
      <c r="AE5" s="228">
        <v>6.7</v>
      </c>
      <c r="AF5" s="228">
        <v>-5.4</v>
      </c>
      <c r="AG5" s="229">
        <v>1.1999999999999999E-3</v>
      </c>
      <c r="AH5" s="228">
        <v>6.3</v>
      </c>
      <c r="AI5" s="228">
        <v>11.05</v>
      </c>
      <c r="AJ5" s="228">
        <v>-4.75</v>
      </c>
      <c r="AK5" s="229">
        <v>5.7999999999999996E-3</v>
      </c>
      <c r="AL5" s="228">
        <v>14.45</v>
      </c>
      <c r="AM5" s="228">
        <v>21.55</v>
      </c>
      <c r="AN5" s="228">
        <v>-7.1</v>
      </c>
      <c r="AO5" s="229">
        <v>1.34E-2</v>
      </c>
      <c r="AP5" s="231">
        <v>1072.44</v>
      </c>
      <c r="AQ5" s="231">
        <v>1076.31</v>
      </c>
      <c r="AR5" s="228">
        <v>0</v>
      </c>
      <c r="AS5" s="228">
        <v>281</v>
      </c>
      <c r="AT5" s="228">
        <v>505</v>
      </c>
      <c r="AU5" s="228">
        <v>-224</v>
      </c>
      <c r="AV5" s="229">
        <v>-0.44390000000000002</v>
      </c>
      <c r="AW5" s="228">
        <v>274</v>
      </c>
      <c r="AX5" s="228">
        <v>479</v>
      </c>
      <c r="AY5" s="228">
        <v>-205</v>
      </c>
      <c r="AZ5" s="229">
        <v>-0.4279</v>
      </c>
      <c r="BA5" s="228">
        <v>6</v>
      </c>
      <c r="BB5" s="228">
        <v>23</v>
      </c>
      <c r="BC5" s="228">
        <v>-17</v>
      </c>
      <c r="BD5" s="229">
        <v>-0.73499999999999999</v>
      </c>
      <c r="BE5" s="228">
        <v>1</v>
      </c>
      <c r="BF5" s="228">
        <v>3</v>
      </c>
      <c r="BG5" s="228">
        <v>-2</v>
      </c>
      <c r="BH5" s="229">
        <v>-0.74419999999999997</v>
      </c>
      <c r="BI5" s="228">
        <v>517</v>
      </c>
      <c r="BJ5" s="230">
        <v>1309</v>
      </c>
      <c r="BK5" s="228">
        <v>-792</v>
      </c>
      <c r="BL5" s="229">
        <v>-0.60489999999999999</v>
      </c>
      <c r="BM5" s="228">
        <v>185</v>
      </c>
      <c r="BN5" s="228">
        <v>360</v>
      </c>
      <c r="BO5" s="228">
        <v>-175</v>
      </c>
      <c r="BP5" s="229">
        <v>-0.48599999999999999</v>
      </c>
      <c r="BQ5" s="228">
        <v>983</v>
      </c>
      <c r="BR5" s="230">
        <v>2175</v>
      </c>
      <c r="BS5" s="230">
        <v>-1191</v>
      </c>
      <c r="BT5" s="229">
        <v>-0.54779999999999995</v>
      </c>
      <c r="BU5" s="230">
        <v>2286401</v>
      </c>
      <c r="BV5" s="230">
        <v>4848395</v>
      </c>
      <c r="BW5" s="230">
        <v>-2561994</v>
      </c>
      <c r="BX5" s="229">
        <v>-0.52839999999999998</v>
      </c>
      <c r="BY5" s="230">
        <v>2151</v>
      </c>
      <c r="BZ5" s="230">
        <v>2171</v>
      </c>
      <c r="CA5" s="228">
        <v>-20</v>
      </c>
      <c r="CB5" s="229">
        <v>-9.2999999999999992E-3</v>
      </c>
      <c r="CC5" s="230">
        <v>1805</v>
      </c>
      <c r="CD5" s="230">
        <v>1825</v>
      </c>
      <c r="CE5" s="228">
        <v>-20</v>
      </c>
      <c r="CF5" s="229">
        <v>-1.12E-2</v>
      </c>
      <c r="CG5" s="228">
        <v>344</v>
      </c>
      <c r="CH5" s="228">
        <v>344</v>
      </c>
      <c r="CI5" s="228">
        <v>0</v>
      </c>
      <c r="CJ5" s="229">
        <v>-2.0000000000000001E-4</v>
      </c>
      <c r="CK5" s="228">
        <v>2</v>
      </c>
      <c r="CL5" s="228">
        <v>2</v>
      </c>
      <c r="CM5" s="228">
        <v>0</v>
      </c>
      <c r="CN5" s="229">
        <v>0.15379999999999999</v>
      </c>
      <c r="CO5" s="228">
        <v>306</v>
      </c>
      <c r="CP5" s="228">
        <v>309</v>
      </c>
      <c r="CQ5" s="228">
        <v>-3</v>
      </c>
      <c r="CR5" s="229">
        <v>-1.01E-2</v>
      </c>
      <c r="CS5" s="228">
        <v>164</v>
      </c>
      <c r="CT5" s="228">
        <v>148</v>
      </c>
      <c r="CU5" s="228">
        <v>16</v>
      </c>
      <c r="CV5" s="229">
        <v>0.1086</v>
      </c>
      <c r="CW5" s="230">
        <v>2620</v>
      </c>
      <c r="CX5" s="230">
        <v>2628</v>
      </c>
      <c r="CY5" s="228">
        <v>-7</v>
      </c>
      <c r="CZ5" s="229">
        <v>-2.8E-3</v>
      </c>
      <c r="DA5" s="228">
        <v>48.13</v>
      </c>
      <c r="DB5" s="228">
        <v>48.94</v>
      </c>
      <c r="DC5" s="228">
        <v>-0.81</v>
      </c>
      <c r="DD5" s="228">
        <v>-0.81</v>
      </c>
      <c r="DE5" s="228">
        <v>55.2</v>
      </c>
      <c r="DF5" s="228">
        <v>55.34</v>
      </c>
      <c r="DG5" s="228">
        <v>-7.07</v>
      </c>
      <c r="DH5" s="228">
        <v>-0.14000000000000001</v>
      </c>
      <c r="DI5" s="228">
        <v>47.92</v>
      </c>
      <c r="DJ5" s="228">
        <v>48.36</v>
      </c>
      <c r="DK5" s="228">
        <v>-0.44</v>
      </c>
      <c r="DL5" s="228">
        <v>-0.44</v>
      </c>
      <c r="DM5" s="228">
        <v>48.7</v>
      </c>
      <c r="DN5" s="228">
        <v>51.06</v>
      </c>
      <c r="DO5" s="228">
        <v>-2.36</v>
      </c>
      <c r="DP5" s="228">
        <v>-2.36</v>
      </c>
      <c r="DQ5" s="228">
        <v>0.53</v>
      </c>
      <c r="DR5" s="228">
        <v>0.48</v>
      </c>
      <c r="DS5" s="228">
        <v>0.05</v>
      </c>
      <c r="DT5" s="229">
        <v>0.1042</v>
      </c>
      <c r="DU5" s="231">
        <v>1100</v>
      </c>
      <c r="DV5" s="231">
        <v>1000</v>
      </c>
      <c r="DW5" s="228">
        <v>0.36</v>
      </c>
      <c r="DX5" s="228">
        <v>0.28000000000000003</v>
      </c>
      <c r="DY5" s="228">
        <v>0.08</v>
      </c>
      <c r="DZ5" s="229">
        <v>0.28570000000000001</v>
      </c>
      <c r="EA5" s="229">
        <v>0.16089999999999999</v>
      </c>
      <c r="EB5" s="230">
        <v>3202200</v>
      </c>
      <c r="EC5" s="229">
        <v>4.5999999999999999E-3</v>
      </c>
      <c r="ED5" s="229">
        <v>0.16089999999999999</v>
      </c>
      <c r="EE5" s="228">
        <v>3.87</v>
      </c>
      <c r="EF5" s="229">
        <v>3.5999999999999999E-3</v>
      </c>
      <c r="EG5" s="230">
        <v>680705</v>
      </c>
      <c r="EH5" s="230">
        <v>1412193</v>
      </c>
      <c r="EI5" s="229">
        <v>-0.51800000000000002</v>
      </c>
      <c r="EJ5" s="229">
        <v>0.29770000000000002</v>
      </c>
      <c r="EK5" s="228">
        <v>549.61</v>
      </c>
      <c r="EL5" s="228">
        <v>180.31</v>
      </c>
      <c r="EM5" s="228">
        <v>278.95</v>
      </c>
      <c r="EN5" s="228">
        <v>39.74</v>
      </c>
      <c r="EO5" s="231">
        <v>1008.88</v>
      </c>
      <c r="EP5" s="231">
        <v>2234.2199999999998</v>
      </c>
      <c r="EQ5" s="231">
        <v>-1225.3399999999999</v>
      </c>
      <c r="ER5" s="229">
        <v>-0.5484</v>
      </c>
      <c r="ES5" s="228">
        <v>303.88</v>
      </c>
      <c r="ET5" s="228">
        <v>147.97</v>
      </c>
      <c r="EU5" s="231">
        <v>2152.34</v>
      </c>
      <c r="EV5" s="231">
        <v>35196587</v>
      </c>
      <c r="EW5" s="231">
        <v>2604.1999999999998</v>
      </c>
      <c r="EX5" s="231">
        <v>2607.81</v>
      </c>
      <c r="EY5" s="228">
        <v>-3.61</v>
      </c>
      <c r="EZ5" s="229">
        <v>-1.4E-3</v>
      </c>
      <c r="FA5" s="229">
        <v>0.68930000000000002</v>
      </c>
      <c r="FB5" s="227" t="s">
        <v>237</v>
      </c>
      <c r="FC5">
        <f t="shared" si="0"/>
        <v>346</v>
      </c>
    </row>
    <row r="6" spans="1:159" ht="17.25" thickBot="1" x14ac:dyDescent="0.3">
      <c r="A6" s="226">
        <v>46121</v>
      </c>
      <c r="B6" s="227" t="s">
        <v>215</v>
      </c>
      <c r="C6" s="227" t="s">
        <v>159</v>
      </c>
      <c r="D6" s="228">
        <v>309</v>
      </c>
      <c r="E6" s="228">
        <v>19</v>
      </c>
      <c r="F6" s="231">
        <v>2050.8000000000002</v>
      </c>
      <c r="G6" s="231">
        <v>2053.6999999999998</v>
      </c>
      <c r="H6" s="228">
        <v>-2.9</v>
      </c>
      <c r="I6" s="229">
        <v>-1.4E-3</v>
      </c>
      <c r="J6" s="231">
        <v>2040.5</v>
      </c>
      <c r="K6" s="231">
        <v>2043.8</v>
      </c>
      <c r="L6" s="228">
        <v>-3.3</v>
      </c>
      <c r="M6" s="229">
        <v>-1.6000000000000001E-3</v>
      </c>
      <c r="N6" s="231">
        <v>2050.8000000000002</v>
      </c>
      <c r="O6" s="231">
        <v>2053.6999999999998</v>
      </c>
      <c r="P6" s="228">
        <v>-2.9</v>
      </c>
      <c r="Q6" s="229">
        <v>-1.4E-3</v>
      </c>
      <c r="R6" s="231">
        <v>2061.6</v>
      </c>
      <c r="S6" s="231">
        <v>2065</v>
      </c>
      <c r="T6" s="228">
        <v>-3.4</v>
      </c>
      <c r="U6" s="229">
        <v>-1.6000000000000001E-3</v>
      </c>
      <c r="V6" s="231">
        <v>2070.9</v>
      </c>
      <c r="W6" s="231">
        <v>2068.1999999999998</v>
      </c>
      <c r="X6" s="228">
        <v>2.7</v>
      </c>
      <c r="Y6" s="229">
        <v>1.2999999999999999E-3</v>
      </c>
      <c r="Z6" s="228">
        <v>10.3</v>
      </c>
      <c r="AA6" s="228">
        <v>9.9</v>
      </c>
      <c r="AB6" s="228">
        <v>0.4</v>
      </c>
      <c r="AC6" s="229">
        <v>5.0000000000000001E-3</v>
      </c>
      <c r="AD6" s="228">
        <v>10.3</v>
      </c>
      <c r="AE6" s="228">
        <v>9.9</v>
      </c>
      <c r="AF6" s="228">
        <v>0.4</v>
      </c>
      <c r="AG6" s="229">
        <v>5.0000000000000001E-3</v>
      </c>
      <c r="AH6" s="228">
        <v>21.1</v>
      </c>
      <c r="AI6" s="228">
        <v>21.2</v>
      </c>
      <c r="AJ6" s="228">
        <v>-0.1</v>
      </c>
      <c r="AK6" s="229">
        <v>1.03E-2</v>
      </c>
      <c r="AL6" s="228">
        <v>30.4</v>
      </c>
      <c r="AM6" s="228">
        <v>24.4</v>
      </c>
      <c r="AN6" s="228">
        <v>6</v>
      </c>
      <c r="AO6" s="229">
        <v>1.49E-2</v>
      </c>
      <c r="AP6" s="231">
        <v>2048.2399999999998</v>
      </c>
      <c r="AQ6" s="231">
        <v>2058.91</v>
      </c>
      <c r="AR6" s="228">
        <v>0</v>
      </c>
      <c r="AS6" s="228">
        <v>694</v>
      </c>
      <c r="AT6" s="230">
        <v>1106</v>
      </c>
      <c r="AU6" s="228">
        <v>-413</v>
      </c>
      <c r="AV6" s="229">
        <v>-0.373</v>
      </c>
      <c r="AW6" s="228">
        <v>648</v>
      </c>
      <c r="AX6" s="230">
        <v>1025</v>
      </c>
      <c r="AY6" s="228">
        <v>-376</v>
      </c>
      <c r="AZ6" s="229">
        <v>-0.36720000000000003</v>
      </c>
      <c r="BA6" s="228">
        <v>40</v>
      </c>
      <c r="BB6" s="228">
        <v>67</v>
      </c>
      <c r="BC6" s="228">
        <v>-27</v>
      </c>
      <c r="BD6" s="229">
        <v>-0.39750000000000002</v>
      </c>
      <c r="BE6" s="228">
        <v>5</v>
      </c>
      <c r="BF6" s="228">
        <v>15</v>
      </c>
      <c r="BG6" s="228">
        <v>-10</v>
      </c>
      <c r="BH6" s="229">
        <v>-0.66090000000000004</v>
      </c>
      <c r="BI6" s="230">
        <v>1500</v>
      </c>
      <c r="BJ6" s="230">
        <v>5314</v>
      </c>
      <c r="BK6" s="230">
        <v>-3814</v>
      </c>
      <c r="BL6" s="229">
        <v>-0.71779999999999999</v>
      </c>
      <c r="BM6" s="228">
        <v>648</v>
      </c>
      <c r="BN6" s="230">
        <v>2090</v>
      </c>
      <c r="BO6" s="230">
        <v>-1442</v>
      </c>
      <c r="BP6" s="229">
        <v>-0.68989999999999996</v>
      </c>
      <c r="BQ6" s="230">
        <v>2842</v>
      </c>
      <c r="BR6" s="230">
        <v>8510</v>
      </c>
      <c r="BS6" s="230">
        <v>-5668</v>
      </c>
      <c r="BT6" s="229">
        <v>-0.66610000000000003</v>
      </c>
      <c r="BU6" s="230">
        <v>2634272</v>
      </c>
      <c r="BV6" s="230">
        <v>4414539</v>
      </c>
      <c r="BW6" s="230">
        <v>-1780267</v>
      </c>
      <c r="BX6" s="229">
        <v>-0.40329999999999999</v>
      </c>
      <c r="BY6" s="230">
        <v>3395</v>
      </c>
      <c r="BZ6" s="230">
        <v>3467</v>
      </c>
      <c r="CA6" s="228">
        <v>-72</v>
      </c>
      <c r="CB6" s="229">
        <v>-2.0799999999999999E-2</v>
      </c>
      <c r="CC6" s="230">
        <v>3246</v>
      </c>
      <c r="CD6" s="230">
        <v>3332</v>
      </c>
      <c r="CE6" s="228">
        <v>-86</v>
      </c>
      <c r="CF6" s="229">
        <v>-2.58E-2</v>
      </c>
      <c r="CG6" s="228">
        <v>135</v>
      </c>
      <c r="CH6" s="228">
        <v>124</v>
      </c>
      <c r="CI6" s="228">
        <v>12</v>
      </c>
      <c r="CJ6" s="229">
        <v>9.4399999999999998E-2</v>
      </c>
      <c r="CK6" s="228">
        <v>13</v>
      </c>
      <c r="CL6" s="228">
        <v>11</v>
      </c>
      <c r="CM6" s="228">
        <v>2</v>
      </c>
      <c r="CN6" s="229">
        <v>0.2102</v>
      </c>
      <c r="CO6" s="230">
        <v>1273</v>
      </c>
      <c r="CP6" s="230">
        <v>1266</v>
      </c>
      <c r="CQ6" s="228">
        <v>7</v>
      </c>
      <c r="CR6" s="229">
        <v>5.8999999999999999E-3</v>
      </c>
      <c r="CS6" s="230">
        <v>1121</v>
      </c>
      <c r="CT6" s="230">
        <v>1078</v>
      </c>
      <c r="CU6" s="228">
        <v>43</v>
      </c>
      <c r="CV6" s="229">
        <v>3.9600000000000003E-2</v>
      </c>
      <c r="CW6" s="230">
        <v>5789</v>
      </c>
      <c r="CX6" s="230">
        <v>5811</v>
      </c>
      <c r="CY6" s="228">
        <v>-22</v>
      </c>
      <c r="CZ6" s="229">
        <v>-3.8E-3</v>
      </c>
      <c r="DA6" s="228">
        <v>42.32</v>
      </c>
      <c r="DB6" s="228">
        <v>42.93</v>
      </c>
      <c r="DC6" s="228">
        <v>-0.61</v>
      </c>
      <c r="DD6" s="228">
        <v>-0.61</v>
      </c>
      <c r="DE6" s="228">
        <v>49.95</v>
      </c>
      <c r="DF6" s="228">
        <v>50.07</v>
      </c>
      <c r="DG6" s="228">
        <v>-7.63</v>
      </c>
      <c r="DH6" s="228">
        <v>-0.12</v>
      </c>
      <c r="DI6" s="228">
        <v>41.88</v>
      </c>
      <c r="DJ6" s="228">
        <v>42.09</v>
      </c>
      <c r="DK6" s="228">
        <v>-0.21</v>
      </c>
      <c r="DL6" s="228">
        <v>-0.21</v>
      </c>
      <c r="DM6" s="228">
        <v>43.35</v>
      </c>
      <c r="DN6" s="228">
        <v>45.07</v>
      </c>
      <c r="DO6" s="228">
        <v>-1.72</v>
      </c>
      <c r="DP6" s="228">
        <v>-1.72</v>
      </c>
      <c r="DQ6" s="228">
        <v>0.88</v>
      </c>
      <c r="DR6" s="228">
        <v>0.85</v>
      </c>
      <c r="DS6" s="228">
        <v>0.03</v>
      </c>
      <c r="DT6" s="229">
        <v>3.5299999999999998E-2</v>
      </c>
      <c r="DU6" s="231">
        <v>2100</v>
      </c>
      <c r="DV6" s="231">
        <v>2200</v>
      </c>
      <c r="DW6" s="228">
        <v>0.43</v>
      </c>
      <c r="DX6" s="228">
        <v>0.39</v>
      </c>
      <c r="DY6" s="228">
        <v>0.04</v>
      </c>
      <c r="DZ6" s="229">
        <v>0.1026</v>
      </c>
      <c r="EA6" s="229">
        <v>4.3799999999999999E-2</v>
      </c>
      <c r="EB6" s="230">
        <v>656934</v>
      </c>
      <c r="EC6" s="229">
        <v>5.3E-3</v>
      </c>
      <c r="ED6" s="229">
        <v>4.3799999999999999E-2</v>
      </c>
      <c r="EE6" s="228">
        <v>10.67</v>
      </c>
      <c r="EF6" s="229">
        <v>5.1999999999999998E-3</v>
      </c>
      <c r="EG6" s="230">
        <v>1034795</v>
      </c>
      <c r="EH6" s="230">
        <v>908019</v>
      </c>
      <c r="EI6" s="229">
        <v>0.1396</v>
      </c>
      <c r="EJ6" s="229">
        <v>0.39279999999999998</v>
      </c>
      <c r="EK6" s="231">
        <v>1611.1</v>
      </c>
      <c r="EL6" s="228">
        <v>645.79</v>
      </c>
      <c r="EM6" s="228">
        <v>693.1</v>
      </c>
      <c r="EN6" s="228">
        <v>109.05</v>
      </c>
      <c r="EO6" s="231">
        <v>2949.99</v>
      </c>
      <c r="EP6" s="231">
        <v>8788.57</v>
      </c>
      <c r="EQ6" s="231">
        <v>-5838.58</v>
      </c>
      <c r="ER6" s="229">
        <v>-0.6643</v>
      </c>
      <c r="ES6" s="231">
        <v>1273.08</v>
      </c>
      <c r="ET6" s="231">
        <v>1076.8499999999999</v>
      </c>
      <c r="EU6" s="231">
        <v>3395.81</v>
      </c>
      <c r="EV6" s="231">
        <v>33645895</v>
      </c>
      <c r="EW6" s="231">
        <v>5745.75</v>
      </c>
      <c r="EX6" s="231">
        <v>5770.37</v>
      </c>
      <c r="EY6" s="228">
        <v>-24.62</v>
      </c>
      <c r="EZ6" s="229">
        <v>-4.3E-3</v>
      </c>
      <c r="FA6" s="229">
        <v>0.83889999999999998</v>
      </c>
      <c r="FB6" s="227" t="s">
        <v>567</v>
      </c>
      <c r="FC6">
        <f t="shared" si="0"/>
        <v>149</v>
      </c>
    </row>
    <row r="7" spans="1:159" ht="17.25" thickBot="1" x14ac:dyDescent="0.3">
      <c r="A7" s="226">
        <v>46121</v>
      </c>
      <c r="B7" s="227" t="s">
        <v>161</v>
      </c>
      <c r="C7" s="227" t="s">
        <v>605</v>
      </c>
      <c r="D7" s="228">
        <v>600</v>
      </c>
      <c r="E7" s="228">
        <v>19</v>
      </c>
      <c r="F7" s="231">
        <v>1049.6500000000001</v>
      </c>
      <c r="G7" s="231">
        <v>1031.6500000000001</v>
      </c>
      <c r="H7" s="228">
        <v>18</v>
      </c>
      <c r="I7" s="229">
        <v>1.7399999999999999E-2</v>
      </c>
      <c r="J7" s="231">
        <v>1044.55</v>
      </c>
      <c r="K7" s="231">
        <v>1029.6500000000001</v>
      </c>
      <c r="L7" s="228">
        <v>14.9</v>
      </c>
      <c r="M7" s="229">
        <v>1.4500000000000001E-2</v>
      </c>
      <c r="N7" s="231">
        <v>1049.6500000000001</v>
      </c>
      <c r="O7" s="231">
        <v>1031.6500000000001</v>
      </c>
      <c r="P7" s="228">
        <v>18</v>
      </c>
      <c r="Q7" s="229">
        <v>1.7399999999999999E-2</v>
      </c>
      <c r="R7" s="231">
        <v>1053.8499999999999</v>
      </c>
      <c r="S7" s="231">
        <v>1035.8</v>
      </c>
      <c r="T7" s="228">
        <v>18.05</v>
      </c>
      <c r="U7" s="229">
        <v>1.7399999999999999E-2</v>
      </c>
      <c r="V7" s="231">
        <v>1059.2</v>
      </c>
      <c r="W7" s="231">
        <v>1040.8</v>
      </c>
      <c r="X7" s="228">
        <v>18.399999999999999</v>
      </c>
      <c r="Y7" s="229">
        <v>1.77E-2</v>
      </c>
      <c r="Z7" s="228">
        <v>5.0999999999999996</v>
      </c>
      <c r="AA7" s="228">
        <v>2</v>
      </c>
      <c r="AB7" s="228">
        <v>3.1</v>
      </c>
      <c r="AC7" s="229">
        <v>4.8999999999999998E-3</v>
      </c>
      <c r="AD7" s="228">
        <v>5.0999999999999996</v>
      </c>
      <c r="AE7" s="228">
        <v>2</v>
      </c>
      <c r="AF7" s="228">
        <v>3.1</v>
      </c>
      <c r="AG7" s="229">
        <v>4.8999999999999998E-3</v>
      </c>
      <c r="AH7" s="228">
        <v>9.3000000000000007</v>
      </c>
      <c r="AI7" s="228">
        <v>6.15</v>
      </c>
      <c r="AJ7" s="228">
        <v>3.15</v>
      </c>
      <c r="AK7" s="229">
        <v>8.8999999999999999E-3</v>
      </c>
      <c r="AL7" s="228">
        <v>14.65</v>
      </c>
      <c r="AM7" s="228">
        <v>11.15</v>
      </c>
      <c r="AN7" s="228">
        <v>3.5</v>
      </c>
      <c r="AO7" s="229">
        <v>1.4E-2</v>
      </c>
      <c r="AP7" s="231">
        <v>1041.6300000000001</v>
      </c>
      <c r="AQ7" s="231">
        <v>1044.55</v>
      </c>
      <c r="AR7" s="228">
        <v>0</v>
      </c>
      <c r="AS7" s="228">
        <v>495</v>
      </c>
      <c r="AT7" s="230">
        <v>1000</v>
      </c>
      <c r="AU7" s="228">
        <v>-505</v>
      </c>
      <c r="AV7" s="229">
        <v>-0.505</v>
      </c>
      <c r="AW7" s="228">
        <v>472</v>
      </c>
      <c r="AX7" s="228">
        <v>947</v>
      </c>
      <c r="AY7" s="228">
        <v>-476</v>
      </c>
      <c r="AZ7" s="229">
        <v>-0.50219999999999998</v>
      </c>
      <c r="BA7" s="228">
        <v>18</v>
      </c>
      <c r="BB7" s="228">
        <v>43</v>
      </c>
      <c r="BC7" s="228">
        <v>-25</v>
      </c>
      <c r="BD7" s="229">
        <v>-0.57520000000000004</v>
      </c>
      <c r="BE7" s="228">
        <v>5</v>
      </c>
      <c r="BF7" s="228">
        <v>10</v>
      </c>
      <c r="BG7" s="228">
        <v>-4</v>
      </c>
      <c r="BH7" s="229">
        <v>-0.46710000000000002</v>
      </c>
      <c r="BI7" s="230">
        <v>1140</v>
      </c>
      <c r="BJ7" s="230">
        <v>3663</v>
      </c>
      <c r="BK7" s="230">
        <v>-2523</v>
      </c>
      <c r="BL7" s="229">
        <v>-0.68869999999999998</v>
      </c>
      <c r="BM7" s="228">
        <v>665</v>
      </c>
      <c r="BN7" s="230">
        <v>1416</v>
      </c>
      <c r="BO7" s="228">
        <v>-752</v>
      </c>
      <c r="BP7" s="229">
        <v>-0.53059999999999996</v>
      </c>
      <c r="BQ7" s="230">
        <v>2300</v>
      </c>
      <c r="BR7" s="230">
        <v>6079</v>
      </c>
      <c r="BS7" s="230">
        <v>-3779</v>
      </c>
      <c r="BT7" s="229">
        <v>-0.62170000000000003</v>
      </c>
      <c r="BU7" s="230">
        <v>8440946</v>
      </c>
      <c r="BV7" s="230">
        <v>16962905</v>
      </c>
      <c r="BW7" s="230">
        <v>-8521959</v>
      </c>
      <c r="BX7" s="229">
        <v>-0.50239999999999996</v>
      </c>
      <c r="BY7" s="230">
        <v>2241</v>
      </c>
      <c r="BZ7" s="230">
        <v>2323</v>
      </c>
      <c r="CA7" s="228">
        <v>-82</v>
      </c>
      <c r="CB7" s="229">
        <v>-3.5400000000000001E-2</v>
      </c>
      <c r="CC7" s="230">
        <v>2183</v>
      </c>
      <c r="CD7" s="230">
        <v>2267</v>
      </c>
      <c r="CE7" s="228">
        <v>-84</v>
      </c>
      <c r="CF7" s="229">
        <v>-3.6900000000000002E-2</v>
      </c>
      <c r="CG7" s="228">
        <v>50</v>
      </c>
      <c r="CH7" s="228">
        <v>50</v>
      </c>
      <c r="CI7" s="228">
        <v>1</v>
      </c>
      <c r="CJ7" s="229">
        <v>1.2699999999999999E-2</v>
      </c>
      <c r="CK7" s="228">
        <v>7</v>
      </c>
      <c r="CL7" s="228">
        <v>6</v>
      </c>
      <c r="CM7" s="228">
        <v>1</v>
      </c>
      <c r="CN7" s="229">
        <v>0.1386</v>
      </c>
      <c r="CO7" s="228">
        <v>619</v>
      </c>
      <c r="CP7" s="228">
        <v>658</v>
      </c>
      <c r="CQ7" s="228">
        <v>-39</v>
      </c>
      <c r="CR7" s="229">
        <v>-5.8999999999999997E-2</v>
      </c>
      <c r="CS7" s="228">
        <v>540</v>
      </c>
      <c r="CT7" s="228">
        <v>491</v>
      </c>
      <c r="CU7" s="228">
        <v>50</v>
      </c>
      <c r="CV7" s="229">
        <v>0.1016</v>
      </c>
      <c r="CW7" s="230">
        <v>3400</v>
      </c>
      <c r="CX7" s="230">
        <v>3471</v>
      </c>
      <c r="CY7" s="228">
        <v>-71</v>
      </c>
      <c r="CZ7" s="229">
        <v>-2.0500000000000001E-2</v>
      </c>
      <c r="DA7" s="228">
        <v>50.8</v>
      </c>
      <c r="DB7" s="228">
        <v>51.26</v>
      </c>
      <c r="DC7" s="228">
        <v>-0.46</v>
      </c>
      <c r="DD7" s="228">
        <v>-0.46</v>
      </c>
      <c r="DE7" s="228">
        <v>59.75</v>
      </c>
      <c r="DF7" s="228">
        <v>59.86</v>
      </c>
      <c r="DG7" s="228">
        <v>-8.9499999999999993</v>
      </c>
      <c r="DH7" s="228">
        <v>-0.11</v>
      </c>
      <c r="DI7" s="228">
        <v>49.5</v>
      </c>
      <c r="DJ7" s="228">
        <v>50.15</v>
      </c>
      <c r="DK7" s="228">
        <v>-0.65</v>
      </c>
      <c r="DL7" s="228">
        <v>-0.65</v>
      </c>
      <c r="DM7" s="228">
        <v>53.04</v>
      </c>
      <c r="DN7" s="228">
        <v>54.15</v>
      </c>
      <c r="DO7" s="228">
        <v>-1.1100000000000001</v>
      </c>
      <c r="DP7" s="228">
        <v>-1.1100000000000001</v>
      </c>
      <c r="DQ7" s="228">
        <v>0.87</v>
      </c>
      <c r="DR7" s="228">
        <v>0.75</v>
      </c>
      <c r="DS7" s="228">
        <v>0.12</v>
      </c>
      <c r="DT7" s="229">
        <v>0.16</v>
      </c>
      <c r="DU7" s="231">
        <v>1100</v>
      </c>
      <c r="DV7" s="231">
        <v>1000</v>
      </c>
      <c r="DW7" s="228">
        <v>0.57999999999999996</v>
      </c>
      <c r="DX7" s="228">
        <v>0.39</v>
      </c>
      <c r="DY7" s="228">
        <v>0.19</v>
      </c>
      <c r="DZ7" s="229">
        <v>0.48720000000000002</v>
      </c>
      <c r="EA7" s="229">
        <v>2.5700000000000001E-2</v>
      </c>
      <c r="EB7" s="230">
        <v>533400</v>
      </c>
      <c r="EC7" s="229">
        <v>4.0000000000000001E-3</v>
      </c>
      <c r="ED7" s="229">
        <v>2.5700000000000001E-2</v>
      </c>
      <c r="EE7" s="228">
        <v>2.92</v>
      </c>
      <c r="EF7" s="229">
        <v>2.8E-3</v>
      </c>
      <c r="EG7" s="230">
        <v>3791454</v>
      </c>
      <c r="EH7" s="230">
        <v>4787887</v>
      </c>
      <c r="EI7" s="229">
        <v>-0.20810000000000001</v>
      </c>
      <c r="EJ7" s="229">
        <v>0.44919999999999999</v>
      </c>
      <c r="EK7" s="231">
        <v>1198.6500000000001</v>
      </c>
      <c r="EL7" s="228">
        <v>642.97</v>
      </c>
      <c r="EM7" s="228">
        <v>491.32</v>
      </c>
      <c r="EN7" s="228">
        <v>92.17</v>
      </c>
      <c r="EO7" s="231">
        <v>2332.9499999999998</v>
      </c>
      <c r="EP7" s="231">
        <v>6095.78</v>
      </c>
      <c r="EQ7" s="231">
        <v>-3762.84</v>
      </c>
      <c r="ER7" s="229">
        <v>-0.61729999999999996</v>
      </c>
      <c r="ES7" s="228">
        <v>586.02</v>
      </c>
      <c r="ET7" s="228">
        <v>483.44</v>
      </c>
      <c r="EU7" s="231">
        <v>2241.06</v>
      </c>
      <c r="EV7" s="231">
        <v>64724093</v>
      </c>
      <c r="EW7" s="231">
        <v>3310.52</v>
      </c>
      <c r="EX7" s="231">
        <v>3334.73</v>
      </c>
      <c r="EY7" s="228">
        <v>-24.21</v>
      </c>
      <c r="EZ7" s="229">
        <v>-7.3000000000000001E-3</v>
      </c>
      <c r="FA7" s="229">
        <v>0.50049999999999994</v>
      </c>
      <c r="FB7" s="227" t="s">
        <v>694</v>
      </c>
      <c r="FC7">
        <f t="shared" si="0"/>
        <v>58</v>
      </c>
    </row>
    <row r="8" spans="1:159" ht="17.25" thickBot="1" x14ac:dyDescent="0.3">
      <c r="A8" s="226">
        <v>46121</v>
      </c>
      <c r="B8" s="227" t="s">
        <v>215</v>
      </c>
      <c r="C8" s="227" t="s">
        <v>160</v>
      </c>
      <c r="D8" s="228">
        <v>475</v>
      </c>
      <c r="E8" s="228">
        <v>19</v>
      </c>
      <c r="F8" s="231">
        <v>1452</v>
      </c>
      <c r="G8" s="231">
        <v>1460.5</v>
      </c>
      <c r="H8" s="228">
        <v>-8.5</v>
      </c>
      <c r="I8" s="229">
        <v>-5.7999999999999996E-3</v>
      </c>
      <c r="J8" s="231">
        <v>1447.4</v>
      </c>
      <c r="K8" s="231">
        <v>1453.3</v>
      </c>
      <c r="L8" s="228">
        <v>-5.9</v>
      </c>
      <c r="M8" s="229">
        <v>-4.1000000000000003E-3</v>
      </c>
      <c r="N8" s="231">
        <v>1452</v>
      </c>
      <c r="O8" s="231">
        <v>1460.5</v>
      </c>
      <c r="P8" s="228">
        <v>-8.5</v>
      </c>
      <c r="Q8" s="229">
        <v>-5.7999999999999996E-3</v>
      </c>
      <c r="R8" s="231">
        <v>1460</v>
      </c>
      <c r="S8" s="231">
        <v>1469.1</v>
      </c>
      <c r="T8" s="228">
        <v>-9.1</v>
      </c>
      <c r="U8" s="229">
        <v>-6.1999999999999998E-3</v>
      </c>
      <c r="V8" s="231">
        <v>1462.5</v>
      </c>
      <c r="W8" s="231">
        <v>1475</v>
      </c>
      <c r="X8" s="228">
        <v>-12.5</v>
      </c>
      <c r="Y8" s="229">
        <v>-8.5000000000000006E-3</v>
      </c>
      <c r="Z8" s="228">
        <v>4.5999999999999996</v>
      </c>
      <c r="AA8" s="228">
        <v>7.2</v>
      </c>
      <c r="AB8" s="228">
        <v>-2.6</v>
      </c>
      <c r="AC8" s="229">
        <v>3.2000000000000002E-3</v>
      </c>
      <c r="AD8" s="228">
        <v>4.5999999999999996</v>
      </c>
      <c r="AE8" s="228">
        <v>7.2</v>
      </c>
      <c r="AF8" s="228">
        <v>-2.6</v>
      </c>
      <c r="AG8" s="229">
        <v>3.2000000000000002E-3</v>
      </c>
      <c r="AH8" s="228">
        <v>12.6</v>
      </c>
      <c r="AI8" s="228">
        <v>15.8</v>
      </c>
      <c r="AJ8" s="228">
        <v>-3.2</v>
      </c>
      <c r="AK8" s="229">
        <v>8.6999999999999994E-3</v>
      </c>
      <c r="AL8" s="228">
        <v>15.1</v>
      </c>
      <c r="AM8" s="228">
        <v>21.7</v>
      </c>
      <c r="AN8" s="228">
        <v>-6.6</v>
      </c>
      <c r="AO8" s="229">
        <v>1.04E-2</v>
      </c>
      <c r="AP8" s="231">
        <v>1447.89</v>
      </c>
      <c r="AQ8" s="231">
        <v>1453.11</v>
      </c>
      <c r="AR8" s="228">
        <v>0</v>
      </c>
      <c r="AS8" s="228">
        <v>545</v>
      </c>
      <c r="AT8" s="230">
        <v>1272</v>
      </c>
      <c r="AU8" s="228">
        <v>-728</v>
      </c>
      <c r="AV8" s="229">
        <v>-0.57179999999999997</v>
      </c>
      <c r="AW8" s="228">
        <v>497</v>
      </c>
      <c r="AX8" s="230">
        <v>1176</v>
      </c>
      <c r="AY8" s="228">
        <v>-679</v>
      </c>
      <c r="AZ8" s="229">
        <v>-0.57740000000000002</v>
      </c>
      <c r="BA8" s="228">
        <v>42</v>
      </c>
      <c r="BB8" s="228">
        <v>88</v>
      </c>
      <c r="BC8" s="228">
        <v>-46</v>
      </c>
      <c r="BD8" s="229">
        <v>-0.52500000000000002</v>
      </c>
      <c r="BE8" s="228">
        <v>6</v>
      </c>
      <c r="BF8" s="228">
        <v>9</v>
      </c>
      <c r="BG8" s="228">
        <v>-2</v>
      </c>
      <c r="BH8" s="229">
        <v>-0.2823</v>
      </c>
      <c r="BI8" s="230">
        <v>1515</v>
      </c>
      <c r="BJ8" s="230">
        <v>6431</v>
      </c>
      <c r="BK8" s="230">
        <v>-4915</v>
      </c>
      <c r="BL8" s="229">
        <v>-0.76429999999999998</v>
      </c>
      <c r="BM8" s="228">
        <v>936</v>
      </c>
      <c r="BN8" s="230">
        <v>3123</v>
      </c>
      <c r="BO8" s="230">
        <v>-2187</v>
      </c>
      <c r="BP8" s="229">
        <v>-0.70030000000000003</v>
      </c>
      <c r="BQ8" s="230">
        <v>2996</v>
      </c>
      <c r="BR8" s="230">
        <v>10827</v>
      </c>
      <c r="BS8" s="230">
        <v>-7830</v>
      </c>
      <c r="BT8" s="229">
        <v>-0.72319999999999995</v>
      </c>
      <c r="BU8" s="230">
        <v>3409619</v>
      </c>
      <c r="BV8" s="230">
        <v>7935925</v>
      </c>
      <c r="BW8" s="230">
        <v>-4526306</v>
      </c>
      <c r="BX8" s="229">
        <v>-0.57040000000000002</v>
      </c>
      <c r="BY8" s="230">
        <v>3038</v>
      </c>
      <c r="BZ8" s="230">
        <v>3024</v>
      </c>
      <c r="CA8" s="228">
        <v>14</v>
      </c>
      <c r="CB8" s="229">
        <v>4.7000000000000002E-3</v>
      </c>
      <c r="CC8" s="230">
        <v>2749</v>
      </c>
      <c r="CD8" s="230">
        <v>2749</v>
      </c>
      <c r="CE8" s="228">
        <v>0</v>
      </c>
      <c r="CF8" s="229">
        <v>-1E-4</v>
      </c>
      <c r="CG8" s="228">
        <v>273</v>
      </c>
      <c r="CH8" s="228">
        <v>259</v>
      </c>
      <c r="CI8" s="228">
        <v>14</v>
      </c>
      <c r="CJ8" s="229">
        <v>5.21E-2</v>
      </c>
      <c r="CK8" s="228">
        <v>17</v>
      </c>
      <c r="CL8" s="228">
        <v>16</v>
      </c>
      <c r="CM8" s="228">
        <v>1</v>
      </c>
      <c r="CN8" s="229">
        <v>4.3299999999999998E-2</v>
      </c>
      <c r="CO8" s="230">
        <v>1284</v>
      </c>
      <c r="CP8" s="230">
        <v>1321</v>
      </c>
      <c r="CQ8" s="228">
        <v>-37</v>
      </c>
      <c r="CR8" s="229">
        <v>-2.7799999999999998E-2</v>
      </c>
      <c r="CS8" s="228">
        <v>815</v>
      </c>
      <c r="CT8" s="228">
        <v>753</v>
      </c>
      <c r="CU8" s="228">
        <v>62</v>
      </c>
      <c r="CV8" s="229">
        <v>8.1699999999999995E-2</v>
      </c>
      <c r="CW8" s="230">
        <v>5137</v>
      </c>
      <c r="CX8" s="230">
        <v>5098</v>
      </c>
      <c r="CY8" s="228">
        <v>39</v>
      </c>
      <c r="CZ8" s="229">
        <v>7.6E-3</v>
      </c>
      <c r="DA8" s="228">
        <v>36.700000000000003</v>
      </c>
      <c r="DB8" s="228">
        <v>37.36</v>
      </c>
      <c r="DC8" s="228">
        <v>-0.66</v>
      </c>
      <c r="DD8" s="228">
        <v>-0.66</v>
      </c>
      <c r="DE8" s="228">
        <v>40.299999999999997</v>
      </c>
      <c r="DF8" s="228">
        <v>40.39</v>
      </c>
      <c r="DG8" s="228">
        <v>-3.6</v>
      </c>
      <c r="DH8" s="228">
        <v>-0.09</v>
      </c>
      <c r="DI8" s="228">
        <v>35.630000000000003</v>
      </c>
      <c r="DJ8" s="228">
        <v>35.14</v>
      </c>
      <c r="DK8" s="228">
        <v>0.49</v>
      </c>
      <c r="DL8" s="228">
        <v>0.49</v>
      </c>
      <c r="DM8" s="228">
        <v>38.44</v>
      </c>
      <c r="DN8" s="228">
        <v>41.92</v>
      </c>
      <c r="DO8" s="228">
        <v>-3.48</v>
      </c>
      <c r="DP8" s="228">
        <v>-3.48</v>
      </c>
      <c r="DQ8" s="228">
        <v>0.63</v>
      </c>
      <c r="DR8" s="228">
        <v>0.56999999999999995</v>
      </c>
      <c r="DS8" s="228">
        <v>0.06</v>
      </c>
      <c r="DT8" s="229">
        <v>0.1053</v>
      </c>
      <c r="DU8" s="231">
        <v>1500</v>
      </c>
      <c r="DV8" s="231">
        <v>1400</v>
      </c>
      <c r="DW8" s="228">
        <v>0.62</v>
      </c>
      <c r="DX8" s="228">
        <v>0.49</v>
      </c>
      <c r="DY8" s="228">
        <v>0.13</v>
      </c>
      <c r="DZ8" s="229">
        <v>0.26529999999999998</v>
      </c>
      <c r="EA8" s="229">
        <v>9.5299999999999996E-2</v>
      </c>
      <c r="EB8" s="230">
        <v>1896675</v>
      </c>
      <c r="EC8" s="229">
        <v>5.4999999999999997E-3</v>
      </c>
      <c r="ED8" s="229">
        <v>9.5299999999999996E-2</v>
      </c>
      <c r="EE8" s="228">
        <v>5.22</v>
      </c>
      <c r="EF8" s="229">
        <v>3.5999999999999999E-3</v>
      </c>
      <c r="EG8" s="230">
        <v>1217611</v>
      </c>
      <c r="EH8" s="230">
        <v>2637622</v>
      </c>
      <c r="EI8" s="229">
        <v>-0.53839999999999999</v>
      </c>
      <c r="EJ8" s="229">
        <v>0.35709999999999997</v>
      </c>
      <c r="EK8" s="231">
        <v>1600.5</v>
      </c>
      <c r="EL8" s="228">
        <v>919.48</v>
      </c>
      <c r="EM8" s="228">
        <v>543.52</v>
      </c>
      <c r="EN8" s="228">
        <v>93.67</v>
      </c>
      <c r="EO8" s="231">
        <v>3063.49</v>
      </c>
      <c r="EP8" s="231">
        <v>11170.8</v>
      </c>
      <c r="EQ8" s="231">
        <v>-8107.31</v>
      </c>
      <c r="ER8" s="229">
        <v>-0.7258</v>
      </c>
      <c r="ES8" s="231">
        <v>1316.93</v>
      </c>
      <c r="ET8" s="228">
        <v>772.35</v>
      </c>
      <c r="EU8" s="231">
        <v>3039.96</v>
      </c>
      <c r="EV8" s="231">
        <v>88142691</v>
      </c>
      <c r="EW8" s="231">
        <v>5129.2299999999996</v>
      </c>
      <c r="EX8" s="231">
        <v>5112.43</v>
      </c>
      <c r="EY8" s="228">
        <v>16.8</v>
      </c>
      <c r="EZ8" s="229">
        <v>3.3E-3</v>
      </c>
      <c r="FA8" s="229">
        <v>0.40139999999999998</v>
      </c>
      <c r="FB8" s="227" t="s">
        <v>566</v>
      </c>
      <c r="FC8">
        <f t="shared" si="0"/>
        <v>289</v>
      </c>
    </row>
    <row r="9" spans="1:159" ht="17.25" thickBot="1" x14ac:dyDescent="0.3">
      <c r="A9" s="226">
        <v>46121</v>
      </c>
      <c r="B9" s="227" t="s">
        <v>702</v>
      </c>
      <c r="C9" s="227" t="s">
        <v>696</v>
      </c>
      <c r="D9" s="228">
        <v>3550</v>
      </c>
      <c r="E9" s="228">
        <v>19</v>
      </c>
      <c r="F9" s="228">
        <v>173.5</v>
      </c>
      <c r="G9" s="228">
        <v>169.75</v>
      </c>
      <c r="H9" s="228">
        <v>3.75</v>
      </c>
      <c r="I9" s="229">
        <v>2.2100000000000002E-2</v>
      </c>
      <c r="J9" s="228">
        <v>172.33</v>
      </c>
      <c r="K9" s="228">
        <v>169.31</v>
      </c>
      <c r="L9" s="228">
        <v>3.02</v>
      </c>
      <c r="M9" s="229">
        <v>1.78E-2</v>
      </c>
      <c r="N9" s="228">
        <v>173.5</v>
      </c>
      <c r="O9" s="228">
        <v>169.75</v>
      </c>
      <c r="P9" s="228">
        <v>3.75</v>
      </c>
      <c r="Q9" s="229">
        <v>2.2100000000000002E-2</v>
      </c>
      <c r="R9" s="228">
        <v>174.43</v>
      </c>
      <c r="S9" s="228">
        <v>170.88</v>
      </c>
      <c r="T9" s="228">
        <v>3.55</v>
      </c>
      <c r="U9" s="229">
        <v>2.0799999999999999E-2</v>
      </c>
      <c r="V9" s="228">
        <v>175.45</v>
      </c>
      <c r="W9" s="228">
        <v>171.69</v>
      </c>
      <c r="X9" s="228">
        <v>3.76</v>
      </c>
      <c r="Y9" s="229">
        <v>2.1899999999999999E-2</v>
      </c>
      <c r="Z9" s="228">
        <v>1.17</v>
      </c>
      <c r="AA9" s="228">
        <v>0.44</v>
      </c>
      <c r="AB9" s="228">
        <v>0.73</v>
      </c>
      <c r="AC9" s="229">
        <v>6.7999999999999996E-3</v>
      </c>
      <c r="AD9" s="228">
        <v>1.17</v>
      </c>
      <c r="AE9" s="228">
        <v>0.44</v>
      </c>
      <c r="AF9" s="228">
        <v>0.73</v>
      </c>
      <c r="AG9" s="229">
        <v>6.7999999999999996E-3</v>
      </c>
      <c r="AH9" s="228">
        <v>2.1</v>
      </c>
      <c r="AI9" s="228">
        <v>1.57</v>
      </c>
      <c r="AJ9" s="228">
        <v>0.53</v>
      </c>
      <c r="AK9" s="229">
        <v>1.2200000000000001E-2</v>
      </c>
      <c r="AL9" s="228">
        <v>3.12</v>
      </c>
      <c r="AM9" s="228">
        <v>2.38</v>
      </c>
      <c r="AN9" s="228">
        <v>0.74</v>
      </c>
      <c r="AO9" s="229">
        <v>1.8100000000000002E-2</v>
      </c>
      <c r="AP9" s="228">
        <v>171.22</v>
      </c>
      <c r="AQ9" s="228">
        <v>172.04</v>
      </c>
      <c r="AR9" s="228">
        <v>0</v>
      </c>
      <c r="AS9" s="228">
        <v>345</v>
      </c>
      <c r="AT9" s="228">
        <v>568</v>
      </c>
      <c r="AU9" s="228">
        <v>-223</v>
      </c>
      <c r="AV9" s="229">
        <v>-0.39229999999999998</v>
      </c>
      <c r="AW9" s="228">
        <v>329</v>
      </c>
      <c r="AX9" s="228">
        <v>533</v>
      </c>
      <c r="AY9" s="228">
        <v>-205</v>
      </c>
      <c r="AZ9" s="229">
        <v>-0.38379999999999997</v>
      </c>
      <c r="BA9" s="228">
        <v>14</v>
      </c>
      <c r="BB9" s="228">
        <v>32</v>
      </c>
      <c r="BC9" s="228">
        <v>-18</v>
      </c>
      <c r="BD9" s="229">
        <v>-0.55510000000000004</v>
      </c>
      <c r="BE9" s="228">
        <v>2</v>
      </c>
      <c r="BF9" s="228">
        <v>3</v>
      </c>
      <c r="BG9" s="228">
        <v>0</v>
      </c>
      <c r="BH9" s="229">
        <v>-0.1429</v>
      </c>
      <c r="BI9" s="228">
        <v>455</v>
      </c>
      <c r="BJ9" s="230">
        <v>1052</v>
      </c>
      <c r="BK9" s="228">
        <v>-596</v>
      </c>
      <c r="BL9" s="229">
        <v>-0.56699999999999995</v>
      </c>
      <c r="BM9" s="228">
        <v>113</v>
      </c>
      <c r="BN9" s="228">
        <v>141</v>
      </c>
      <c r="BO9" s="228">
        <v>-27</v>
      </c>
      <c r="BP9" s="229">
        <v>-0.19489999999999999</v>
      </c>
      <c r="BQ9" s="228">
        <v>914</v>
      </c>
      <c r="BR9" s="230">
        <v>1761</v>
      </c>
      <c r="BS9" s="228">
        <v>-847</v>
      </c>
      <c r="BT9" s="229">
        <v>-0.48089999999999999</v>
      </c>
      <c r="BU9" s="230">
        <v>45505622</v>
      </c>
      <c r="BV9" s="230">
        <v>74782861</v>
      </c>
      <c r="BW9" s="230">
        <v>-29277239</v>
      </c>
      <c r="BX9" s="229">
        <v>-0.39150000000000001</v>
      </c>
      <c r="BY9" s="228">
        <v>932</v>
      </c>
      <c r="BZ9" s="228">
        <v>912</v>
      </c>
      <c r="CA9" s="228">
        <v>20</v>
      </c>
      <c r="CB9" s="229">
        <v>2.1700000000000001E-2</v>
      </c>
      <c r="CC9" s="228">
        <v>890</v>
      </c>
      <c r="CD9" s="228">
        <v>871</v>
      </c>
      <c r="CE9" s="228">
        <v>19</v>
      </c>
      <c r="CF9" s="229">
        <v>2.18E-2</v>
      </c>
      <c r="CG9" s="228">
        <v>37</v>
      </c>
      <c r="CH9" s="228">
        <v>37</v>
      </c>
      <c r="CI9" s="228">
        <v>0</v>
      </c>
      <c r="CJ9" s="229">
        <v>-6.6E-3</v>
      </c>
      <c r="CK9" s="228">
        <v>4</v>
      </c>
      <c r="CL9" s="228">
        <v>3</v>
      </c>
      <c r="CM9" s="228">
        <v>1</v>
      </c>
      <c r="CN9" s="229">
        <v>0.28570000000000001</v>
      </c>
      <c r="CO9" s="228">
        <v>274</v>
      </c>
      <c r="CP9" s="228">
        <v>267</v>
      </c>
      <c r="CQ9" s="228">
        <v>7</v>
      </c>
      <c r="CR9" s="229">
        <v>2.5899999999999999E-2</v>
      </c>
      <c r="CS9" s="228">
        <v>99</v>
      </c>
      <c r="CT9" s="228">
        <v>81</v>
      </c>
      <c r="CU9" s="228">
        <v>18</v>
      </c>
      <c r="CV9" s="229">
        <v>0.2225</v>
      </c>
      <c r="CW9" s="230">
        <v>1305</v>
      </c>
      <c r="CX9" s="230">
        <v>1260</v>
      </c>
      <c r="CY9" s="228">
        <v>45</v>
      </c>
      <c r="CZ9" s="229">
        <v>3.5499999999999997E-2</v>
      </c>
      <c r="DA9" s="228">
        <v>53.97</v>
      </c>
      <c r="DB9" s="228">
        <v>56.18</v>
      </c>
      <c r="DC9" s="228">
        <v>-2.21</v>
      </c>
      <c r="DD9" s="228">
        <v>-2.21</v>
      </c>
      <c r="DE9" s="228">
        <v>52.47</v>
      </c>
      <c r="DF9" s="228">
        <v>52.54</v>
      </c>
      <c r="DG9" s="228">
        <v>1.5</v>
      </c>
      <c r="DH9" s="228">
        <v>-7.0000000000000007E-2</v>
      </c>
      <c r="DI9" s="228">
        <v>53.22</v>
      </c>
      <c r="DJ9" s="228">
        <v>55.8</v>
      </c>
      <c r="DK9" s="228">
        <v>-2.58</v>
      </c>
      <c r="DL9" s="228">
        <v>-2.58</v>
      </c>
      <c r="DM9" s="228">
        <v>57</v>
      </c>
      <c r="DN9" s="228">
        <v>58.97</v>
      </c>
      <c r="DO9" s="228">
        <v>-1.97</v>
      </c>
      <c r="DP9" s="228">
        <v>-1.97</v>
      </c>
      <c r="DQ9" s="228">
        <v>0.36</v>
      </c>
      <c r="DR9" s="228">
        <v>0.3</v>
      </c>
      <c r="DS9" s="228">
        <v>0.06</v>
      </c>
      <c r="DT9" s="229">
        <v>0.2</v>
      </c>
      <c r="DU9" s="228">
        <v>180</v>
      </c>
      <c r="DV9" s="228">
        <v>170</v>
      </c>
      <c r="DW9" s="228">
        <v>0.25</v>
      </c>
      <c r="DX9" s="228">
        <v>0.13</v>
      </c>
      <c r="DY9" s="228">
        <v>0.12</v>
      </c>
      <c r="DZ9" s="229">
        <v>0.92310000000000003</v>
      </c>
      <c r="EA9" s="229">
        <v>4.4499999999999998E-2</v>
      </c>
      <c r="EB9" s="230">
        <v>2350100</v>
      </c>
      <c r="EC9" s="229">
        <v>5.4000000000000003E-3</v>
      </c>
      <c r="ED9" s="229">
        <v>4.4499999999999998E-2</v>
      </c>
      <c r="EE9" s="228">
        <v>0.82</v>
      </c>
      <c r="EF9" s="229">
        <v>4.7999999999999996E-3</v>
      </c>
      <c r="EG9" s="230">
        <v>15281450</v>
      </c>
      <c r="EH9" s="230">
        <v>24408579</v>
      </c>
      <c r="EI9" s="229">
        <v>-0.37390000000000001</v>
      </c>
      <c r="EJ9" s="229">
        <v>0.33579999999999999</v>
      </c>
      <c r="EK9" s="228">
        <v>482.04</v>
      </c>
      <c r="EL9" s="228">
        <v>111.32</v>
      </c>
      <c r="EM9" s="228">
        <v>340.61</v>
      </c>
      <c r="EN9" s="228">
        <v>69.06</v>
      </c>
      <c r="EO9" s="228">
        <v>933.97</v>
      </c>
      <c r="EP9" s="231">
        <v>1812.15</v>
      </c>
      <c r="EQ9" s="228">
        <v>-878.18</v>
      </c>
      <c r="ER9" s="229">
        <v>-0.48459999999999998</v>
      </c>
      <c r="ES9" s="228">
        <v>275.32</v>
      </c>
      <c r="ET9" s="228">
        <v>91.55</v>
      </c>
      <c r="EU9" s="228">
        <v>932.2</v>
      </c>
      <c r="EV9" s="231">
        <v>482906787</v>
      </c>
      <c r="EW9" s="231">
        <v>1299.07</v>
      </c>
      <c r="EX9" s="231">
        <v>1234.26</v>
      </c>
      <c r="EY9" s="228">
        <v>64.81</v>
      </c>
      <c r="EZ9" s="229">
        <v>5.2499999999999998E-2</v>
      </c>
      <c r="FA9" s="229">
        <v>0.15570000000000001</v>
      </c>
      <c r="FB9" s="227" t="s">
        <v>555</v>
      </c>
      <c r="FC9">
        <f t="shared" si="0"/>
        <v>42</v>
      </c>
    </row>
    <row r="10" spans="1:159" ht="17.25" thickBot="1" x14ac:dyDescent="0.3">
      <c r="A10" s="226">
        <v>46121</v>
      </c>
      <c r="B10" s="227" t="s">
        <v>170</v>
      </c>
      <c r="C10" s="227" t="s">
        <v>497</v>
      </c>
      <c r="D10" s="228">
        <v>125</v>
      </c>
      <c r="E10" s="228">
        <v>19</v>
      </c>
      <c r="F10" s="231">
        <v>5399.5</v>
      </c>
      <c r="G10" s="231">
        <v>5268.5</v>
      </c>
      <c r="H10" s="228">
        <v>131</v>
      </c>
      <c r="I10" s="229">
        <v>2.4899999999999999E-2</v>
      </c>
      <c r="J10" s="231">
        <v>5370.5</v>
      </c>
      <c r="K10" s="231">
        <v>5246</v>
      </c>
      <c r="L10" s="228">
        <v>124.5</v>
      </c>
      <c r="M10" s="229">
        <v>2.3699999999999999E-2</v>
      </c>
      <c r="N10" s="231">
        <v>5399.5</v>
      </c>
      <c r="O10" s="231">
        <v>5268.5</v>
      </c>
      <c r="P10" s="228">
        <v>131</v>
      </c>
      <c r="Q10" s="229">
        <v>2.4899999999999999E-2</v>
      </c>
      <c r="R10" s="231">
        <v>5430</v>
      </c>
      <c r="S10" s="231">
        <v>5299</v>
      </c>
      <c r="T10" s="228">
        <v>131</v>
      </c>
      <c r="U10" s="229">
        <v>2.47E-2</v>
      </c>
      <c r="V10" s="228">
        <v>0</v>
      </c>
      <c r="W10" s="228">
        <v>0</v>
      </c>
      <c r="X10" s="228">
        <v>0</v>
      </c>
      <c r="Y10" s="229">
        <v>0</v>
      </c>
      <c r="Z10" s="228">
        <v>29</v>
      </c>
      <c r="AA10" s="228">
        <v>22.5</v>
      </c>
      <c r="AB10" s="228">
        <v>6.5</v>
      </c>
      <c r="AC10" s="229">
        <v>5.4000000000000003E-3</v>
      </c>
      <c r="AD10" s="228">
        <v>29</v>
      </c>
      <c r="AE10" s="228">
        <v>22.5</v>
      </c>
      <c r="AF10" s="228">
        <v>6.5</v>
      </c>
      <c r="AG10" s="229">
        <v>5.4000000000000003E-3</v>
      </c>
      <c r="AH10" s="228">
        <v>59.5</v>
      </c>
      <c r="AI10" s="228">
        <v>53</v>
      </c>
      <c r="AJ10" s="228">
        <v>6.5</v>
      </c>
      <c r="AK10" s="229">
        <v>1.11E-2</v>
      </c>
      <c r="AL10" s="228">
        <v>0</v>
      </c>
      <c r="AM10" s="228">
        <v>0</v>
      </c>
      <c r="AN10" s="228">
        <v>0</v>
      </c>
      <c r="AO10" s="229">
        <v>0</v>
      </c>
      <c r="AP10" s="231">
        <v>5341.17</v>
      </c>
      <c r="AQ10" s="231">
        <v>5370.24</v>
      </c>
      <c r="AR10" s="228">
        <v>0</v>
      </c>
      <c r="AS10" s="228">
        <v>95</v>
      </c>
      <c r="AT10" s="228">
        <v>78</v>
      </c>
      <c r="AU10" s="228">
        <v>17</v>
      </c>
      <c r="AV10" s="229">
        <v>0.2172</v>
      </c>
      <c r="AW10" s="228">
        <v>91</v>
      </c>
      <c r="AX10" s="228">
        <v>76</v>
      </c>
      <c r="AY10" s="228">
        <v>15</v>
      </c>
      <c r="AZ10" s="229">
        <v>0.19470000000000001</v>
      </c>
      <c r="BA10" s="228">
        <v>5</v>
      </c>
      <c r="BB10" s="228">
        <v>2</v>
      </c>
      <c r="BC10" s="228">
        <v>2</v>
      </c>
      <c r="BD10" s="229">
        <v>0.94289999999999996</v>
      </c>
      <c r="BE10" s="228">
        <v>0</v>
      </c>
      <c r="BF10" s="228">
        <v>0</v>
      </c>
      <c r="BG10" s="228">
        <v>0</v>
      </c>
      <c r="BH10" s="229">
        <v>0</v>
      </c>
      <c r="BI10" s="228">
        <v>207</v>
      </c>
      <c r="BJ10" s="228">
        <v>213</v>
      </c>
      <c r="BK10" s="228">
        <v>-6</v>
      </c>
      <c r="BL10" s="229">
        <v>-2.7799999999999998E-2</v>
      </c>
      <c r="BM10" s="228">
        <v>76</v>
      </c>
      <c r="BN10" s="228">
        <v>94</v>
      </c>
      <c r="BO10" s="228">
        <v>-18</v>
      </c>
      <c r="BP10" s="229">
        <v>-0.19670000000000001</v>
      </c>
      <c r="BQ10" s="228">
        <v>378</v>
      </c>
      <c r="BR10" s="228">
        <v>386</v>
      </c>
      <c r="BS10" s="228">
        <v>-7</v>
      </c>
      <c r="BT10" s="229">
        <v>-1.9199999999999998E-2</v>
      </c>
      <c r="BU10" s="230">
        <v>129372</v>
      </c>
      <c r="BV10" s="230">
        <v>198056</v>
      </c>
      <c r="BW10" s="230">
        <v>-68684</v>
      </c>
      <c r="BX10" s="229">
        <v>-0.3468</v>
      </c>
      <c r="BY10" s="228">
        <v>623</v>
      </c>
      <c r="BZ10" s="228">
        <v>625</v>
      </c>
      <c r="CA10" s="228">
        <v>-2</v>
      </c>
      <c r="CB10" s="229">
        <v>-3.0999999999999999E-3</v>
      </c>
      <c r="CC10" s="228">
        <v>618</v>
      </c>
      <c r="CD10" s="228">
        <v>622</v>
      </c>
      <c r="CE10" s="228">
        <v>-3</v>
      </c>
      <c r="CF10" s="229">
        <v>-5.3E-3</v>
      </c>
      <c r="CG10" s="228">
        <v>4</v>
      </c>
      <c r="CH10" s="228">
        <v>3</v>
      </c>
      <c r="CI10" s="228">
        <v>1</v>
      </c>
      <c r="CJ10" s="229">
        <v>0.45450000000000002</v>
      </c>
      <c r="CK10" s="228">
        <v>0</v>
      </c>
      <c r="CL10" s="228">
        <v>0</v>
      </c>
      <c r="CM10" s="228">
        <v>0</v>
      </c>
      <c r="CN10" s="229">
        <v>0</v>
      </c>
      <c r="CO10" s="228">
        <v>79</v>
      </c>
      <c r="CP10" s="228">
        <v>71</v>
      </c>
      <c r="CQ10" s="228">
        <v>8</v>
      </c>
      <c r="CR10" s="229">
        <v>0.10580000000000001</v>
      </c>
      <c r="CS10" s="228">
        <v>75</v>
      </c>
      <c r="CT10" s="228">
        <v>76</v>
      </c>
      <c r="CU10" s="228">
        <v>-1</v>
      </c>
      <c r="CV10" s="229">
        <v>-1.5100000000000001E-2</v>
      </c>
      <c r="CW10" s="228">
        <v>777</v>
      </c>
      <c r="CX10" s="228">
        <v>772</v>
      </c>
      <c r="CY10" s="228">
        <v>4</v>
      </c>
      <c r="CZ10" s="229">
        <v>5.7999999999999996E-3</v>
      </c>
      <c r="DA10" s="228">
        <v>26.91</v>
      </c>
      <c r="DB10" s="228">
        <v>25.61</v>
      </c>
      <c r="DC10" s="228">
        <v>1.3</v>
      </c>
      <c r="DD10" s="228">
        <v>1.3</v>
      </c>
      <c r="DE10" s="228">
        <v>28.4</v>
      </c>
      <c r="DF10" s="228">
        <v>28.28</v>
      </c>
      <c r="DG10" s="228">
        <v>-1.49</v>
      </c>
      <c r="DH10" s="228">
        <v>0.12</v>
      </c>
      <c r="DI10" s="228">
        <v>26.73</v>
      </c>
      <c r="DJ10" s="228">
        <v>25.23</v>
      </c>
      <c r="DK10" s="228">
        <v>1.5</v>
      </c>
      <c r="DL10" s="228">
        <v>1.5</v>
      </c>
      <c r="DM10" s="228">
        <v>27.41</v>
      </c>
      <c r="DN10" s="228">
        <v>26.45</v>
      </c>
      <c r="DO10" s="228">
        <v>0.96</v>
      </c>
      <c r="DP10" s="228">
        <v>0.96</v>
      </c>
      <c r="DQ10" s="228">
        <v>0.95</v>
      </c>
      <c r="DR10" s="228">
        <v>1.07</v>
      </c>
      <c r="DS10" s="228">
        <v>-0.12</v>
      </c>
      <c r="DT10" s="229">
        <v>-0.11210000000000001</v>
      </c>
      <c r="DU10" s="231">
        <v>5600</v>
      </c>
      <c r="DV10" s="231">
        <v>5200</v>
      </c>
      <c r="DW10" s="228">
        <v>0.36</v>
      </c>
      <c r="DX10" s="228">
        <v>0.44</v>
      </c>
      <c r="DY10" s="228">
        <v>-0.08</v>
      </c>
      <c r="DZ10" s="229">
        <v>-0.18179999999999999</v>
      </c>
      <c r="EA10" s="229">
        <v>6.8999999999999999E-3</v>
      </c>
      <c r="EB10" s="230">
        <v>5500</v>
      </c>
      <c r="EC10" s="229">
        <v>5.5999999999999999E-3</v>
      </c>
      <c r="ED10" s="229">
        <v>6.8999999999999999E-3</v>
      </c>
      <c r="EE10" s="228">
        <v>29.07</v>
      </c>
      <c r="EF10" s="229">
        <v>5.4000000000000003E-3</v>
      </c>
      <c r="EG10" s="230">
        <v>67569</v>
      </c>
      <c r="EH10" s="230">
        <v>129039</v>
      </c>
      <c r="EI10" s="229">
        <v>-0.47639999999999999</v>
      </c>
      <c r="EJ10" s="229">
        <v>0.52229999999999999</v>
      </c>
      <c r="EK10" s="228">
        <v>211.89</v>
      </c>
      <c r="EL10" s="228">
        <v>73.67</v>
      </c>
      <c r="EM10" s="228">
        <v>94.3</v>
      </c>
      <c r="EN10" s="228">
        <v>11.21</v>
      </c>
      <c r="EO10" s="228">
        <v>379.85</v>
      </c>
      <c r="EP10" s="228">
        <v>383.09</v>
      </c>
      <c r="EQ10" s="228">
        <v>-3.24</v>
      </c>
      <c r="ER10" s="229">
        <v>-8.5000000000000006E-3</v>
      </c>
      <c r="ES10" s="228">
        <v>80.260000000000005</v>
      </c>
      <c r="ET10" s="228">
        <v>72.08</v>
      </c>
      <c r="EU10" s="228">
        <v>622.65</v>
      </c>
      <c r="EV10" s="231">
        <v>5873365</v>
      </c>
      <c r="EW10" s="228">
        <v>775</v>
      </c>
      <c r="EX10" s="228">
        <v>754.78</v>
      </c>
      <c r="EY10" s="228">
        <v>20.22</v>
      </c>
      <c r="EZ10" s="229">
        <v>2.6800000000000001E-2</v>
      </c>
      <c r="FA10" s="229">
        <v>0.24490000000000001</v>
      </c>
      <c r="FB10" s="227" t="s">
        <v>694</v>
      </c>
      <c r="FC10">
        <f t="shared" si="0"/>
        <v>5</v>
      </c>
    </row>
    <row r="11" spans="1:159" ht="17.25" thickBot="1" x14ac:dyDescent="0.3">
      <c r="A11" s="226">
        <v>46121</v>
      </c>
      <c r="B11" s="227" t="s">
        <v>184</v>
      </c>
      <c r="C11" s="227" t="s">
        <v>679</v>
      </c>
      <c r="D11" s="228">
        <v>100</v>
      </c>
      <c r="E11" s="228">
        <v>19</v>
      </c>
      <c r="F11" s="231">
        <v>6899.5</v>
      </c>
      <c r="G11" s="231">
        <v>6948</v>
      </c>
      <c r="H11" s="228">
        <v>-48.5</v>
      </c>
      <c r="I11" s="229">
        <v>-7.0000000000000001E-3</v>
      </c>
      <c r="J11" s="231">
        <v>6888.5</v>
      </c>
      <c r="K11" s="231">
        <v>6944</v>
      </c>
      <c r="L11" s="228">
        <v>-55.5</v>
      </c>
      <c r="M11" s="229">
        <v>-8.0000000000000002E-3</v>
      </c>
      <c r="N11" s="231">
        <v>6899.5</v>
      </c>
      <c r="O11" s="231">
        <v>6948</v>
      </c>
      <c r="P11" s="228">
        <v>-48.5</v>
      </c>
      <c r="Q11" s="229">
        <v>-7.0000000000000001E-3</v>
      </c>
      <c r="R11" s="231">
        <v>6849</v>
      </c>
      <c r="S11" s="231">
        <v>6895.5</v>
      </c>
      <c r="T11" s="228">
        <v>-46.5</v>
      </c>
      <c r="U11" s="229">
        <v>-6.7000000000000002E-3</v>
      </c>
      <c r="V11" s="231">
        <v>6700</v>
      </c>
      <c r="W11" s="231">
        <v>6880</v>
      </c>
      <c r="X11" s="228">
        <v>-180</v>
      </c>
      <c r="Y11" s="229">
        <v>-2.6200000000000001E-2</v>
      </c>
      <c r="Z11" s="228">
        <v>11</v>
      </c>
      <c r="AA11" s="228">
        <v>4</v>
      </c>
      <c r="AB11" s="228">
        <v>7</v>
      </c>
      <c r="AC11" s="229">
        <v>1.6000000000000001E-3</v>
      </c>
      <c r="AD11" s="228">
        <v>11</v>
      </c>
      <c r="AE11" s="228">
        <v>4</v>
      </c>
      <c r="AF11" s="228">
        <v>7</v>
      </c>
      <c r="AG11" s="229">
        <v>1.6000000000000001E-3</v>
      </c>
      <c r="AH11" s="228">
        <v>-39.5</v>
      </c>
      <c r="AI11" s="228">
        <v>-48.5</v>
      </c>
      <c r="AJ11" s="228">
        <v>9</v>
      </c>
      <c r="AK11" s="229">
        <v>-5.7000000000000002E-3</v>
      </c>
      <c r="AL11" s="228">
        <v>-188.5</v>
      </c>
      <c r="AM11" s="228">
        <v>-64</v>
      </c>
      <c r="AN11" s="228">
        <v>-124.5</v>
      </c>
      <c r="AO11" s="229">
        <v>-2.7400000000000001E-2</v>
      </c>
      <c r="AP11" s="231">
        <v>6815.08</v>
      </c>
      <c r="AQ11" s="231">
        <v>6758.84</v>
      </c>
      <c r="AR11" s="228">
        <v>0</v>
      </c>
      <c r="AS11" s="228">
        <v>372</v>
      </c>
      <c r="AT11" s="228">
        <v>380</v>
      </c>
      <c r="AU11" s="228">
        <v>-8</v>
      </c>
      <c r="AV11" s="229">
        <v>-2.2100000000000002E-2</v>
      </c>
      <c r="AW11" s="228">
        <v>337</v>
      </c>
      <c r="AX11" s="228">
        <v>363</v>
      </c>
      <c r="AY11" s="228">
        <v>-26</v>
      </c>
      <c r="AZ11" s="229">
        <v>-7.1999999999999995E-2</v>
      </c>
      <c r="BA11" s="228">
        <v>33</v>
      </c>
      <c r="BB11" s="228">
        <v>16</v>
      </c>
      <c r="BC11" s="228">
        <v>18</v>
      </c>
      <c r="BD11" s="229">
        <v>1.1415999999999999</v>
      </c>
      <c r="BE11" s="228">
        <v>1</v>
      </c>
      <c r="BF11" s="228">
        <v>1</v>
      </c>
      <c r="BG11" s="228">
        <v>0</v>
      </c>
      <c r="BH11" s="229">
        <v>-4.7600000000000003E-2</v>
      </c>
      <c r="BI11" s="228">
        <v>654</v>
      </c>
      <c r="BJ11" s="230">
        <v>1250</v>
      </c>
      <c r="BK11" s="228">
        <v>-596</v>
      </c>
      <c r="BL11" s="229">
        <v>-0.47660000000000002</v>
      </c>
      <c r="BM11" s="228">
        <v>361</v>
      </c>
      <c r="BN11" s="228">
        <v>531</v>
      </c>
      <c r="BO11" s="228">
        <v>-170</v>
      </c>
      <c r="BP11" s="229">
        <v>-0.32</v>
      </c>
      <c r="BQ11" s="230">
        <v>1387</v>
      </c>
      <c r="BR11" s="230">
        <v>2161</v>
      </c>
      <c r="BS11" s="228">
        <v>-774</v>
      </c>
      <c r="BT11" s="229">
        <v>-0.35809999999999997</v>
      </c>
      <c r="BU11" s="230">
        <v>356637</v>
      </c>
      <c r="BV11" s="230">
        <v>464630</v>
      </c>
      <c r="BW11" s="230">
        <v>-107993</v>
      </c>
      <c r="BX11" s="229">
        <v>-0.2324</v>
      </c>
      <c r="BY11" s="228">
        <v>836</v>
      </c>
      <c r="BZ11" s="228">
        <v>777</v>
      </c>
      <c r="CA11" s="228">
        <v>59</v>
      </c>
      <c r="CB11" s="229">
        <v>7.6499999999999999E-2</v>
      </c>
      <c r="CC11" s="228">
        <v>800</v>
      </c>
      <c r="CD11" s="228">
        <v>753</v>
      </c>
      <c r="CE11" s="228">
        <v>47</v>
      </c>
      <c r="CF11" s="229">
        <v>6.2E-2</v>
      </c>
      <c r="CG11" s="228">
        <v>35</v>
      </c>
      <c r="CH11" s="228">
        <v>23</v>
      </c>
      <c r="CI11" s="228">
        <v>12</v>
      </c>
      <c r="CJ11" s="229">
        <v>0.503</v>
      </c>
      <c r="CK11" s="228">
        <v>2</v>
      </c>
      <c r="CL11" s="228">
        <v>1</v>
      </c>
      <c r="CM11" s="228">
        <v>1</v>
      </c>
      <c r="CN11" s="229">
        <v>1</v>
      </c>
      <c r="CO11" s="228">
        <v>350</v>
      </c>
      <c r="CP11" s="228">
        <v>311</v>
      </c>
      <c r="CQ11" s="228">
        <v>39</v>
      </c>
      <c r="CR11" s="229">
        <v>0.125</v>
      </c>
      <c r="CS11" s="228">
        <v>225</v>
      </c>
      <c r="CT11" s="228">
        <v>195</v>
      </c>
      <c r="CU11" s="228">
        <v>30</v>
      </c>
      <c r="CV11" s="229">
        <v>0.15129999999999999</v>
      </c>
      <c r="CW11" s="230">
        <v>1411</v>
      </c>
      <c r="CX11" s="230">
        <v>1283</v>
      </c>
      <c r="CY11" s="228">
        <v>128</v>
      </c>
      <c r="CZ11" s="229">
        <v>9.9599999999999994E-2</v>
      </c>
      <c r="DA11" s="228">
        <v>49.84</v>
      </c>
      <c r="DB11" s="228">
        <v>48.4</v>
      </c>
      <c r="DC11" s="228">
        <v>1.44</v>
      </c>
      <c r="DD11" s="228">
        <v>1.44</v>
      </c>
      <c r="DE11" s="228">
        <v>54.07</v>
      </c>
      <c r="DF11" s="228">
        <v>54.2</v>
      </c>
      <c r="DG11" s="228">
        <v>-4.2300000000000004</v>
      </c>
      <c r="DH11" s="228">
        <v>-0.13</v>
      </c>
      <c r="DI11" s="228">
        <v>48.55</v>
      </c>
      <c r="DJ11" s="228">
        <v>46.79</v>
      </c>
      <c r="DK11" s="228">
        <v>1.76</v>
      </c>
      <c r="DL11" s="228">
        <v>1.76</v>
      </c>
      <c r="DM11" s="228">
        <v>52.18</v>
      </c>
      <c r="DN11" s="228">
        <v>52.16</v>
      </c>
      <c r="DO11" s="228">
        <v>0.02</v>
      </c>
      <c r="DP11" s="228">
        <v>0.02</v>
      </c>
      <c r="DQ11" s="228">
        <v>0.64</v>
      </c>
      <c r="DR11" s="228">
        <v>0.63</v>
      </c>
      <c r="DS11" s="228">
        <v>0.01</v>
      </c>
      <c r="DT11" s="229">
        <v>1.5900000000000001E-2</v>
      </c>
      <c r="DU11" s="231">
        <v>7000</v>
      </c>
      <c r="DV11" s="231">
        <v>6500</v>
      </c>
      <c r="DW11" s="228">
        <v>0.55000000000000004</v>
      </c>
      <c r="DX11" s="228">
        <v>0.42</v>
      </c>
      <c r="DY11" s="228">
        <v>0.13</v>
      </c>
      <c r="DZ11" s="229">
        <v>0.3095</v>
      </c>
      <c r="EA11" s="229">
        <v>4.41E-2</v>
      </c>
      <c r="EB11" s="230">
        <v>35100</v>
      </c>
      <c r="EC11" s="229">
        <v>-7.3000000000000001E-3</v>
      </c>
      <c r="ED11" s="229">
        <v>4.41E-2</v>
      </c>
      <c r="EE11" s="228">
        <v>-56.24</v>
      </c>
      <c r="EF11" s="229">
        <v>-8.3000000000000001E-3</v>
      </c>
      <c r="EG11" s="230">
        <v>85876</v>
      </c>
      <c r="EH11" s="230">
        <v>91929</v>
      </c>
      <c r="EI11" s="229">
        <v>-6.5799999999999997E-2</v>
      </c>
      <c r="EJ11" s="229">
        <v>0.24079999999999999</v>
      </c>
      <c r="EK11" s="228">
        <v>702.4</v>
      </c>
      <c r="EL11" s="228">
        <v>343.79</v>
      </c>
      <c r="EM11" s="228">
        <v>367.17</v>
      </c>
      <c r="EN11" s="228">
        <v>38.72</v>
      </c>
      <c r="EO11" s="231">
        <v>1413.36</v>
      </c>
      <c r="EP11" s="231">
        <v>2215.8200000000002</v>
      </c>
      <c r="EQ11" s="228">
        <v>-802.46</v>
      </c>
      <c r="ER11" s="229">
        <v>-0.36209999999999998</v>
      </c>
      <c r="ES11" s="228">
        <v>363.14</v>
      </c>
      <c r="ET11" s="228">
        <v>207.61</v>
      </c>
      <c r="EU11" s="228">
        <v>836.11</v>
      </c>
      <c r="EV11" s="231">
        <v>3260820</v>
      </c>
      <c r="EW11" s="231">
        <v>1406.86</v>
      </c>
      <c r="EX11" s="231">
        <v>1284.74</v>
      </c>
      <c r="EY11" s="228">
        <v>122.12</v>
      </c>
      <c r="EZ11" s="229">
        <v>9.5100000000000004E-2</v>
      </c>
      <c r="FA11" s="229">
        <v>0.62729999999999997</v>
      </c>
      <c r="FB11" s="227" t="s">
        <v>566</v>
      </c>
      <c r="FC11">
        <f t="shared" si="0"/>
        <v>36</v>
      </c>
    </row>
    <row r="12" spans="1:159" ht="17.25" thickBot="1" x14ac:dyDescent="0.3">
      <c r="A12" s="226">
        <v>46121</v>
      </c>
      <c r="B12" s="227" t="s">
        <v>157</v>
      </c>
      <c r="C12" s="227" t="s">
        <v>164</v>
      </c>
      <c r="D12" s="228">
        <v>1050</v>
      </c>
      <c r="E12" s="228">
        <v>19</v>
      </c>
      <c r="F12" s="228">
        <v>434.5</v>
      </c>
      <c r="G12" s="228">
        <v>447.65</v>
      </c>
      <c r="H12" s="228">
        <v>-13.15</v>
      </c>
      <c r="I12" s="229">
        <v>-2.9399999999999999E-2</v>
      </c>
      <c r="J12" s="228">
        <v>434.05</v>
      </c>
      <c r="K12" s="228">
        <v>446.75</v>
      </c>
      <c r="L12" s="228">
        <v>-12.7</v>
      </c>
      <c r="M12" s="229">
        <v>-2.8400000000000002E-2</v>
      </c>
      <c r="N12" s="228">
        <v>434.5</v>
      </c>
      <c r="O12" s="228">
        <v>447.65</v>
      </c>
      <c r="P12" s="228">
        <v>-13.15</v>
      </c>
      <c r="Q12" s="229">
        <v>-2.9399999999999999E-2</v>
      </c>
      <c r="R12" s="228">
        <v>437.2</v>
      </c>
      <c r="S12" s="228">
        <v>450.4</v>
      </c>
      <c r="T12" s="228">
        <v>-13.2</v>
      </c>
      <c r="U12" s="229">
        <v>-2.93E-2</v>
      </c>
      <c r="V12" s="228">
        <v>439.35</v>
      </c>
      <c r="W12" s="228">
        <v>451.15</v>
      </c>
      <c r="X12" s="228">
        <v>-11.8</v>
      </c>
      <c r="Y12" s="229">
        <v>-2.6200000000000001E-2</v>
      </c>
      <c r="Z12" s="228">
        <v>0.45</v>
      </c>
      <c r="AA12" s="228">
        <v>0.9</v>
      </c>
      <c r="AB12" s="228">
        <v>-0.45</v>
      </c>
      <c r="AC12" s="229">
        <v>1E-3</v>
      </c>
      <c r="AD12" s="228">
        <v>0.45</v>
      </c>
      <c r="AE12" s="228">
        <v>0.9</v>
      </c>
      <c r="AF12" s="228">
        <v>-0.45</v>
      </c>
      <c r="AG12" s="229">
        <v>1E-3</v>
      </c>
      <c r="AH12" s="228">
        <v>3.15</v>
      </c>
      <c r="AI12" s="228">
        <v>3.65</v>
      </c>
      <c r="AJ12" s="228">
        <v>-0.5</v>
      </c>
      <c r="AK12" s="229">
        <v>7.3000000000000001E-3</v>
      </c>
      <c r="AL12" s="228">
        <v>5.3</v>
      </c>
      <c r="AM12" s="228">
        <v>4.4000000000000004</v>
      </c>
      <c r="AN12" s="228">
        <v>0.9</v>
      </c>
      <c r="AO12" s="229">
        <v>1.2200000000000001E-2</v>
      </c>
      <c r="AP12" s="228">
        <v>435.91</v>
      </c>
      <c r="AQ12" s="228">
        <v>438.39</v>
      </c>
      <c r="AR12" s="228">
        <v>0</v>
      </c>
      <c r="AS12" s="228">
        <v>359</v>
      </c>
      <c r="AT12" s="228">
        <v>608</v>
      </c>
      <c r="AU12" s="228">
        <v>-249</v>
      </c>
      <c r="AV12" s="229">
        <v>-0.40949999999999998</v>
      </c>
      <c r="AW12" s="228">
        <v>335</v>
      </c>
      <c r="AX12" s="228">
        <v>583</v>
      </c>
      <c r="AY12" s="228">
        <v>-248</v>
      </c>
      <c r="AZ12" s="229">
        <v>-0.42580000000000001</v>
      </c>
      <c r="BA12" s="228">
        <v>20</v>
      </c>
      <c r="BB12" s="228">
        <v>22</v>
      </c>
      <c r="BC12" s="228">
        <v>-2</v>
      </c>
      <c r="BD12" s="229">
        <v>-8.5699999999999998E-2</v>
      </c>
      <c r="BE12" s="228">
        <v>4</v>
      </c>
      <c r="BF12" s="228">
        <v>2</v>
      </c>
      <c r="BG12" s="228">
        <v>1</v>
      </c>
      <c r="BH12" s="229">
        <v>0.52829999999999999</v>
      </c>
      <c r="BI12" s="228">
        <v>554</v>
      </c>
      <c r="BJ12" s="230">
        <v>1206</v>
      </c>
      <c r="BK12" s="228">
        <v>-652</v>
      </c>
      <c r="BL12" s="229">
        <v>-0.54079999999999995</v>
      </c>
      <c r="BM12" s="228">
        <v>275</v>
      </c>
      <c r="BN12" s="228">
        <v>506</v>
      </c>
      <c r="BO12" s="228">
        <v>-231</v>
      </c>
      <c r="BP12" s="229">
        <v>-0.45650000000000002</v>
      </c>
      <c r="BQ12" s="230">
        <v>1188</v>
      </c>
      <c r="BR12" s="230">
        <v>2320</v>
      </c>
      <c r="BS12" s="230">
        <v>-1132</v>
      </c>
      <c r="BT12" s="229">
        <v>-0.48799999999999999</v>
      </c>
      <c r="BU12" s="230">
        <v>5090276</v>
      </c>
      <c r="BV12" s="230">
        <v>8103120</v>
      </c>
      <c r="BW12" s="230">
        <v>-3012844</v>
      </c>
      <c r="BX12" s="229">
        <v>-0.37180000000000002</v>
      </c>
      <c r="BY12" s="230">
        <v>2638</v>
      </c>
      <c r="BZ12" s="230">
        <v>2629</v>
      </c>
      <c r="CA12" s="228">
        <v>9</v>
      </c>
      <c r="CB12" s="229">
        <v>3.5000000000000001E-3</v>
      </c>
      <c r="CC12" s="230">
        <v>2303</v>
      </c>
      <c r="CD12" s="230">
        <v>2306</v>
      </c>
      <c r="CE12" s="228">
        <v>-3</v>
      </c>
      <c r="CF12" s="229">
        <v>-1.5E-3</v>
      </c>
      <c r="CG12" s="228">
        <v>330</v>
      </c>
      <c r="CH12" s="228">
        <v>320</v>
      </c>
      <c r="CI12" s="228">
        <v>10</v>
      </c>
      <c r="CJ12" s="229">
        <v>3.15E-2</v>
      </c>
      <c r="CK12" s="228">
        <v>5</v>
      </c>
      <c r="CL12" s="228">
        <v>2</v>
      </c>
      <c r="CM12" s="228">
        <v>3</v>
      </c>
      <c r="CN12" s="229">
        <v>1.2888999999999999</v>
      </c>
      <c r="CO12" s="228">
        <v>456</v>
      </c>
      <c r="CP12" s="228">
        <v>433</v>
      </c>
      <c r="CQ12" s="228">
        <v>23</v>
      </c>
      <c r="CR12" s="229">
        <v>5.3499999999999999E-2</v>
      </c>
      <c r="CS12" s="228">
        <v>398</v>
      </c>
      <c r="CT12" s="228">
        <v>396</v>
      </c>
      <c r="CU12" s="228">
        <v>1</v>
      </c>
      <c r="CV12" s="229">
        <v>3.5000000000000001E-3</v>
      </c>
      <c r="CW12" s="230">
        <v>3492</v>
      </c>
      <c r="CX12" s="230">
        <v>3458</v>
      </c>
      <c r="CY12" s="228">
        <v>34</v>
      </c>
      <c r="CZ12" s="229">
        <v>9.7999999999999997E-3</v>
      </c>
      <c r="DA12" s="228">
        <v>38.369999999999997</v>
      </c>
      <c r="DB12" s="228">
        <v>36.81</v>
      </c>
      <c r="DC12" s="228">
        <v>1.56</v>
      </c>
      <c r="DD12" s="228">
        <v>1.56</v>
      </c>
      <c r="DE12" s="228">
        <v>36.79</v>
      </c>
      <c r="DF12" s="228">
        <v>36.659999999999997</v>
      </c>
      <c r="DG12" s="228">
        <v>1.58</v>
      </c>
      <c r="DH12" s="228">
        <v>0.13</v>
      </c>
      <c r="DI12" s="228">
        <v>37.93</v>
      </c>
      <c r="DJ12" s="228">
        <v>36.119999999999997</v>
      </c>
      <c r="DK12" s="228">
        <v>1.81</v>
      </c>
      <c r="DL12" s="228">
        <v>1.81</v>
      </c>
      <c r="DM12" s="228">
        <v>39.25</v>
      </c>
      <c r="DN12" s="228">
        <v>38.46</v>
      </c>
      <c r="DO12" s="228">
        <v>0.79</v>
      </c>
      <c r="DP12" s="228">
        <v>0.79</v>
      </c>
      <c r="DQ12" s="228">
        <v>0.87</v>
      </c>
      <c r="DR12" s="228">
        <v>0.92</v>
      </c>
      <c r="DS12" s="228">
        <v>-0.05</v>
      </c>
      <c r="DT12" s="229">
        <v>-5.4300000000000001E-2</v>
      </c>
      <c r="DU12" s="228">
        <v>450</v>
      </c>
      <c r="DV12" s="228">
        <v>420</v>
      </c>
      <c r="DW12" s="228">
        <v>0.5</v>
      </c>
      <c r="DX12" s="228">
        <v>0.42</v>
      </c>
      <c r="DY12" s="228">
        <v>0.08</v>
      </c>
      <c r="DZ12" s="229">
        <v>0.1905</v>
      </c>
      <c r="EA12" s="229">
        <v>0.127</v>
      </c>
      <c r="EB12" s="230">
        <v>7420350</v>
      </c>
      <c r="EC12" s="229">
        <v>6.1999999999999998E-3</v>
      </c>
      <c r="ED12" s="229">
        <v>0.127</v>
      </c>
      <c r="EE12" s="228">
        <v>2.48</v>
      </c>
      <c r="EF12" s="229">
        <v>5.7000000000000002E-3</v>
      </c>
      <c r="EG12" s="230">
        <v>1928440</v>
      </c>
      <c r="EH12" s="230">
        <v>3561094</v>
      </c>
      <c r="EI12" s="229">
        <v>-0.45850000000000002</v>
      </c>
      <c r="EJ12" s="229">
        <v>0.37880000000000003</v>
      </c>
      <c r="EK12" s="228">
        <v>594.16999999999996</v>
      </c>
      <c r="EL12" s="228">
        <v>276.23</v>
      </c>
      <c r="EM12" s="228">
        <v>360.37</v>
      </c>
      <c r="EN12" s="228">
        <v>76.569999999999993</v>
      </c>
      <c r="EO12" s="231">
        <v>1230.77</v>
      </c>
      <c r="EP12" s="231">
        <v>2457.81</v>
      </c>
      <c r="EQ12" s="231">
        <v>-1227.04</v>
      </c>
      <c r="ER12" s="229">
        <v>-0.49919999999999998</v>
      </c>
      <c r="ES12" s="228">
        <v>474.87</v>
      </c>
      <c r="ET12" s="228">
        <v>419.02</v>
      </c>
      <c r="EU12" s="231">
        <v>2640.18</v>
      </c>
      <c r="EV12" s="231">
        <v>97233107</v>
      </c>
      <c r="EW12" s="231">
        <v>3534.08</v>
      </c>
      <c r="EX12" s="231">
        <v>3580.67</v>
      </c>
      <c r="EY12" s="228">
        <v>-46.59</v>
      </c>
      <c r="EZ12" s="229">
        <v>-1.2999999999999999E-2</v>
      </c>
      <c r="FA12" s="229">
        <v>0.82650000000000001</v>
      </c>
      <c r="FB12" s="227" t="s">
        <v>566</v>
      </c>
      <c r="FC12">
        <f t="shared" si="0"/>
        <v>335</v>
      </c>
    </row>
    <row r="13" spans="1:159" ht="17.25" thickBot="1" x14ac:dyDescent="0.3">
      <c r="A13" s="226">
        <v>46121</v>
      </c>
      <c r="B13" s="227" t="s">
        <v>175</v>
      </c>
      <c r="C13" s="227" t="s">
        <v>608</v>
      </c>
      <c r="D13" s="228">
        <v>2500</v>
      </c>
      <c r="E13" s="228">
        <v>19</v>
      </c>
      <c r="F13" s="228">
        <v>276.13</v>
      </c>
      <c r="G13" s="228">
        <v>265.43</v>
      </c>
      <c r="H13" s="228">
        <v>10.7</v>
      </c>
      <c r="I13" s="229">
        <v>4.0300000000000002E-2</v>
      </c>
      <c r="J13" s="228">
        <v>281.8</v>
      </c>
      <c r="K13" s="228">
        <v>267.62</v>
      </c>
      <c r="L13" s="228">
        <v>14.18</v>
      </c>
      <c r="M13" s="229">
        <v>5.2999999999999999E-2</v>
      </c>
      <c r="N13" s="228">
        <v>276.13</v>
      </c>
      <c r="O13" s="228">
        <v>265.43</v>
      </c>
      <c r="P13" s="228">
        <v>10.7</v>
      </c>
      <c r="Q13" s="229">
        <v>4.0300000000000002E-2</v>
      </c>
      <c r="R13" s="228">
        <v>274.10000000000002</v>
      </c>
      <c r="S13" s="228">
        <v>264.8</v>
      </c>
      <c r="T13" s="228">
        <v>9.3000000000000007</v>
      </c>
      <c r="U13" s="229">
        <v>3.5099999999999999E-2</v>
      </c>
      <c r="V13" s="228">
        <v>272.20999999999998</v>
      </c>
      <c r="W13" s="228">
        <v>264.60000000000002</v>
      </c>
      <c r="X13" s="228">
        <v>7.61</v>
      </c>
      <c r="Y13" s="229">
        <v>2.8799999999999999E-2</v>
      </c>
      <c r="Z13" s="228">
        <v>-5.67</v>
      </c>
      <c r="AA13" s="228">
        <v>-2.19</v>
      </c>
      <c r="AB13" s="228">
        <v>-3.48</v>
      </c>
      <c r="AC13" s="229">
        <v>-2.01E-2</v>
      </c>
      <c r="AD13" s="228">
        <v>-5.67</v>
      </c>
      <c r="AE13" s="228">
        <v>-2.19</v>
      </c>
      <c r="AF13" s="228">
        <v>-3.48</v>
      </c>
      <c r="AG13" s="229">
        <v>-2.01E-2</v>
      </c>
      <c r="AH13" s="228">
        <v>-7.7</v>
      </c>
      <c r="AI13" s="228">
        <v>-2.82</v>
      </c>
      <c r="AJ13" s="228">
        <v>-4.88</v>
      </c>
      <c r="AK13" s="229">
        <v>-2.7300000000000001E-2</v>
      </c>
      <c r="AL13" s="228">
        <v>-9.59</v>
      </c>
      <c r="AM13" s="228">
        <v>-3.02</v>
      </c>
      <c r="AN13" s="228">
        <v>-6.57</v>
      </c>
      <c r="AO13" s="229">
        <v>-3.4000000000000002E-2</v>
      </c>
      <c r="AP13" s="228">
        <v>275.60000000000002</v>
      </c>
      <c r="AQ13" s="228">
        <v>273.95</v>
      </c>
      <c r="AR13" s="228">
        <v>0</v>
      </c>
      <c r="AS13" s="228">
        <v>640</v>
      </c>
      <c r="AT13" s="228">
        <v>421</v>
      </c>
      <c r="AU13" s="228">
        <v>218</v>
      </c>
      <c r="AV13" s="229">
        <v>0.51790000000000003</v>
      </c>
      <c r="AW13" s="228">
        <v>565</v>
      </c>
      <c r="AX13" s="228">
        <v>397</v>
      </c>
      <c r="AY13" s="228">
        <v>168</v>
      </c>
      <c r="AZ13" s="229">
        <v>0.42349999999999999</v>
      </c>
      <c r="BA13" s="228">
        <v>71</v>
      </c>
      <c r="BB13" s="228">
        <v>22</v>
      </c>
      <c r="BC13" s="228">
        <v>49</v>
      </c>
      <c r="BD13" s="229">
        <v>2.1764999999999999</v>
      </c>
      <c r="BE13" s="228">
        <v>4</v>
      </c>
      <c r="BF13" s="228">
        <v>2</v>
      </c>
      <c r="BG13" s="228">
        <v>2</v>
      </c>
      <c r="BH13" s="229">
        <v>0.71430000000000005</v>
      </c>
      <c r="BI13" s="230">
        <v>1624</v>
      </c>
      <c r="BJ13" s="228">
        <v>976</v>
      </c>
      <c r="BK13" s="228">
        <v>647</v>
      </c>
      <c r="BL13" s="229">
        <v>0.66279999999999994</v>
      </c>
      <c r="BM13" s="228">
        <v>747</v>
      </c>
      <c r="BN13" s="228">
        <v>467</v>
      </c>
      <c r="BO13" s="228">
        <v>281</v>
      </c>
      <c r="BP13" s="229">
        <v>0.60099999999999998</v>
      </c>
      <c r="BQ13" s="230">
        <v>3010</v>
      </c>
      <c r="BR13" s="230">
        <v>1864</v>
      </c>
      <c r="BS13" s="230">
        <v>1146</v>
      </c>
      <c r="BT13" s="229">
        <v>0.61460000000000004</v>
      </c>
      <c r="BU13" s="230">
        <v>30506975</v>
      </c>
      <c r="BV13" s="230">
        <v>16869048</v>
      </c>
      <c r="BW13" s="230">
        <v>13637927</v>
      </c>
      <c r="BX13" s="229">
        <v>0.8085</v>
      </c>
      <c r="BY13" s="228">
        <v>657</v>
      </c>
      <c r="BZ13" s="228">
        <v>622</v>
      </c>
      <c r="CA13" s="228">
        <v>35</v>
      </c>
      <c r="CB13" s="229">
        <v>5.6500000000000002E-2</v>
      </c>
      <c r="CC13" s="228">
        <v>603</v>
      </c>
      <c r="CD13" s="228">
        <v>589</v>
      </c>
      <c r="CE13" s="228">
        <v>14</v>
      </c>
      <c r="CF13" s="229">
        <v>2.3900000000000001E-2</v>
      </c>
      <c r="CG13" s="228">
        <v>51</v>
      </c>
      <c r="CH13" s="228">
        <v>31</v>
      </c>
      <c r="CI13" s="228">
        <v>20</v>
      </c>
      <c r="CJ13" s="229">
        <v>0.64300000000000002</v>
      </c>
      <c r="CK13" s="228">
        <v>3</v>
      </c>
      <c r="CL13" s="228">
        <v>2</v>
      </c>
      <c r="CM13" s="228">
        <v>1</v>
      </c>
      <c r="CN13" s="229">
        <v>0.46879999999999999</v>
      </c>
      <c r="CO13" s="228">
        <v>381</v>
      </c>
      <c r="CP13" s="228">
        <v>296</v>
      </c>
      <c r="CQ13" s="228">
        <v>84</v>
      </c>
      <c r="CR13" s="229">
        <v>0.2853</v>
      </c>
      <c r="CS13" s="228">
        <v>313</v>
      </c>
      <c r="CT13" s="228">
        <v>255</v>
      </c>
      <c r="CU13" s="228">
        <v>58</v>
      </c>
      <c r="CV13" s="229">
        <v>0.22800000000000001</v>
      </c>
      <c r="CW13" s="230">
        <v>1351</v>
      </c>
      <c r="CX13" s="230">
        <v>1173</v>
      </c>
      <c r="CY13" s="228">
        <v>178</v>
      </c>
      <c r="CZ13" s="229">
        <v>0.1515</v>
      </c>
      <c r="DA13" s="228">
        <v>51.8</v>
      </c>
      <c r="DB13" s="228">
        <v>48.8</v>
      </c>
      <c r="DC13" s="228">
        <v>3</v>
      </c>
      <c r="DD13" s="228">
        <v>3</v>
      </c>
      <c r="DE13" s="228">
        <v>55.91</v>
      </c>
      <c r="DF13" s="228">
        <v>55.8</v>
      </c>
      <c r="DG13" s="228">
        <v>-4.1100000000000003</v>
      </c>
      <c r="DH13" s="228">
        <v>0.11</v>
      </c>
      <c r="DI13" s="228">
        <v>51.25</v>
      </c>
      <c r="DJ13" s="228">
        <v>47.45</v>
      </c>
      <c r="DK13" s="228">
        <v>3.8</v>
      </c>
      <c r="DL13" s="228">
        <v>3.8</v>
      </c>
      <c r="DM13" s="228">
        <v>52.99</v>
      </c>
      <c r="DN13" s="228">
        <v>51.64</v>
      </c>
      <c r="DO13" s="228">
        <v>1.35</v>
      </c>
      <c r="DP13" s="228">
        <v>1.35</v>
      </c>
      <c r="DQ13" s="228">
        <v>0.82</v>
      </c>
      <c r="DR13" s="228">
        <v>0.86</v>
      </c>
      <c r="DS13" s="228">
        <v>-0.04</v>
      </c>
      <c r="DT13" s="229">
        <v>-4.65E-2</v>
      </c>
      <c r="DU13" s="228">
        <v>280</v>
      </c>
      <c r="DV13" s="228">
        <v>200</v>
      </c>
      <c r="DW13" s="228">
        <v>0.46</v>
      </c>
      <c r="DX13" s="228">
        <v>0.48</v>
      </c>
      <c r="DY13" s="228">
        <v>-0.02</v>
      </c>
      <c r="DZ13" s="229">
        <v>-4.1700000000000001E-2</v>
      </c>
      <c r="EA13" s="229">
        <v>8.2799999999999999E-2</v>
      </c>
      <c r="EB13" s="230">
        <v>1207500</v>
      </c>
      <c r="EC13" s="229">
        <v>-7.4000000000000003E-3</v>
      </c>
      <c r="ED13" s="229">
        <v>8.2799999999999999E-2</v>
      </c>
      <c r="EE13" s="228">
        <v>-1.65</v>
      </c>
      <c r="EF13" s="229">
        <v>-6.0000000000000001E-3</v>
      </c>
      <c r="EG13" s="230">
        <v>10559518</v>
      </c>
      <c r="EH13" s="230">
        <v>6047118</v>
      </c>
      <c r="EI13" s="229">
        <v>0.74619999999999997</v>
      </c>
      <c r="EJ13" s="229">
        <v>0.34610000000000002</v>
      </c>
      <c r="EK13" s="231">
        <v>1729.42</v>
      </c>
      <c r="EL13" s="228">
        <v>722.66</v>
      </c>
      <c r="EM13" s="228">
        <v>637.82000000000005</v>
      </c>
      <c r="EN13" s="228">
        <v>35.68</v>
      </c>
      <c r="EO13" s="231">
        <v>3089.9</v>
      </c>
      <c r="EP13" s="231">
        <v>1796</v>
      </c>
      <c r="EQ13" s="231">
        <v>1293.9000000000001</v>
      </c>
      <c r="ER13" s="229">
        <v>0.72040000000000004</v>
      </c>
      <c r="ES13" s="228">
        <v>377.46</v>
      </c>
      <c r="ET13" s="228">
        <v>273.35000000000002</v>
      </c>
      <c r="EU13" s="228">
        <v>656.77</v>
      </c>
      <c r="EV13" s="231">
        <v>96940911</v>
      </c>
      <c r="EW13" s="231">
        <v>1307.57</v>
      </c>
      <c r="EX13" s="231">
        <v>1094.68</v>
      </c>
      <c r="EY13" s="228">
        <v>212.89</v>
      </c>
      <c r="EZ13" s="229">
        <v>0.19450000000000001</v>
      </c>
      <c r="FA13" s="229">
        <v>0.50480000000000003</v>
      </c>
      <c r="FB13" s="227" t="s">
        <v>555</v>
      </c>
      <c r="FC13">
        <f t="shared" si="0"/>
        <v>54</v>
      </c>
    </row>
    <row r="14" spans="1:159" ht="17.25" thickBot="1" x14ac:dyDescent="0.3">
      <c r="A14" s="226">
        <v>46121</v>
      </c>
      <c r="B14" s="227" t="s">
        <v>227</v>
      </c>
      <c r="C14" s="227" t="s">
        <v>597</v>
      </c>
      <c r="D14" s="228">
        <v>350</v>
      </c>
      <c r="E14" s="228">
        <v>19</v>
      </c>
      <c r="F14" s="231">
        <v>2048.5</v>
      </c>
      <c r="G14" s="231">
        <v>2052.1999999999998</v>
      </c>
      <c r="H14" s="228">
        <v>-3.7</v>
      </c>
      <c r="I14" s="229">
        <v>-1.8E-3</v>
      </c>
      <c r="J14" s="231">
        <v>2040.3</v>
      </c>
      <c r="K14" s="231">
        <v>2047.7</v>
      </c>
      <c r="L14" s="228">
        <v>-7.4</v>
      </c>
      <c r="M14" s="229">
        <v>-3.5999999999999999E-3</v>
      </c>
      <c r="N14" s="231">
        <v>2048.5</v>
      </c>
      <c r="O14" s="231">
        <v>2052.1999999999998</v>
      </c>
      <c r="P14" s="228">
        <v>-3.7</v>
      </c>
      <c r="Q14" s="229">
        <v>-1.8E-3</v>
      </c>
      <c r="R14" s="231">
        <v>2059</v>
      </c>
      <c r="S14" s="231">
        <v>2064.6</v>
      </c>
      <c r="T14" s="228">
        <v>-5.6</v>
      </c>
      <c r="U14" s="229">
        <v>-2.7000000000000001E-3</v>
      </c>
      <c r="V14" s="231">
        <v>2070.3000000000002</v>
      </c>
      <c r="W14" s="231">
        <v>2072.5</v>
      </c>
      <c r="X14" s="228">
        <v>-2.2000000000000002</v>
      </c>
      <c r="Y14" s="229">
        <v>-1.1000000000000001E-3</v>
      </c>
      <c r="Z14" s="228">
        <v>8.1999999999999993</v>
      </c>
      <c r="AA14" s="228">
        <v>4.5</v>
      </c>
      <c r="AB14" s="228">
        <v>3.7</v>
      </c>
      <c r="AC14" s="229">
        <v>4.0000000000000001E-3</v>
      </c>
      <c r="AD14" s="228">
        <v>8.1999999999999993</v>
      </c>
      <c r="AE14" s="228">
        <v>4.5</v>
      </c>
      <c r="AF14" s="228">
        <v>3.7</v>
      </c>
      <c r="AG14" s="229">
        <v>4.0000000000000001E-3</v>
      </c>
      <c r="AH14" s="228">
        <v>18.7</v>
      </c>
      <c r="AI14" s="228">
        <v>16.899999999999999</v>
      </c>
      <c r="AJ14" s="228">
        <v>1.8</v>
      </c>
      <c r="AK14" s="229">
        <v>9.1999999999999998E-3</v>
      </c>
      <c r="AL14" s="228">
        <v>30</v>
      </c>
      <c r="AM14" s="228">
        <v>24.8</v>
      </c>
      <c r="AN14" s="228">
        <v>5.2</v>
      </c>
      <c r="AO14" s="229">
        <v>1.47E-2</v>
      </c>
      <c r="AP14" s="231">
        <v>2045.87</v>
      </c>
      <c r="AQ14" s="231">
        <v>2056.75</v>
      </c>
      <c r="AR14" s="228">
        <v>0</v>
      </c>
      <c r="AS14" s="228">
        <v>116</v>
      </c>
      <c r="AT14" s="228">
        <v>262</v>
      </c>
      <c r="AU14" s="228">
        <v>-147</v>
      </c>
      <c r="AV14" s="229">
        <v>-0.55889999999999995</v>
      </c>
      <c r="AW14" s="228">
        <v>110</v>
      </c>
      <c r="AX14" s="228">
        <v>256</v>
      </c>
      <c r="AY14" s="228">
        <v>-145</v>
      </c>
      <c r="AZ14" s="229">
        <v>-0.56889999999999996</v>
      </c>
      <c r="BA14" s="228">
        <v>5</v>
      </c>
      <c r="BB14" s="228">
        <v>7</v>
      </c>
      <c r="BC14" s="228">
        <v>-1</v>
      </c>
      <c r="BD14" s="229">
        <v>-0.21740000000000001</v>
      </c>
      <c r="BE14" s="228">
        <v>0</v>
      </c>
      <c r="BF14" s="228">
        <v>0</v>
      </c>
      <c r="BG14" s="228">
        <v>0</v>
      </c>
      <c r="BH14" s="229">
        <v>1.5</v>
      </c>
      <c r="BI14" s="228">
        <v>195</v>
      </c>
      <c r="BJ14" s="228">
        <v>408</v>
      </c>
      <c r="BK14" s="228">
        <v>-213</v>
      </c>
      <c r="BL14" s="229">
        <v>-0.52180000000000004</v>
      </c>
      <c r="BM14" s="228">
        <v>83</v>
      </c>
      <c r="BN14" s="228">
        <v>188</v>
      </c>
      <c r="BO14" s="228">
        <v>-105</v>
      </c>
      <c r="BP14" s="229">
        <v>-0.56000000000000005</v>
      </c>
      <c r="BQ14" s="228">
        <v>393</v>
      </c>
      <c r="BR14" s="228">
        <v>858</v>
      </c>
      <c r="BS14" s="228">
        <v>-465</v>
      </c>
      <c r="BT14" s="229">
        <v>-0.54149999999999998</v>
      </c>
      <c r="BU14" s="230">
        <v>604793</v>
      </c>
      <c r="BV14" s="230">
        <v>826806</v>
      </c>
      <c r="BW14" s="230">
        <v>-222013</v>
      </c>
      <c r="BX14" s="229">
        <v>-0.26850000000000002</v>
      </c>
      <c r="BY14" s="228">
        <v>994</v>
      </c>
      <c r="BZ14" s="228">
        <v>982</v>
      </c>
      <c r="CA14" s="228">
        <v>12</v>
      </c>
      <c r="CB14" s="229">
        <v>1.21E-2</v>
      </c>
      <c r="CC14" s="228">
        <v>980</v>
      </c>
      <c r="CD14" s="228">
        <v>969</v>
      </c>
      <c r="CE14" s="228">
        <v>11</v>
      </c>
      <c r="CF14" s="229">
        <v>1.1599999999999999E-2</v>
      </c>
      <c r="CG14" s="228">
        <v>12</v>
      </c>
      <c r="CH14" s="228">
        <v>11</v>
      </c>
      <c r="CI14" s="228">
        <v>0</v>
      </c>
      <c r="CJ14" s="229">
        <v>3.2099999999999997E-2</v>
      </c>
      <c r="CK14" s="228">
        <v>2</v>
      </c>
      <c r="CL14" s="228">
        <v>2</v>
      </c>
      <c r="CM14" s="228">
        <v>0</v>
      </c>
      <c r="CN14" s="229">
        <v>0.1739</v>
      </c>
      <c r="CO14" s="228">
        <v>180</v>
      </c>
      <c r="CP14" s="228">
        <v>178</v>
      </c>
      <c r="CQ14" s="228">
        <v>2</v>
      </c>
      <c r="CR14" s="229">
        <v>1.0500000000000001E-2</v>
      </c>
      <c r="CS14" s="228">
        <v>142</v>
      </c>
      <c r="CT14" s="228">
        <v>135</v>
      </c>
      <c r="CU14" s="228">
        <v>7</v>
      </c>
      <c r="CV14" s="229">
        <v>5.5300000000000002E-2</v>
      </c>
      <c r="CW14" s="230">
        <v>1316</v>
      </c>
      <c r="CX14" s="230">
        <v>1295</v>
      </c>
      <c r="CY14" s="228">
        <v>21</v>
      </c>
      <c r="CZ14" s="229">
        <v>1.6400000000000001E-2</v>
      </c>
      <c r="DA14" s="228">
        <v>33.51</v>
      </c>
      <c r="DB14" s="228">
        <v>33.97</v>
      </c>
      <c r="DC14" s="228">
        <v>-0.46</v>
      </c>
      <c r="DD14" s="228">
        <v>-0.46</v>
      </c>
      <c r="DE14" s="228">
        <v>35.56</v>
      </c>
      <c r="DF14" s="228">
        <v>35.64</v>
      </c>
      <c r="DG14" s="228">
        <v>-2.0499999999999998</v>
      </c>
      <c r="DH14" s="228">
        <v>-0.08</v>
      </c>
      <c r="DI14" s="228">
        <v>32.619999999999997</v>
      </c>
      <c r="DJ14" s="228">
        <v>32.700000000000003</v>
      </c>
      <c r="DK14" s="228">
        <v>-0.08</v>
      </c>
      <c r="DL14" s="228">
        <v>-0.08</v>
      </c>
      <c r="DM14" s="228">
        <v>35.619999999999997</v>
      </c>
      <c r="DN14" s="228">
        <v>36.71</v>
      </c>
      <c r="DO14" s="228">
        <v>-1.0900000000000001</v>
      </c>
      <c r="DP14" s="228">
        <v>-1.0900000000000001</v>
      </c>
      <c r="DQ14" s="228">
        <v>0.79</v>
      </c>
      <c r="DR14" s="228">
        <v>0.76</v>
      </c>
      <c r="DS14" s="228">
        <v>0.03</v>
      </c>
      <c r="DT14" s="229">
        <v>3.95E-2</v>
      </c>
      <c r="DU14" s="231">
        <v>2000</v>
      </c>
      <c r="DV14" s="231">
        <v>2000</v>
      </c>
      <c r="DW14" s="228">
        <v>0.42</v>
      </c>
      <c r="DX14" s="228">
        <v>0.46</v>
      </c>
      <c r="DY14" s="228">
        <v>-0.04</v>
      </c>
      <c r="DZ14" s="229">
        <v>-8.6999999999999994E-2</v>
      </c>
      <c r="EA14" s="229">
        <v>1.3599999999999999E-2</v>
      </c>
      <c r="EB14" s="230">
        <v>62650</v>
      </c>
      <c r="EC14" s="229">
        <v>5.1000000000000004E-3</v>
      </c>
      <c r="ED14" s="229">
        <v>1.3599999999999999E-2</v>
      </c>
      <c r="EE14" s="228">
        <v>10.88</v>
      </c>
      <c r="EF14" s="229">
        <v>5.3E-3</v>
      </c>
      <c r="EG14" s="230">
        <v>323005</v>
      </c>
      <c r="EH14" s="230">
        <v>430533</v>
      </c>
      <c r="EI14" s="229">
        <v>-0.24979999999999999</v>
      </c>
      <c r="EJ14" s="229">
        <v>0.53410000000000002</v>
      </c>
      <c r="EK14" s="228">
        <v>205.48</v>
      </c>
      <c r="EL14" s="228">
        <v>80.17</v>
      </c>
      <c r="EM14" s="228">
        <v>115.6</v>
      </c>
      <c r="EN14" s="228">
        <v>21.7</v>
      </c>
      <c r="EO14" s="228">
        <v>401.26</v>
      </c>
      <c r="EP14" s="228">
        <v>861.45</v>
      </c>
      <c r="EQ14" s="228">
        <v>-460.19</v>
      </c>
      <c r="ER14" s="229">
        <v>-0.53420000000000001</v>
      </c>
      <c r="ES14" s="228">
        <v>181.45</v>
      </c>
      <c r="ET14" s="228">
        <v>133.76</v>
      </c>
      <c r="EU14" s="228">
        <v>993.59</v>
      </c>
      <c r="EV14" s="231">
        <v>29871221</v>
      </c>
      <c r="EW14" s="231">
        <v>1308.8</v>
      </c>
      <c r="EX14" s="231">
        <v>1288.6400000000001</v>
      </c>
      <c r="EY14" s="228">
        <v>20.16</v>
      </c>
      <c r="EZ14" s="229">
        <v>1.5599999999999999E-2</v>
      </c>
      <c r="FA14" s="229">
        <v>0.215</v>
      </c>
      <c r="FB14" s="227" t="s">
        <v>566</v>
      </c>
      <c r="FC14">
        <f t="shared" si="0"/>
        <v>14</v>
      </c>
    </row>
    <row r="15" spans="1:159" ht="17.25" thickBot="1" x14ac:dyDescent="0.3">
      <c r="A15" s="226">
        <v>46121</v>
      </c>
      <c r="B15" s="227" t="s">
        <v>170</v>
      </c>
      <c r="C15" s="227" t="s">
        <v>165</v>
      </c>
      <c r="D15" s="228">
        <v>125</v>
      </c>
      <c r="E15" s="228">
        <v>19</v>
      </c>
      <c r="F15" s="231">
        <v>7495</v>
      </c>
      <c r="G15" s="231">
        <v>7417</v>
      </c>
      <c r="H15" s="228">
        <v>78</v>
      </c>
      <c r="I15" s="229">
        <v>1.0500000000000001E-2</v>
      </c>
      <c r="J15" s="231">
        <v>7481.5</v>
      </c>
      <c r="K15" s="231">
        <v>7401.5</v>
      </c>
      <c r="L15" s="228">
        <v>80</v>
      </c>
      <c r="M15" s="229">
        <v>1.0800000000000001E-2</v>
      </c>
      <c r="N15" s="231">
        <v>7495</v>
      </c>
      <c r="O15" s="231">
        <v>7417</v>
      </c>
      <c r="P15" s="228">
        <v>78</v>
      </c>
      <c r="Q15" s="229">
        <v>1.0500000000000001E-2</v>
      </c>
      <c r="R15" s="231">
        <v>7533.5</v>
      </c>
      <c r="S15" s="231">
        <v>7466</v>
      </c>
      <c r="T15" s="228">
        <v>67.5</v>
      </c>
      <c r="U15" s="229">
        <v>8.9999999999999993E-3</v>
      </c>
      <c r="V15" s="231">
        <v>7610</v>
      </c>
      <c r="W15" s="231">
        <v>7513</v>
      </c>
      <c r="X15" s="228">
        <v>97</v>
      </c>
      <c r="Y15" s="229">
        <v>1.29E-2</v>
      </c>
      <c r="Z15" s="228">
        <v>13.5</v>
      </c>
      <c r="AA15" s="228">
        <v>15.5</v>
      </c>
      <c r="AB15" s="228">
        <v>-2</v>
      </c>
      <c r="AC15" s="229">
        <v>1.8E-3</v>
      </c>
      <c r="AD15" s="228">
        <v>13.5</v>
      </c>
      <c r="AE15" s="228">
        <v>15.5</v>
      </c>
      <c r="AF15" s="228">
        <v>-2</v>
      </c>
      <c r="AG15" s="229">
        <v>1.8E-3</v>
      </c>
      <c r="AH15" s="228">
        <v>52</v>
      </c>
      <c r="AI15" s="228">
        <v>64.5</v>
      </c>
      <c r="AJ15" s="228">
        <v>-12.5</v>
      </c>
      <c r="AK15" s="229">
        <v>7.0000000000000001E-3</v>
      </c>
      <c r="AL15" s="228">
        <v>128.5</v>
      </c>
      <c r="AM15" s="228">
        <v>111.5</v>
      </c>
      <c r="AN15" s="228">
        <v>17</v>
      </c>
      <c r="AO15" s="229">
        <v>1.72E-2</v>
      </c>
      <c r="AP15" s="231">
        <v>7490.16</v>
      </c>
      <c r="AQ15" s="231">
        <v>7533.75</v>
      </c>
      <c r="AR15" s="228">
        <v>0</v>
      </c>
      <c r="AS15" s="228">
        <v>310</v>
      </c>
      <c r="AT15" s="228">
        <v>457</v>
      </c>
      <c r="AU15" s="228">
        <v>-147</v>
      </c>
      <c r="AV15" s="229">
        <v>-0.32229999999999998</v>
      </c>
      <c r="AW15" s="228">
        <v>292</v>
      </c>
      <c r="AX15" s="228">
        <v>433</v>
      </c>
      <c r="AY15" s="228">
        <v>-141</v>
      </c>
      <c r="AZ15" s="229">
        <v>-0.32529999999999998</v>
      </c>
      <c r="BA15" s="228">
        <v>17</v>
      </c>
      <c r="BB15" s="228">
        <v>23</v>
      </c>
      <c r="BC15" s="228">
        <v>-6</v>
      </c>
      <c r="BD15" s="229">
        <v>-0.27350000000000002</v>
      </c>
      <c r="BE15" s="228">
        <v>1</v>
      </c>
      <c r="BF15" s="228">
        <v>1</v>
      </c>
      <c r="BG15" s="228">
        <v>0</v>
      </c>
      <c r="BH15" s="229">
        <v>0</v>
      </c>
      <c r="BI15" s="230">
        <v>1513</v>
      </c>
      <c r="BJ15" s="230">
        <v>1358</v>
      </c>
      <c r="BK15" s="228">
        <v>155</v>
      </c>
      <c r="BL15" s="229">
        <v>0.1138</v>
      </c>
      <c r="BM15" s="228">
        <v>516</v>
      </c>
      <c r="BN15" s="228">
        <v>611</v>
      </c>
      <c r="BO15" s="228">
        <v>-95</v>
      </c>
      <c r="BP15" s="229">
        <v>-0.1555</v>
      </c>
      <c r="BQ15" s="230">
        <v>2339</v>
      </c>
      <c r="BR15" s="230">
        <v>2426</v>
      </c>
      <c r="BS15" s="228">
        <v>-88</v>
      </c>
      <c r="BT15" s="229">
        <v>-3.61E-2</v>
      </c>
      <c r="BU15" s="230">
        <v>422370</v>
      </c>
      <c r="BV15" s="230">
        <v>394465</v>
      </c>
      <c r="BW15" s="230">
        <v>27905</v>
      </c>
      <c r="BX15" s="229">
        <v>7.0699999999999999E-2</v>
      </c>
      <c r="BY15" s="230">
        <v>1884</v>
      </c>
      <c r="BZ15" s="230">
        <v>1899</v>
      </c>
      <c r="CA15" s="228">
        <v>-15</v>
      </c>
      <c r="CB15" s="229">
        <v>-7.7999999999999996E-3</v>
      </c>
      <c r="CC15" s="230">
        <v>1822</v>
      </c>
      <c r="CD15" s="230">
        <v>1838</v>
      </c>
      <c r="CE15" s="228">
        <v>-16</v>
      </c>
      <c r="CF15" s="229">
        <v>-8.8000000000000005E-3</v>
      </c>
      <c r="CG15" s="228">
        <v>54</v>
      </c>
      <c r="CH15" s="228">
        <v>53</v>
      </c>
      <c r="CI15" s="228">
        <v>2</v>
      </c>
      <c r="CJ15" s="229">
        <v>3.0099999999999998E-2</v>
      </c>
      <c r="CK15" s="228">
        <v>8</v>
      </c>
      <c r="CL15" s="228">
        <v>8</v>
      </c>
      <c r="CM15" s="228">
        <v>0</v>
      </c>
      <c r="CN15" s="229">
        <v>-4.4900000000000002E-2</v>
      </c>
      <c r="CO15" s="228">
        <v>523</v>
      </c>
      <c r="CP15" s="228">
        <v>509</v>
      </c>
      <c r="CQ15" s="228">
        <v>13</v>
      </c>
      <c r="CR15" s="229">
        <v>2.6499999999999999E-2</v>
      </c>
      <c r="CS15" s="228">
        <v>480</v>
      </c>
      <c r="CT15" s="228">
        <v>481</v>
      </c>
      <c r="CU15" s="228">
        <v>-1</v>
      </c>
      <c r="CV15" s="229">
        <v>-1.6000000000000001E-3</v>
      </c>
      <c r="CW15" s="230">
        <v>2888</v>
      </c>
      <c r="CX15" s="230">
        <v>2890</v>
      </c>
      <c r="CY15" s="228">
        <v>-2</v>
      </c>
      <c r="CZ15" s="229">
        <v>-6.9999999999999999E-4</v>
      </c>
      <c r="DA15" s="228">
        <v>25.37</v>
      </c>
      <c r="DB15" s="228">
        <v>25.91</v>
      </c>
      <c r="DC15" s="228">
        <v>-0.54</v>
      </c>
      <c r="DD15" s="228">
        <v>-0.54</v>
      </c>
      <c r="DE15" s="228">
        <v>25.26</v>
      </c>
      <c r="DF15" s="228">
        <v>25.28</v>
      </c>
      <c r="DG15" s="228">
        <v>0.11</v>
      </c>
      <c r="DH15" s="228">
        <v>-0.02</v>
      </c>
      <c r="DI15" s="228">
        <v>25.02</v>
      </c>
      <c r="DJ15" s="228">
        <v>25.68</v>
      </c>
      <c r="DK15" s="228">
        <v>-0.66</v>
      </c>
      <c r="DL15" s="228">
        <v>-0.66</v>
      </c>
      <c r="DM15" s="228">
        <v>26.38</v>
      </c>
      <c r="DN15" s="228">
        <v>26.4</v>
      </c>
      <c r="DO15" s="228">
        <v>-0.02</v>
      </c>
      <c r="DP15" s="228">
        <v>-0.02</v>
      </c>
      <c r="DQ15" s="228">
        <v>0.92</v>
      </c>
      <c r="DR15" s="228">
        <v>0.94</v>
      </c>
      <c r="DS15" s="228">
        <v>-0.02</v>
      </c>
      <c r="DT15" s="229">
        <v>-2.1299999999999999E-2</v>
      </c>
      <c r="DU15" s="231">
        <v>7500</v>
      </c>
      <c r="DV15" s="231">
        <v>6700</v>
      </c>
      <c r="DW15" s="228">
        <v>0.34</v>
      </c>
      <c r="DX15" s="228">
        <v>0.45</v>
      </c>
      <c r="DY15" s="228">
        <v>-0.11</v>
      </c>
      <c r="DZ15" s="229">
        <v>-0.24440000000000001</v>
      </c>
      <c r="EA15" s="229">
        <v>3.3099999999999997E-2</v>
      </c>
      <c r="EB15" s="230">
        <v>81625</v>
      </c>
      <c r="EC15" s="229">
        <v>5.1000000000000004E-3</v>
      </c>
      <c r="ED15" s="229">
        <v>3.3099999999999997E-2</v>
      </c>
      <c r="EE15" s="228">
        <v>43.59</v>
      </c>
      <c r="EF15" s="229">
        <v>5.7999999999999996E-3</v>
      </c>
      <c r="EG15" s="230">
        <v>236672</v>
      </c>
      <c r="EH15" s="230">
        <v>209772</v>
      </c>
      <c r="EI15" s="229">
        <v>0.12820000000000001</v>
      </c>
      <c r="EJ15" s="229">
        <v>0.56030000000000002</v>
      </c>
      <c r="EK15" s="231">
        <v>1564.14</v>
      </c>
      <c r="EL15" s="228">
        <v>504.51</v>
      </c>
      <c r="EM15" s="228">
        <v>309.45</v>
      </c>
      <c r="EN15" s="228">
        <v>31.12</v>
      </c>
      <c r="EO15" s="231">
        <v>2378.09</v>
      </c>
      <c r="EP15" s="231">
        <v>2445.16</v>
      </c>
      <c r="EQ15" s="228">
        <v>-67.069999999999993</v>
      </c>
      <c r="ER15" s="229">
        <v>-2.7400000000000001E-2</v>
      </c>
      <c r="ES15" s="228">
        <v>534.4</v>
      </c>
      <c r="ET15" s="228">
        <v>449.39</v>
      </c>
      <c r="EU15" s="231">
        <v>1884.83</v>
      </c>
      <c r="EV15" s="231">
        <v>15524629</v>
      </c>
      <c r="EW15" s="231">
        <v>2868.63</v>
      </c>
      <c r="EX15" s="231">
        <v>2850.42</v>
      </c>
      <c r="EY15" s="228">
        <v>18.21</v>
      </c>
      <c r="EZ15" s="229">
        <v>6.4000000000000003E-3</v>
      </c>
      <c r="FA15" s="229">
        <v>0.2482</v>
      </c>
      <c r="FB15" s="227" t="s">
        <v>694</v>
      </c>
      <c r="FC15">
        <f t="shared" si="0"/>
        <v>62</v>
      </c>
    </row>
    <row r="16" spans="1:159" ht="17.25" thickBot="1" x14ac:dyDescent="0.3">
      <c r="A16" s="226">
        <v>46121</v>
      </c>
      <c r="B16" s="227" t="s">
        <v>162</v>
      </c>
      <c r="C16" s="227" t="s">
        <v>167</v>
      </c>
      <c r="D16" s="228">
        <v>5000</v>
      </c>
      <c r="E16" s="228">
        <v>19</v>
      </c>
      <c r="F16" s="228">
        <v>170.54</v>
      </c>
      <c r="G16" s="228">
        <v>172.62</v>
      </c>
      <c r="H16" s="228">
        <v>-2.08</v>
      </c>
      <c r="I16" s="229">
        <v>-1.2E-2</v>
      </c>
      <c r="J16" s="228">
        <v>170.38</v>
      </c>
      <c r="K16" s="228">
        <v>172.48</v>
      </c>
      <c r="L16" s="228">
        <v>-2.1</v>
      </c>
      <c r="M16" s="229">
        <v>-1.2200000000000001E-2</v>
      </c>
      <c r="N16" s="228">
        <v>170.54</v>
      </c>
      <c r="O16" s="228">
        <v>172.62</v>
      </c>
      <c r="P16" s="228">
        <v>-2.08</v>
      </c>
      <c r="Q16" s="229">
        <v>-1.2E-2</v>
      </c>
      <c r="R16" s="228">
        <v>169.68</v>
      </c>
      <c r="S16" s="228">
        <v>171.56</v>
      </c>
      <c r="T16" s="228">
        <v>-1.88</v>
      </c>
      <c r="U16" s="229">
        <v>-1.0999999999999999E-2</v>
      </c>
      <c r="V16" s="228">
        <v>169.65</v>
      </c>
      <c r="W16" s="228">
        <v>171.24</v>
      </c>
      <c r="X16" s="228">
        <v>-1.59</v>
      </c>
      <c r="Y16" s="229">
        <v>-9.2999999999999992E-3</v>
      </c>
      <c r="Z16" s="228">
        <v>0.16</v>
      </c>
      <c r="AA16" s="228">
        <v>0.14000000000000001</v>
      </c>
      <c r="AB16" s="228">
        <v>0.02</v>
      </c>
      <c r="AC16" s="229">
        <v>8.9999999999999998E-4</v>
      </c>
      <c r="AD16" s="228">
        <v>0.16</v>
      </c>
      <c r="AE16" s="228">
        <v>0.14000000000000001</v>
      </c>
      <c r="AF16" s="228">
        <v>0.02</v>
      </c>
      <c r="AG16" s="229">
        <v>8.9999999999999998E-4</v>
      </c>
      <c r="AH16" s="228">
        <v>-0.7</v>
      </c>
      <c r="AI16" s="228">
        <v>-0.92</v>
      </c>
      <c r="AJ16" s="228">
        <v>0.22</v>
      </c>
      <c r="AK16" s="229">
        <v>-4.1000000000000003E-3</v>
      </c>
      <c r="AL16" s="228">
        <v>-0.73</v>
      </c>
      <c r="AM16" s="228">
        <v>-1.24</v>
      </c>
      <c r="AN16" s="228">
        <v>0.51</v>
      </c>
      <c r="AO16" s="229">
        <v>-4.3E-3</v>
      </c>
      <c r="AP16" s="228">
        <v>170.99</v>
      </c>
      <c r="AQ16" s="228">
        <v>170.1</v>
      </c>
      <c r="AR16" s="228">
        <v>0</v>
      </c>
      <c r="AS16" s="228">
        <v>657</v>
      </c>
      <c r="AT16" s="230">
        <v>1543</v>
      </c>
      <c r="AU16" s="228">
        <v>-885</v>
      </c>
      <c r="AV16" s="229">
        <v>-0.57399999999999995</v>
      </c>
      <c r="AW16" s="228">
        <v>587</v>
      </c>
      <c r="AX16" s="230">
        <v>1443</v>
      </c>
      <c r="AY16" s="228">
        <v>-856</v>
      </c>
      <c r="AZ16" s="229">
        <v>-0.59319999999999995</v>
      </c>
      <c r="BA16" s="228">
        <v>55</v>
      </c>
      <c r="BB16" s="228">
        <v>84</v>
      </c>
      <c r="BC16" s="228">
        <v>-28</v>
      </c>
      <c r="BD16" s="229">
        <v>-0.34010000000000001</v>
      </c>
      <c r="BE16" s="228">
        <v>15</v>
      </c>
      <c r="BF16" s="228">
        <v>16</v>
      </c>
      <c r="BG16" s="228">
        <v>-1</v>
      </c>
      <c r="BH16" s="229">
        <v>-6.4199999999999993E-2</v>
      </c>
      <c r="BI16" s="230">
        <v>2244</v>
      </c>
      <c r="BJ16" s="230">
        <v>6037</v>
      </c>
      <c r="BK16" s="230">
        <v>-3793</v>
      </c>
      <c r="BL16" s="229">
        <v>-0.62829999999999997</v>
      </c>
      <c r="BM16" s="230">
        <v>1378</v>
      </c>
      <c r="BN16" s="230">
        <v>2650</v>
      </c>
      <c r="BO16" s="230">
        <v>-1271</v>
      </c>
      <c r="BP16" s="229">
        <v>-0.47989999999999999</v>
      </c>
      <c r="BQ16" s="230">
        <v>4279</v>
      </c>
      <c r="BR16" s="230">
        <v>10229</v>
      </c>
      <c r="BS16" s="230">
        <v>-5950</v>
      </c>
      <c r="BT16" s="229">
        <v>-0.58169999999999999</v>
      </c>
      <c r="BU16" s="230">
        <v>35702820</v>
      </c>
      <c r="BV16" s="230">
        <v>108146873</v>
      </c>
      <c r="BW16" s="230">
        <v>-72444053</v>
      </c>
      <c r="BX16" s="229">
        <v>-0.66990000000000005</v>
      </c>
      <c r="BY16" s="230">
        <v>2532</v>
      </c>
      <c r="BZ16" s="230">
        <v>2492</v>
      </c>
      <c r="CA16" s="228">
        <v>40</v>
      </c>
      <c r="CB16" s="229">
        <v>1.6E-2</v>
      </c>
      <c r="CC16" s="230">
        <v>2410</v>
      </c>
      <c r="CD16" s="230">
        <v>2388</v>
      </c>
      <c r="CE16" s="228">
        <v>22</v>
      </c>
      <c r="CF16" s="229">
        <v>8.9999999999999993E-3</v>
      </c>
      <c r="CG16" s="228">
        <v>105</v>
      </c>
      <c r="CH16" s="228">
        <v>95</v>
      </c>
      <c r="CI16" s="228">
        <v>10</v>
      </c>
      <c r="CJ16" s="229">
        <v>0.1022</v>
      </c>
      <c r="CK16" s="228">
        <v>17</v>
      </c>
      <c r="CL16" s="228">
        <v>9</v>
      </c>
      <c r="CM16" s="228">
        <v>9</v>
      </c>
      <c r="CN16" s="229">
        <v>1.01</v>
      </c>
      <c r="CO16" s="230">
        <v>1431</v>
      </c>
      <c r="CP16" s="230">
        <v>1370</v>
      </c>
      <c r="CQ16" s="228">
        <v>61</v>
      </c>
      <c r="CR16" s="229">
        <v>4.4499999999999998E-2</v>
      </c>
      <c r="CS16" s="228">
        <v>994</v>
      </c>
      <c r="CT16" s="230">
        <v>1036</v>
      </c>
      <c r="CU16" s="228">
        <v>-43</v>
      </c>
      <c r="CV16" s="229">
        <v>-4.1399999999999999E-2</v>
      </c>
      <c r="CW16" s="230">
        <v>4956</v>
      </c>
      <c r="CX16" s="230">
        <v>4898</v>
      </c>
      <c r="CY16" s="228">
        <v>58</v>
      </c>
      <c r="CZ16" s="229">
        <v>1.18E-2</v>
      </c>
      <c r="DA16" s="228">
        <v>41.96</v>
      </c>
      <c r="DB16" s="228">
        <v>42.22</v>
      </c>
      <c r="DC16" s="228">
        <v>-0.26</v>
      </c>
      <c r="DD16" s="228">
        <v>-0.26</v>
      </c>
      <c r="DE16" s="228">
        <v>42.35</v>
      </c>
      <c r="DF16" s="228">
        <v>42.42</v>
      </c>
      <c r="DG16" s="228">
        <v>-0.39</v>
      </c>
      <c r="DH16" s="228">
        <v>-7.0000000000000007E-2</v>
      </c>
      <c r="DI16" s="228">
        <v>41.39</v>
      </c>
      <c r="DJ16" s="228">
        <v>40.85</v>
      </c>
      <c r="DK16" s="228">
        <v>0.54</v>
      </c>
      <c r="DL16" s="228">
        <v>0.54</v>
      </c>
      <c r="DM16" s="228">
        <v>42.89</v>
      </c>
      <c r="DN16" s="228">
        <v>45.37</v>
      </c>
      <c r="DO16" s="228">
        <v>-2.48</v>
      </c>
      <c r="DP16" s="228">
        <v>-2.48</v>
      </c>
      <c r="DQ16" s="228">
        <v>0.69</v>
      </c>
      <c r="DR16" s="228">
        <v>0.76</v>
      </c>
      <c r="DS16" s="228">
        <v>-7.0000000000000007E-2</v>
      </c>
      <c r="DT16" s="229">
        <v>-9.2100000000000001E-2</v>
      </c>
      <c r="DU16" s="228">
        <v>180</v>
      </c>
      <c r="DV16" s="228">
        <v>160</v>
      </c>
      <c r="DW16" s="228">
        <v>0.61</v>
      </c>
      <c r="DX16" s="228">
        <v>0.44</v>
      </c>
      <c r="DY16" s="228">
        <v>0.17</v>
      </c>
      <c r="DZ16" s="229">
        <v>0.38640000000000002</v>
      </c>
      <c r="EA16" s="229">
        <v>4.82E-2</v>
      </c>
      <c r="EB16" s="230">
        <v>6080000</v>
      </c>
      <c r="EC16" s="229">
        <v>-5.0000000000000001E-3</v>
      </c>
      <c r="ED16" s="229">
        <v>4.82E-2</v>
      </c>
      <c r="EE16" s="228">
        <v>-0.89</v>
      </c>
      <c r="EF16" s="229">
        <v>-5.1999999999999998E-3</v>
      </c>
      <c r="EG16" s="230">
        <v>13690483</v>
      </c>
      <c r="EH16" s="230">
        <v>39328698</v>
      </c>
      <c r="EI16" s="229">
        <v>-0.65190000000000003</v>
      </c>
      <c r="EJ16" s="229">
        <v>0.38350000000000001</v>
      </c>
      <c r="EK16" s="231">
        <v>2436.89</v>
      </c>
      <c r="EL16" s="231">
        <v>1342.13</v>
      </c>
      <c r="EM16" s="228">
        <v>658.6</v>
      </c>
      <c r="EN16" s="228">
        <v>98.45</v>
      </c>
      <c r="EO16" s="231">
        <v>4437.62</v>
      </c>
      <c r="EP16" s="231">
        <v>10492.85</v>
      </c>
      <c r="EQ16" s="231">
        <v>-6055.24</v>
      </c>
      <c r="ER16" s="229">
        <v>-0.57709999999999995</v>
      </c>
      <c r="ES16" s="231">
        <v>1501.17</v>
      </c>
      <c r="ET16" s="228">
        <v>955.97</v>
      </c>
      <c r="EU16" s="231">
        <v>2531.2199999999998</v>
      </c>
      <c r="EV16" s="231">
        <v>423779104</v>
      </c>
      <c r="EW16" s="231">
        <v>4988.3599999999997</v>
      </c>
      <c r="EX16" s="231">
        <v>4946.32</v>
      </c>
      <c r="EY16" s="228">
        <v>42.04</v>
      </c>
      <c r="EZ16" s="229">
        <v>8.5000000000000006E-3</v>
      </c>
      <c r="FA16" s="229">
        <v>0.68569999999999998</v>
      </c>
      <c r="FB16" s="227" t="s">
        <v>566</v>
      </c>
      <c r="FC16">
        <f t="shared" si="0"/>
        <v>122</v>
      </c>
    </row>
    <row r="17" spans="1:159" ht="17.25" thickBot="1" x14ac:dyDescent="0.3">
      <c r="A17" s="226">
        <v>46121</v>
      </c>
      <c r="B17" s="227" t="s">
        <v>168</v>
      </c>
      <c r="C17" s="227" t="s">
        <v>169</v>
      </c>
      <c r="D17" s="228">
        <v>250</v>
      </c>
      <c r="E17" s="228">
        <v>19</v>
      </c>
      <c r="F17" s="231">
        <v>2274.9</v>
      </c>
      <c r="G17" s="231">
        <v>2293.1</v>
      </c>
      <c r="H17" s="228">
        <v>-18.2</v>
      </c>
      <c r="I17" s="229">
        <v>-7.9000000000000008E-3</v>
      </c>
      <c r="J17" s="231">
        <v>2269.6</v>
      </c>
      <c r="K17" s="231">
        <v>2282.4</v>
      </c>
      <c r="L17" s="228">
        <v>-12.8</v>
      </c>
      <c r="M17" s="229">
        <v>-5.5999999999999999E-3</v>
      </c>
      <c r="N17" s="231">
        <v>2274.9</v>
      </c>
      <c r="O17" s="231">
        <v>2293.1</v>
      </c>
      <c r="P17" s="228">
        <v>-18.2</v>
      </c>
      <c r="Q17" s="229">
        <v>-7.9000000000000008E-3</v>
      </c>
      <c r="R17" s="231">
        <v>2288.5</v>
      </c>
      <c r="S17" s="231">
        <v>2304.1</v>
      </c>
      <c r="T17" s="228">
        <v>-15.6</v>
      </c>
      <c r="U17" s="229">
        <v>-6.7999999999999996E-3</v>
      </c>
      <c r="V17" s="231">
        <v>2281.1999999999998</v>
      </c>
      <c r="W17" s="231">
        <v>2298.4</v>
      </c>
      <c r="X17" s="228">
        <v>-17.2</v>
      </c>
      <c r="Y17" s="229">
        <v>-7.4999999999999997E-3</v>
      </c>
      <c r="Z17" s="228">
        <v>5.3</v>
      </c>
      <c r="AA17" s="228">
        <v>10.7</v>
      </c>
      <c r="AB17" s="228">
        <v>-5.4</v>
      </c>
      <c r="AC17" s="229">
        <v>2.3E-3</v>
      </c>
      <c r="AD17" s="228">
        <v>5.3</v>
      </c>
      <c r="AE17" s="228">
        <v>10.7</v>
      </c>
      <c r="AF17" s="228">
        <v>-5.4</v>
      </c>
      <c r="AG17" s="229">
        <v>2.3E-3</v>
      </c>
      <c r="AH17" s="228">
        <v>18.899999999999999</v>
      </c>
      <c r="AI17" s="228">
        <v>21.7</v>
      </c>
      <c r="AJ17" s="228">
        <v>-2.8</v>
      </c>
      <c r="AK17" s="229">
        <v>8.3000000000000001E-3</v>
      </c>
      <c r="AL17" s="228">
        <v>11.6</v>
      </c>
      <c r="AM17" s="228">
        <v>16</v>
      </c>
      <c r="AN17" s="228">
        <v>-4.4000000000000004</v>
      </c>
      <c r="AO17" s="229">
        <v>5.1000000000000004E-3</v>
      </c>
      <c r="AP17" s="231">
        <v>2275.08</v>
      </c>
      <c r="AQ17" s="231">
        <v>2293.73</v>
      </c>
      <c r="AR17" s="228">
        <v>0</v>
      </c>
      <c r="AS17" s="228">
        <v>297</v>
      </c>
      <c r="AT17" s="228">
        <v>689</v>
      </c>
      <c r="AU17" s="228">
        <v>-392</v>
      </c>
      <c r="AV17" s="229">
        <v>-0.56920000000000004</v>
      </c>
      <c r="AW17" s="228">
        <v>271</v>
      </c>
      <c r="AX17" s="228">
        <v>630</v>
      </c>
      <c r="AY17" s="228">
        <v>-359</v>
      </c>
      <c r="AZ17" s="229">
        <v>-0.57010000000000005</v>
      </c>
      <c r="BA17" s="228">
        <v>24</v>
      </c>
      <c r="BB17" s="228">
        <v>51</v>
      </c>
      <c r="BC17" s="228">
        <v>-27</v>
      </c>
      <c r="BD17" s="229">
        <v>-0.53310000000000002</v>
      </c>
      <c r="BE17" s="228">
        <v>2</v>
      </c>
      <c r="BF17" s="228">
        <v>8</v>
      </c>
      <c r="BG17" s="228">
        <v>-6</v>
      </c>
      <c r="BH17" s="229">
        <v>-0.72599999999999998</v>
      </c>
      <c r="BI17" s="228">
        <v>786</v>
      </c>
      <c r="BJ17" s="230">
        <v>2341</v>
      </c>
      <c r="BK17" s="230">
        <v>-1555</v>
      </c>
      <c r="BL17" s="229">
        <v>-0.66420000000000001</v>
      </c>
      <c r="BM17" s="228">
        <v>502</v>
      </c>
      <c r="BN17" s="230">
        <v>1243</v>
      </c>
      <c r="BO17" s="228">
        <v>-741</v>
      </c>
      <c r="BP17" s="229">
        <v>-0.59599999999999997</v>
      </c>
      <c r="BQ17" s="230">
        <v>1586</v>
      </c>
      <c r="BR17" s="230">
        <v>4274</v>
      </c>
      <c r="BS17" s="230">
        <v>-2689</v>
      </c>
      <c r="BT17" s="229">
        <v>-0.629</v>
      </c>
      <c r="BU17" s="230">
        <v>2064163</v>
      </c>
      <c r="BV17" s="230">
        <v>3063795</v>
      </c>
      <c r="BW17" s="230">
        <v>-999632</v>
      </c>
      <c r="BX17" s="229">
        <v>-0.32629999999999998</v>
      </c>
      <c r="BY17" s="230">
        <v>3399</v>
      </c>
      <c r="BZ17" s="230">
        <v>3417</v>
      </c>
      <c r="CA17" s="228">
        <v>-17</v>
      </c>
      <c r="CB17" s="229">
        <v>-5.1000000000000004E-3</v>
      </c>
      <c r="CC17" s="230">
        <v>3137</v>
      </c>
      <c r="CD17" s="230">
        <v>3160</v>
      </c>
      <c r="CE17" s="228">
        <v>-23</v>
      </c>
      <c r="CF17" s="229">
        <v>-7.3000000000000001E-3</v>
      </c>
      <c r="CG17" s="228">
        <v>243</v>
      </c>
      <c r="CH17" s="228">
        <v>237</v>
      </c>
      <c r="CI17" s="228">
        <v>6</v>
      </c>
      <c r="CJ17" s="229">
        <v>2.4199999999999999E-2</v>
      </c>
      <c r="CK17" s="228">
        <v>20</v>
      </c>
      <c r="CL17" s="228">
        <v>20</v>
      </c>
      <c r="CM17" s="228">
        <v>0</v>
      </c>
      <c r="CN17" s="229">
        <v>2.8999999999999998E-3</v>
      </c>
      <c r="CO17" s="228">
        <v>772</v>
      </c>
      <c r="CP17" s="228">
        <v>736</v>
      </c>
      <c r="CQ17" s="228">
        <v>36</v>
      </c>
      <c r="CR17" s="229">
        <v>4.8500000000000001E-2</v>
      </c>
      <c r="CS17" s="228">
        <v>833</v>
      </c>
      <c r="CT17" s="228">
        <v>791</v>
      </c>
      <c r="CU17" s="228">
        <v>42</v>
      </c>
      <c r="CV17" s="229">
        <v>5.3699999999999998E-2</v>
      </c>
      <c r="CW17" s="230">
        <v>5005</v>
      </c>
      <c r="CX17" s="230">
        <v>4944</v>
      </c>
      <c r="CY17" s="228">
        <v>61</v>
      </c>
      <c r="CZ17" s="229">
        <v>1.23E-2</v>
      </c>
      <c r="DA17" s="228">
        <v>30.43</v>
      </c>
      <c r="DB17" s="228">
        <v>30.36</v>
      </c>
      <c r="DC17" s="228">
        <v>7.0000000000000007E-2</v>
      </c>
      <c r="DD17" s="228">
        <v>7.0000000000000007E-2</v>
      </c>
      <c r="DE17" s="228">
        <v>28.74</v>
      </c>
      <c r="DF17" s="228">
        <v>28.79</v>
      </c>
      <c r="DG17" s="228">
        <v>1.69</v>
      </c>
      <c r="DH17" s="228">
        <v>-0.05</v>
      </c>
      <c r="DI17" s="228">
        <v>29.44</v>
      </c>
      <c r="DJ17" s="228">
        <v>29.15</v>
      </c>
      <c r="DK17" s="228">
        <v>0.28999999999999998</v>
      </c>
      <c r="DL17" s="228">
        <v>0.28999999999999998</v>
      </c>
      <c r="DM17" s="228">
        <v>31.98</v>
      </c>
      <c r="DN17" s="228">
        <v>32.630000000000003</v>
      </c>
      <c r="DO17" s="228">
        <v>-0.65</v>
      </c>
      <c r="DP17" s="228">
        <v>-0.65</v>
      </c>
      <c r="DQ17" s="228">
        <v>1.08</v>
      </c>
      <c r="DR17" s="228">
        <v>1.07</v>
      </c>
      <c r="DS17" s="228">
        <v>0.01</v>
      </c>
      <c r="DT17" s="229">
        <v>9.2999999999999992E-3</v>
      </c>
      <c r="DU17" s="231">
        <v>2300</v>
      </c>
      <c r="DV17" s="231">
        <v>1900</v>
      </c>
      <c r="DW17" s="228">
        <v>0.64</v>
      </c>
      <c r="DX17" s="228">
        <v>0.53</v>
      </c>
      <c r="DY17" s="228">
        <v>0.11</v>
      </c>
      <c r="DZ17" s="229">
        <v>0.20749999999999999</v>
      </c>
      <c r="EA17" s="229">
        <v>7.7200000000000005E-2</v>
      </c>
      <c r="EB17" s="230">
        <v>1128500</v>
      </c>
      <c r="EC17" s="229">
        <v>6.0000000000000001E-3</v>
      </c>
      <c r="ED17" s="229">
        <v>7.7200000000000005E-2</v>
      </c>
      <c r="EE17" s="228">
        <v>18.649999999999999</v>
      </c>
      <c r="EF17" s="229">
        <v>8.2000000000000007E-3</v>
      </c>
      <c r="EG17" s="230">
        <v>1393795</v>
      </c>
      <c r="EH17" s="230">
        <v>1685382</v>
      </c>
      <c r="EI17" s="229">
        <v>-0.17299999999999999</v>
      </c>
      <c r="EJ17" s="229">
        <v>0.67520000000000002</v>
      </c>
      <c r="EK17" s="228">
        <v>825.31</v>
      </c>
      <c r="EL17" s="228">
        <v>491.98</v>
      </c>
      <c r="EM17" s="228">
        <v>297.16000000000003</v>
      </c>
      <c r="EN17" s="228">
        <v>77.72</v>
      </c>
      <c r="EO17" s="231">
        <v>1614.45</v>
      </c>
      <c r="EP17" s="231">
        <v>4351.01</v>
      </c>
      <c r="EQ17" s="231">
        <v>-2736.56</v>
      </c>
      <c r="ER17" s="229">
        <v>-0.62890000000000001</v>
      </c>
      <c r="ES17" s="228">
        <v>795.1</v>
      </c>
      <c r="ET17" s="228">
        <v>776.02</v>
      </c>
      <c r="EU17" s="231">
        <v>3400.95</v>
      </c>
      <c r="EV17" s="231">
        <v>62818628</v>
      </c>
      <c r="EW17" s="231">
        <v>4972.07</v>
      </c>
      <c r="EX17" s="231">
        <v>4937.59</v>
      </c>
      <c r="EY17" s="228">
        <v>34.479999999999997</v>
      </c>
      <c r="EZ17" s="229">
        <v>7.0000000000000001E-3</v>
      </c>
      <c r="FA17" s="229">
        <v>0.35020000000000001</v>
      </c>
      <c r="FB17" s="227" t="s">
        <v>567</v>
      </c>
      <c r="FC17">
        <f t="shared" si="0"/>
        <v>262</v>
      </c>
    </row>
    <row r="18" spans="1:159" ht="17.25" thickBot="1" x14ac:dyDescent="0.3">
      <c r="A18" s="226">
        <v>46121</v>
      </c>
      <c r="B18" s="227" t="s">
        <v>184</v>
      </c>
      <c r="C18" s="227" t="s">
        <v>503</v>
      </c>
      <c r="D18" s="228">
        <v>425</v>
      </c>
      <c r="E18" s="228">
        <v>19</v>
      </c>
      <c r="F18" s="231">
        <v>1557.8</v>
      </c>
      <c r="G18" s="231">
        <v>1529.3</v>
      </c>
      <c r="H18" s="228">
        <v>28.5</v>
      </c>
      <c r="I18" s="229">
        <v>1.8599999999999998E-2</v>
      </c>
      <c r="J18" s="231">
        <v>1563.7</v>
      </c>
      <c r="K18" s="231">
        <v>1525.5</v>
      </c>
      <c r="L18" s="228">
        <v>38.200000000000003</v>
      </c>
      <c r="M18" s="229">
        <v>2.5000000000000001E-2</v>
      </c>
      <c r="N18" s="231">
        <v>1557.8</v>
      </c>
      <c r="O18" s="231">
        <v>1529.3</v>
      </c>
      <c r="P18" s="228">
        <v>28.5</v>
      </c>
      <c r="Q18" s="229">
        <v>1.8599999999999998E-2</v>
      </c>
      <c r="R18" s="231">
        <v>1529.6</v>
      </c>
      <c r="S18" s="231">
        <v>1498.7</v>
      </c>
      <c r="T18" s="228">
        <v>30.9</v>
      </c>
      <c r="U18" s="229">
        <v>2.06E-2</v>
      </c>
      <c r="V18" s="231">
        <v>1519.8</v>
      </c>
      <c r="W18" s="231">
        <v>1484.5</v>
      </c>
      <c r="X18" s="228">
        <v>35.299999999999997</v>
      </c>
      <c r="Y18" s="229">
        <v>2.3800000000000002E-2</v>
      </c>
      <c r="Z18" s="228">
        <v>-5.9</v>
      </c>
      <c r="AA18" s="228">
        <v>3.8</v>
      </c>
      <c r="AB18" s="228">
        <v>-9.6999999999999993</v>
      </c>
      <c r="AC18" s="229">
        <v>-3.8E-3</v>
      </c>
      <c r="AD18" s="228">
        <v>-5.9</v>
      </c>
      <c r="AE18" s="228">
        <v>3.8</v>
      </c>
      <c r="AF18" s="228">
        <v>-9.6999999999999993</v>
      </c>
      <c r="AG18" s="229">
        <v>-3.8E-3</v>
      </c>
      <c r="AH18" s="228">
        <v>-34.1</v>
      </c>
      <c r="AI18" s="228">
        <v>-26.8</v>
      </c>
      <c r="AJ18" s="228">
        <v>-7.3</v>
      </c>
      <c r="AK18" s="229">
        <v>-2.18E-2</v>
      </c>
      <c r="AL18" s="228">
        <v>-43.9</v>
      </c>
      <c r="AM18" s="228">
        <v>-41</v>
      </c>
      <c r="AN18" s="228">
        <v>-2.9</v>
      </c>
      <c r="AO18" s="229">
        <v>-2.81E-2</v>
      </c>
      <c r="AP18" s="231">
        <v>1548.24</v>
      </c>
      <c r="AQ18" s="231">
        <v>1524.19</v>
      </c>
      <c r="AR18" s="228">
        <v>0</v>
      </c>
      <c r="AS18" s="228">
        <v>269</v>
      </c>
      <c r="AT18" s="228">
        <v>424</v>
      </c>
      <c r="AU18" s="228">
        <v>-155</v>
      </c>
      <c r="AV18" s="229">
        <v>-0.36580000000000001</v>
      </c>
      <c r="AW18" s="228">
        <v>225</v>
      </c>
      <c r="AX18" s="228">
        <v>372</v>
      </c>
      <c r="AY18" s="228">
        <v>-147</v>
      </c>
      <c r="AZ18" s="229">
        <v>-0.39460000000000001</v>
      </c>
      <c r="BA18" s="228">
        <v>42</v>
      </c>
      <c r="BB18" s="228">
        <v>49</v>
      </c>
      <c r="BC18" s="228">
        <v>-7</v>
      </c>
      <c r="BD18" s="229">
        <v>-0.1454</v>
      </c>
      <c r="BE18" s="228">
        <v>1</v>
      </c>
      <c r="BF18" s="228">
        <v>2</v>
      </c>
      <c r="BG18" s="228">
        <v>-1</v>
      </c>
      <c r="BH18" s="229">
        <v>-0.4194</v>
      </c>
      <c r="BI18" s="228">
        <v>417</v>
      </c>
      <c r="BJ18" s="228">
        <v>690</v>
      </c>
      <c r="BK18" s="228">
        <v>-273</v>
      </c>
      <c r="BL18" s="229">
        <v>-0.3962</v>
      </c>
      <c r="BM18" s="228">
        <v>327</v>
      </c>
      <c r="BN18" s="228">
        <v>469</v>
      </c>
      <c r="BO18" s="228">
        <v>-143</v>
      </c>
      <c r="BP18" s="229">
        <v>-0.30409999999999998</v>
      </c>
      <c r="BQ18" s="230">
        <v>1012</v>
      </c>
      <c r="BR18" s="230">
        <v>1583</v>
      </c>
      <c r="BS18" s="228">
        <v>-571</v>
      </c>
      <c r="BT18" s="229">
        <v>-0.36070000000000002</v>
      </c>
      <c r="BU18" s="230">
        <v>934085</v>
      </c>
      <c r="BV18" s="230">
        <v>762011</v>
      </c>
      <c r="BW18" s="230">
        <v>172074</v>
      </c>
      <c r="BX18" s="229">
        <v>0.2258</v>
      </c>
      <c r="BY18" s="230">
        <v>1418</v>
      </c>
      <c r="BZ18" s="230">
        <v>1375</v>
      </c>
      <c r="CA18" s="228">
        <v>43</v>
      </c>
      <c r="CB18" s="229">
        <v>3.1300000000000001E-2</v>
      </c>
      <c r="CC18" s="230">
        <v>1310</v>
      </c>
      <c r="CD18" s="230">
        <v>1286</v>
      </c>
      <c r="CE18" s="228">
        <v>23</v>
      </c>
      <c r="CF18" s="229">
        <v>1.8200000000000001E-2</v>
      </c>
      <c r="CG18" s="228">
        <v>106</v>
      </c>
      <c r="CH18" s="228">
        <v>86</v>
      </c>
      <c r="CI18" s="228">
        <v>20</v>
      </c>
      <c r="CJ18" s="229">
        <v>0.23</v>
      </c>
      <c r="CK18" s="228">
        <v>2</v>
      </c>
      <c r="CL18" s="228">
        <v>2</v>
      </c>
      <c r="CM18" s="228">
        <v>0</v>
      </c>
      <c r="CN18" s="229">
        <v>-5.4100000000000002E-2</v>
      </c>
      <c r="CO18" s="228">
        <v>293</v>
      </c>
      <c r="CP18" s="228">
        <v>314</v>
      </c>
      <c r="CQ18" s="228">
        <v>-21</v>
      </c>
      <c r="CR18" s="229">
        <v>-6.54E-2</v>
      </c>
      <c r="CS18" s="228">
        <v>197</v>
      </c>
      <c r="CT18" s="228">
        <v>209</v>
      </c>
      <c r="CU18" s="228">
        <v>-12</v>
      </c>
      <c r="CV18" s="229">
        <v>-5.8900000000000001E-2</v>
      </c>
      <c r="CW18" s="230">
        <v>1908</v>
      </c>
      <c r="CX18" s="230">
        <v>1897</v>
      </c>
      <c r="CY18" s="228">
        <v>10</v>
      </c>
      <c r="CZ18" s="229">
        <v>5.4000000000000003E-3</v>
      </c>
      <c r="DA18" s="228">
        <v>35.19</v>
      </c>
      <c r="DB18" s="228">
        <v>36.67</v>
      </c>
      <c r="DC18" s="228">
        <v>-1.48</v>
      </c>
      <c r="DD18" s="228">
        <v>-1.48</v>
      </c>
      <c r="DE18" s="228">
        <v>35.659999999999997</v>
      </c>
      <c r="DF18" s="228">
        <v>35.6</v>
      </c>
      <c r="DG18" s="228">
        <v>-0.47</v>
      </c>
      <c r="DH18" s="228">
        <v>0.06</v>
      </c>
      <c r="DI18" s="228">
        <v>33.57</v>
      </c>
      <c r="DJ18" s="228">
        <v>35.46</v>
      </c>
      <c r="DK18" s="228">
        <v>-1.89</v>
      </c>
      <c r="DL18" s="228">
        <v>-1.89</v>
      </c>
      <c r="DM18" s="228">
        <v>37.25</v>
      </c>
      <c r="DN18" s="228">
        <v>38.46</v>
      </c>
      <c r="DO18" s="228">
        <v>-1.21</v>
      </c>
      <c r="DP18" s="228">
        <v>-1.21</v>
      </c>
      <c r="DQ18" s="228">
        <v>0.67</v>
      </c>
      <c r="DR18" s="228">
        <v>0.67</v>
      </c>
      <c r="DS18" s="228">
        <v>0</v>
      </c>
      <c r="DT18" s="229">
        <v>0</v>
      </c>
      <c r="DU18" s="231">
        <v>1700</v>
      </c>
      <c r="DV18" s="231">
        <v>1500</v>
      </c>
      <c r="DW18" s="228">
        <v>0.78</v>
      </c>
      <c r="DX18" s="228">
        <v>0.68</v>
      </c>
      <c r="DY18" s="228">
        <v>0.1</v>
      </c>
      <c r="DZ18" s="229">
        <v>0.14710000000000001</v>
      </c>
      <c r="EA18" s="229">
        <v>7.6300000000000007E-2</v>
      </c>
      <c r="EB18" s="230">
        <v>568225</v>
      </c>
      <c r="EC18" s="229">
        <v>-1.8100000000000002E-2</v>
      </c>
      <c r="ED18" s="229">
        <v>7.6300000000000007E-2</v>
      </c>
      <c r="EE18" s="228">
        <v>-24.05</v>
      </c>
      <c r="EF18" s="229">
        <v>-1.55E-2</v>
      </c>
      <c r="EG18" s="230">
        <v>437271</v>
      </c>
      <c r="EH18" s="230">
        <v>292115</v>
      </c>
      <c r="EI18" s="229">
        <v>0.49690000000000001</v>
      </c>
      <c r="EJ18" s="229">
        <v>0.46810000000000002</v>
      </c>
      <c r="EK18" s="228">
        <v>438.01</v>
      </c>
      <c r="EL18" s="228">
        <v>316.73</v>
      </c>
      <c r="EM18" s="228">
        <v>266.27</v>
      </c>
      <c r="EN18" s="228">
        <v>54.11</v>
      </c>
      <c r="EO18" s="231">
        <v>1021.02</v>
      </c>
      <c r="EP18" s="231">
        <v>1604.43</v>
      </c>
      <c r="EQ18" s="228">
        <v>-583.41</v>
      </c>
      <c r="ER18" s="229">
        <v>-0.36359999999999998</v>
      </c>
      <c r="ES18" s="228">
        <v>310.14999999999998</v>
      </c>
      <c r="ET18" s="228">
        <v>187.27</v>
      </c>
      <c r="EU18" s="231">
        <v>1415.84</v>
      </c>
      <c r="EV18" s="231">
        <v>17577908</v>
      </c>
      <c r="EW18" s="231">
        <v>1913.26</v>
      </c>
      <c r="EX18" s="231">
        <v>1877.4</v>
      </c>
      <c r="EY18" s="228">
        <v>35.86</v>
      </c>
      <c r="EZ18" s="229">
        <v>1.9099999999999999E-2</v>
      </c>
      <c r="FA18" s="229">
        <v>0.6966</v>
      </c>
      <c r="FB18" s="227" t="s">
        <v>555</v>
      </c>
      <c r="FC18">
        <f t="shared" si="0"/>
        <v>108</v>
      </c>
    </row>
    <row r="19" spans="1:159" ht="17.25" thickBot="1" x14ac:dyDescent="0.3">
      <c r="A19" s="226">
        <v>46121</v>
      </c>
      <c r="B19" s="227" t="s">
        <v>172</v>
      </c>
      <c r="C19" s="227" t="s">
        <v>495</v>
      </c>
      <c r="D19" s="228">
        <v>1000</v>
      </c>
      <c r="E19" s="228">
        <v>19</v>
      </c>
      <c r="F19" s="228">
        <v>964.55</v>
      </c>
      <c r="G19" s="228">
        <v>969.8</v>
      </c>
      <c r="H19" s="228">
        <v>-5.25</v>
      </c>
      <c r="I19" s="229">
        <v>-5.4000000000000003E-3</v>
      </c>
      <c r="J19" s="228">
        <v>963</v>
      </c>
      <c r="K19" s="228">
        <v>967.8</v>
      </c>
      <c r="L19" s="228">
        <v>-4.8</v>
      </c>
      <c r="M19" s="229">
        <v>-5.0000000000000001E-3</v>
      </c>
      <c r="N19" s="228">
        <v>964.55</v>
      </c>
      <c r="O19" s="228">
        <v>969.8</v>
      </c>
      <c r="P19" s="228">
        <v>-5.25</v>
      </c>
      <c r="Q19" s="229">
        <v>-5.4000000000000003E-3</v>
      </c>
      <c r="R19" s="228">
        <v>969.85</v>
      </c>
      <c r="S19" s="228">
        <v>974.5</v>
      </c>
      <c r="T19" s="228">
        <v>-4.6500000000000004</v>
      </c>
      <c r="U19" s="229">
        <v>-4.7999999999999996E-3</v>
      </c>
      <c r="V19" s="228">
        <v>976.25</v>
      </c>
      <c r="W19" s="228">
        <v>980.8</v>
      </c>
      <c r="X19" s="228">
        <v>-4.55</v>
      </c>
      <c r="Y19" s="229">
        <v>-4.5999999999999999E-3</v>
      </c>
      <c r="Z19" s="228">
        <v>1.55</v>
      </c>
      <c r="AA19" s="228">
        <v>2</v>
      </c>
      <c r="AB19" s="228">
        <v>-0.45</v>
      </c>
      <c r="AC19" s="229">
        <v>1.6000000000000001E-3</v>
      </c>
      <c r="AD19" s="228">
        <v>1.55</v>
      </c>
      <c r="AE19" s="228">
        <v>2</v>
      </c>
      <c r="AF19" s="228">
        <v>-0.45</v>
      </c>
      <c r="AG19" s="229">
        <v>1.6000000000000001E-3</v>
      </c>
      <c r="AH19" s="228">
        <v>6.85</v>
      </c>
      <c r="AI19" s="228">
        <v>6.7</v>
      </c>
      <c r="AJ19" s="228">
        <v>0.15</v>
      </c>
      <c r="AK19" s="229">
        <v>7.1000000000000004E-3</v>
      </c>
      <c r="AL19" s="228">
        <v>13.25</v>
      </c>
      <c r="AM19" s="228">
        <v>13</v>
      </c>
      <c r="AN19" s="228">
        <v>0.25</v>
      </c>
      <c r="AO19" s="229">
        <v>1.38E-2</v>
      </c>
      <c r="AP19" s="228">
        <v>967.47</v>
      </c>
      <c r="AQ19" s="228">
        <v>971.81</v>
      </c>
      <c r="AR19" s="228">
        <v>0</v>
      </c>
      <c r="AS19" s="228">
        <v>311</v>
      </c>
      <c r="AT19" s="228">
        <v>805</v>
      </c>
      <c r="AU19" s="228">
        <v>-494</v>
      </c>
      <c r="AV19" s="229">
        <v>-0.61380000000000001</v>
      </c>
      <c r="AW19" s="228">
        <v>273</v>
      </c>
      <c r="AX19" s="228">
        <v>763</v>
      </c>
      <c r="AY19" s="228">
        <v>-490</v>
      </c>
      <c r="AZ19" s="229">
        <v>-0.64170000000000005</v>
      </c>
      <c r="BA19" s="228">
        <v>25</v>
      </c>
      <c r="BB19" s="228">
        <v>36</v>
      </c>
      <c r="BC19" s="228">
        <v>-11</v>
      </c>
      <c r="BD19" s="229">
        <v>-0.29570000000000002</v>
      </c>
      <c r="BE19" s="228">
        <v>12</v>
      </c>
      <c r="BF19" s="228">
        <v>6</v>
      </c>
      <c r="BG19" s="228">
        <v>6</v>
      </c>
      <c r="BH19" s="229">
        <v>1.1000000000000001</v>
      </c>
      <c r="BI19" s="228">
        <v>564</v>
      </c>
      <c r="BJ19" s="230">
        <v>1095</v>
      </c>
      <c r="BK19" s="228">
        <v>-532</v>
      </c>
      <c r="BL19" s="229">
        <v>-0.48530000000000001</v>
      </c>
      <c r="BM19" s="228">
        <v>427</v>
      </c>
      <c r="BN19" s="228">
        <v>997</v>
      </c>
      <c r="BO19" s="228">
        <v>-570</v>
      </c>
      <c r="BP19" s="229">
        <v>-0.57130000000000003</v>
      </c>
      <c r="BQ19" s="230">
        <v>1302</v>
      </c>
      <c r="BR19" s="230">
        <v>2898</v>
      </c>
      <c r="BS19" s="230">
        <v>-1595</v>
      </c>
      <c r="BT19" s="229">
        <v>-0.55059999999999998</v>
      </c>
      <c r="BU19" s="230">
        <v>1641518</v>
      </c>
      <c r="BV19" s="230">
        <v>5045227</v>
      </c>
      <c r="BW19" s="230">
        <v>-3403709</v>
      </c>
      <c r="BX19" s="229">
        <v>-0.67459999999999998</v>
      </c>
      <c r="BY19" s="230">
        <v>2442</v>
      </c>
      <c r="BZ19" s="230">
        <v>2427</v>
      </c>
      <c r="CA19" s="228">
        <v>16</v>
      </c>
      <c r="CB19" s="229">
        <v>6.4999999999999997E-3</v>
      </c>
      <c r="CC19" s="230">
        <v>2376</v>
      </c>
      <c r="CD19" s="230">
        <v>2370</v>
      </c>
      <c r="CE19" s="228">
        <v>5</v>
      </c>
      <c r="CF19" s="229">
        <v>2.3E-3</v>
      </c>
      <c r="CG19" s="228">
        <v>55</v>
      </c>
      <c r="CH19" s="228">
        <v>47</v>
      </c>
      <c r="CI19" s="228">
        <v>8</v>
      </c>
      <c r="CJ19" s="229">
        <v>0.1739</v>
      </c>
      <c r="CK19" s="228">
        <v>12</v>
      </c>
      <c r="CL19" s="228">
        <v>10</v>
      </c>
      <c r="CM19" s="228">
        <v>2</v>
      </c>
      <c r="CN19" s="229">
        <v>0.23</v>
      </c>
      <c r="CO19" s="228">
        <v>516</v>
      </c>
      <c r="CP19" s="228">
        <v>507</v>
      </c>
      <c r="CQ19" s="228">
        <v>9</v>
      </c>
      <c r="CR19" s="229">
        <v>1.7100000000000001E-2</v>
      </c>
      <c r="CS19" s="228">
        <v>461</v>
      </c>
      <c r="CT19" s="228">
        <v>423</v>
      </c>
      <c r="CU19" s="228">
        <v>38</v>
      </c>
      <c r="CV19" s="229">
        <v>8.9899999999999994E-2</v>
      </c>
      <c r="CW19" s="230">
        <v>3419</v>
      </c>
      <c r="CX19" s="230">
        <v>3357</v>
      </c>
      <c r="CY19" s="228">
        <v>62</v>
      </c>
      <c r="CZ19" s="229">
        <v>1.8599999999999998E-2</v>
      </c>
      <c r="DA19" s="228">
        <v>37.869999999999997</v>
      </c>
      <c r="DB19" s="228">
        <v>37.869999999999997</v>
      </c>
      <c r="DC19" s="228">
        <v>0</v>
      </c>
      <c r="DD19" s="228">
        <v>0</v>
      </c>
      <c r="DE19" s="228">
        <v>38.68</v>
      </c>
      <c r="DF19" s="228">
        <v>38.770000000000003</v>
      </c>
      <c r="DG19" s="228">
        <v>-0.81</v>
      </c>
      <c r="DH19" s="228">
        <v>-0.09</v>
      </c>
      <c r="DI19" s="228">
        <v>35.869999999999997</v>
      </c>
      <c r="DJ19" s="228">
        <v>35.65</v>
      </c>
      <c r="DK19" s="228">
        <v>0.22</v>
      </c>
      <c r="DL19" s="228">
        <v>0.22</v>
      </c>
      <c r="DM19" s="228">
        <v>40.51</v>
      </c>
      <c r="DN19" s="228">
        <v>40.299999999999997</v>
      </c>
      <c r="DO19" s="228">
        <v>0.21</v>
      </c>
      <c r="DP19" s="228">
        <v>0.21</v>
      </c>
      <c r="DQ19" s="228">
        <v>0.89</v>
      </c>
      <c r="DR19" s="228">
        <v>0.83</v>
      </c>
      <c r="DS19" s="228">
        <v>0.06</v>
      </c>
      <c r="DT19" s="229">
        <v>7.2300000000000003E-2</v>
      </c>
      <c r="DU19" s="228">
        <v>900</v>
      </c>
      <c r="DV19" s="228">
        <v>900</v>
      </c>
      <c r="DW19" s="228">
        <v>0.76</v>
      </c>
      <c r="DX19" s="228">
        <v>0.91</v>
      </c>
      <c r="DY19" s="228">
        <v>-0.15</v>
      </c>
      <c r="DZ19" s="229">
        <v>-0.1648</v>
      </c>
      <c r="EA19" s="229">
        <v>2.7199999999999998E-2</v>
      </c>
      <c r="EB19" s="230">
        <v>583000</v>
      </c>
      <c r="EC19" s="229">
        <v>5.4999999999999997E-3</v>
      </c>
      <c r="ED19" s="229">
        <v>2.7199999999999998E-2</v>
      </c>
      <c r="EE19" s="228">
        <v>4.34</v>
      </c>
      <c r="EF19" s="229">
        <v>4.4999999999999997E-3</v>
      </c>
      <c r="EG19" s="230">
        <v>743324</v>
      </c>
      <c r="EH19" s="230">
        <v>2585554</v>
      </c>
      <c r="EI19" s="229">
        <v>-0.71250000000000002</v>
      </c>
      <c r="EJ19" s="229">
        <v>0.45279999999999998</v>
      </c>
      <c r="EK19" s="228">
        <v>595.25</v>
      </c>
      <c r="EL19" s="228">
        <v>414.99</v>
      </c>
      <c r="EM19" s="228">
        <v>312.06</v>
      </c>
      <c r="EN19" s="228">
        <v>51.41</v>
      </c>
      <c r="EO19" s="231">
        <v>1322.3</v>
      </c>
      <c r="EP19" s="231">
        <v>2885.12</v>
      </c>
      <c r="EQ19" s="231">
        <v>-1562.81</v>
      </c>
      <c r="ER19" s="229">
        <v>-0.54169999999999996</v>
      </c>
      <c r="ES19" s="228">
        <v>506.35</v>
      </c>
      <c r="ET19" s="228">
        <v>422.75</v>
      </c>
      <c r="EU19" s="231">
        <v>2442.88</v>
      </c>
      <c r="EV19" s="231">
        <v>86532345</v>
      </c>
      <c r="EW19" s="231">
        <v>3371.98</v>
      </c>
      <c r="EX19" s="231">
        <v>3319.57</v>
      </c>
      <c r="EY19" s="228">
        <v>52.41</v>
      </c>
      <c r="EZ19" s="229">
        <v>1.5800000000000002E-2</v>
      </c>
      <c r="FA19" s="229">
        <v>0.40960000000000002</v>
      </c>
      <c r="FB19" s="227" t="s">
        <v>566</v>
      </c>
      <c r="FC19">
        <f t="shared" si="0"/>
        <v>66</v>
      </c>
    </row>
    <row r="20" spans="1:159" ht="17.25" thickBot="1" x14ac:dyDescent="0.3">
      <c r="A20" s="226">
        <v>46121</v>
      </c>
      <c r="B20" s="227" t="s">
        <v>170</v>
      </c>
      <c r="C20" s="227" t="s">
        <v>171</v>
      </c>
      <c r="D20" s="228">
        <v>550</v>
      </c>
      <c r="E20" s="228">
        <v>19</v>
      </c>
      <c r="F20" s="231">
        <v>1345.8</v>
      </c>
      <c r="G20" s="231">
        <v>1342.2</v>
      </c>
      <c r="H20" s="228">
        <v>3.6</v>
      </c>
      <c r="I20" s="229">
        <v>2.7000000000000001E-3</v>
      </c>
      <c r="J20" s="231">
        <v>1340.4</v>
      </c>
      <c r="K20" s="231">
        <v>1335.7</v>
      </c>
      <c r="L20" s="228">
        <v>4.7</v>
      </c>
      <c r="M20" s="229">
        <v>3.5000000000000001E-3</v>
      </c>
      <c r="N20" s="231">
        <v>1345.8</v>
      </c>
      <c r="O20" s="231">
        <v>1342.2</v>
      </c>
      <c r="P20" s="228">
        <v>3.6</v>
      </c>
      <c r="Q20" s="229">
        <v>2.7000000000000001E-3</v>
      </c>
      <c r="R20" s="231">
        <v>1347.9</v>
      </c>
      <c r="S20" s="231">
        <v>1345.5</v>
      </c>
      <c r="T20" s="228">
        <v>2.4</v>
      </c>
      <c r="U20" s="229">
        <v>1.8E-3</v>
      </c>
      <c r="V20" s="231">
        <v>1349</v>
      </c>
      <c r="W20" s="231">
        <v>1353</v>
      </c>
      <c r="X20" s="228">
        <v>-4</v>
      </c>
      <c r="Y20" s="229">
        <v>-3.0000000000000001E-3</v>
      </c>
      <c r="Z20" s="228">
        <v>5.4</v>
      </c>
      <c r="AA20" s="228">
        <v>6.5</v>
      </c>
      <c r="AB20" s="228">
        <v>-1.1000000000000001</v>
      </c>
      <c r="AC20" s="229">
        <v>4.0000000000000001E-3</v>
      </c>
      <c r="AD20" s="228">
        <v>5.4</v>
      </c>
      <c r="AE20" s="228">
        <v>6.5</v>
      </c>
      <c r="AF20" s="228">
        <v>-1.1000000000000001</v>
      </c>
      <c r="AG20" s="229">
        <v>4.0000000000000001E-3</v>
      </c>
      <c r="AH20" s="228">
        <v>7.5</v>
      </c>
      <c r="AI20" s="228">
        <v>9.8000000000000007</v>
      </c>
      <c r="AJ20" s="228">
        <v>-2.2999999999999998</v>
      </c>
      <c r="AK20" s="229">
        <v>5.5999999999999999E-3</v>
      </c>
      <c r="AL20" s="228">
        <v>8.6</v>
      </c>
      <c r="AM20" s="228">
        <v>17.3</v>
      </c>
      <c r="AN20" s="228">
        <v>-8.6999999999999993</v>
      </c>
      <c r="AO20" s="229">
        <v>6.4000000000000003E-3</v>
      </c>
      <c r="AP20" s="231">
        <v>1339.59</v>
      </c>
      <c r="AQ20" s="231">
        <v>1340.56</v>
      </c>
      <c r="AR20" s="228">
        <v>0</v>
      </c>
      <c r="AS20" s="228">
        <v>121</v>
      </c>
      <c r="AT20" s="228">
        <v>313</v>
      </c>
      <c r="AU20" s="228">
        <v>-192</v>
      </c>
      <c r="AV20" s="229">
        <v>-0.61329999999999996</v>
      </c>
      <c r="AW20" s="228">
        <v>114</v>
      </c>
      <c r="AX20" s="228">
        <v>296</v>
      </c>
      <c r="AY20" s="228">
        <v>-182</v>
      </c>
      <c r="AZ20" s="229">
        <v>-0.61360000000000003</v>
      </c>
      <c r="BA20" s="228">
        <v>6</v>
      </c>
      <c r="BB20" s="228">
        <v>16</v>
      </c>
      <c r="BC20" s="228">
        <v>-10</v>
      </c>
      <c r="BD20" s="229">
        <v>-0.61009999999999998</v>
      </c>
      <c r="BE20" s="228">
        <v>0</v>
      </c>
      <c r="BF20" s="228">
        <v>0</v>
      </c>
      <c r="BG20" s="228">
        <v>0</v>
      </c>
      <c r="BH20" s="229">
        <v>-0.5</v>
      </c>
      <c r="BI20" s="228">
        <v>371</v>
      </c>
      <c r="BJ20" s="228">
        <v>678</v>
      </c>
      <c r="BK20" s="228">
        <v>-307</v>
      </c>
      <c r="BL20" s="229">
        <v>-0.45250000000000001</v>
      </c>
      <c r="BM20" s="228">
        <v>185</v>
      </c>
      <c r="BN20" s="228">
        <v>388</v>
      </c>
      <c r="BO20" s="228">
        <v>-203</v>
      </c>
      <c r="BP20" s="229">
        <v>-0.52380000000000004</v>
      </c>
      <c r="BQ20" s="228">
        <v>677</v>
      </c>
      <c r="BR20" s="230">
        <v>1379</v>
      </c>
      <c r="BS20" s="228">
        <v>-702</v>
      </c>
      <c r="BT20" s="229">
        <v>-0.50900000000000001</v>
      </c>
      <c r="BU20" s="230">
        <v>961318</v>
      </c>
      <c r="BV20" s="230">
        <v>3296597</v>
      </c>
      <c r="BW20" s="230">
        <v>-2335279</v>
      </c>
      <c r="BX20" s="229">
        <v>-0.70840000000000003</v>
      </c>
      <c r="BY20" s="230">
        <v>2876</v>
      </c>
      <c r="BZ20" s="230">
        <v>2868</v>
      </c>
      <c r="CA20" s="228">
        <v>8</v>
      </c>
      <c r="CB20" s="229">
        <v>2.7000000000000001E-3</v>
      </c>
      <c r="CC20" s="230">
        <v>2850</v>
      </c>
      <c r="CD20" s="230">
        <v>2844</v>
      </c>
      <c r="CE20" s="228">
        <v>5</v>
      </c>
      <c r="CF20" s="229">
        <v>1.9E-3</v>
      </c>
      <c r="CG20" s="228">
        <v>25</v>
      </c>
      <c r="CH20" s="228">
        <v>23</v>
      </c>
      <c r="CI20" s="228">
        <v>2</v>
      </c>
      <c r="CJ20" s="229">
        <v>8.9200000000000002E-2</v>
      </c>
      <c r="CK20" s="228">
        <v>1</v>
      </c>
      <c r="CL20" s="228">
        <v>1</v>
      </c>
      <c r="CM20" s="228">
        <v>0</v>
      </c>
      <c r="CN20" s="229">
        <v>0.1</v>
      </c>
      <c r="CO20" s="228">
        <v>478</v>
      </c>
      <c r="CP20" s="228">
        <v>501</v>
      </c>
      <c r="CQ20" s="228">
        <v>-22</v>
      </c>
      <c r="CR20" s="229">
        <v>-4.4400000000000002E-2</v>
      </c>
      <c r="CS20" s="228">
        <v>322</v>
      </c>
      <c r="CT20" s="228">
        <v>314</v>
      </c>
      <c r="CU20" s="228">
        <v>8</v>
      </c>
      <c r="CV20" s="229">
        <v>2.4500000000000001E-2</v>
      </c>
      <c r="CW20" s="230">
        <v>3675</v>
      </c>
      <c r="CX20" s="230">
        <v>3682</v>
      </c>
      <c r="CY20" s="228">
        <v>-7</v>
      </c>
      <c r="CZ20" s="229">
        <v>-1.9E-3</v>
      </c>
      <c r="DA20" s="228">
        <v>31.24</v>
      </c>
      <c r="DB20" s="228">
        <v>31.57</v>
      </c>
      <c r="DC20" s="228">
        <v>-0.33</v>
      </c>
      <c r="DD20" s="228">
        <v>-0.33</v>
      </c>
      <c r="DE20" s="228">
        <v>33.53</v>
      </c>
      <c r="DF20" s="228">
        <v>33.61</v>
      </c>
      <c r="DG20" s="228">
        <v>-2.29</v>
      </c>
      <c r="DH20" s="228">
        <v>-0.08</v>
      </c>
      <c r="DI20" s="228">
        <v>30.7</v>
      </c>
      <c r="DJ20" s="228">
        <v>31.14</v>
      </c>
      <c r="DK20" s="228">
        <v>-0.44</v>
      </c>
      <c r="DL20" s="228">
        <v>-0.44</v>
      </c>
      <c r="DM20" s="228">
        <v>32.31</v>
      </c>
      <c r="DN20" s="228">
        <v>32.32</v>
      </c>
      <c r="DO20" s="228">
        <v>-0.01</v>
      </c>
      <c r="DP20" s="228">
        <v>-0.01</v>
      </c>
      <c r="DQ20" s="228">
        <v>0.67</v>
      </c>
      <c r="DR20" s="228">
        <v>0.63</v>
      </c>
      <c r="DS20" s="228">
        <v>0.04</v>
      </c>
      <c r="DT20" s="229">
        <v>6.3500000000000001E-2</v>
      </c>
      <c r="DU20" s="231">
        <v>1300</v>
      </c>
      <c r="DV20" s="231">
        <v>1300</v>
      </c>
      <c r="DW20" s="228">
        <v>0.5</v>
      </c>
      <c r="DX20" s="228">
        <v>0.56999999999999995</v>
      </c>
      <c r="DY20" s="228">
        <v>-7.0000000000000007E-2</v>
      </c>
      <c r="DZ20" s="229">
        <v>-0.12280000000000001</v>
      </c>
      <c r="EA20" s="229">
        <v>9.1000000000000004E-3</v>
      </c>
      <c r="EB20" s="230">
        <v>178200</v>
      </c>
      <c r="EC20" s="229">
        <v>1.6000000000000001E-3</v>
      </c>
      <c r="ED20" s="229">
        <v>9.1000000000000004E-3</v>
      </c>
      <c r="EE20" s="228">
        <v>0.97</v>
      </c>
      <c r="EF20" s="229">
        <v>6.9999999999999999E-4</v>
      </c>
      <c r="EG20" s="230">
        <v>357566</v>
      </c>
      <c r="EH20" s="230">
        <v>1848841</v>
      </c>
      <c r="EI20" s="229">
        <v>-0.80659999999999998</v>
      </c>
      <c r="EJ20" s="229">
        <v>0.372</v>
      </c>
      <c r="EK20" s="228">
        <v>388.86</v>
      </c>
      <c r="EL20" s="228">
        <v>180.66</v>
      </c>
      <c r="EM20" s="228">
        <v>120.32</v>
      </c>
      <c r="EN20" s="228">
        <v>39.270000000000003</v>
      </c>
      <c r="EO20" s="228">
        <v>689.84</v>
      </c>
      <c r="EP20" s="231">
        <v>1399.16</v>
      </c>
      <c r="EQ20" s="228">
        <v>-709.32</v>
      </c>
      <c r="ER20" s="229">
        <v>-0.50700000000000001</v>
      </c>
      <c r="ES20" s="228">
        <v>482.75</v>
      </c>
      <c r="ET20" s="228">
        <v>298.85000000000002</v>
      </c>
      <c r="EU20" s="231">
        <v>2875.68</v>
      </c>
      <c r="EV20" s="231">
        <v>41977935</v>
      </c>
      <c r="EW20" s="231">
        <v>3657.28</v>
      </c>
      <c r="EX20" s="231">
        <v>3655.84</v>
      </c>
      <c r="EY20" s="228">
        <v>1.44</v>
      </c>
      <c r="EZ20" s="229">
        <v>4.0000000000000002E-4</v>
      </c>
      <c r="FA20" s="229">
        <v>0.65059999999999996</v>
      </c>
      <c r="FB20" s="227" t="s">
        <v>555</v>
      </c>
      <c r="FC20">
        <f t="shared" si="0"/>
        <v>26</v>
      </c>
    </row>
    <row r="21" spans="1:159" ht="17.25" thickBot="1" x14ac:dyDescent="0.3">
      <c r="A21" s="226">
        <v>46121</v>
      </c>
      <c r="B21" s="227" t="s">
        <v>172</v>
      </c>
      <c r="C21" s="227" t="s">
        <v>173</v>
      </c>
      <c r="D21" s="228">
        <v>625</v>
      </c>
      <c r="E21" s="228">
        <v>19</v>
      </c>
      <c r="F21" s="231">
        <v>1323.2</v>
      </c>
      <c r="G21" s="231">
        <v>1335.6</v>
      </c>
      <c r="H21" s="228">
        <v>-12.4</v>
      </c>
      <c r="I21" s="229">
        <v>-9.2999999999999992E-3</v>
      </c>
      <c r="J21" s="231">
        <v>1318.5</v>
      </c>
      <c r="K21" s="231">
        <v>1333</v>
      </c>
      <c r="L21" s="228">
        <v>-14.5</v>
      </c>
      <c r="M21" s="229">
        <v>-1.09E-2</v>
      </c>
      <c r="N21" s="231">
        <v>1323.2</v>
      </c>
      <c r="O21" s="231">
        <v>1335.6</v>
      </c>
      <c r="P21" s="228">
        <v>-12.4</v>
      </c>
      <c r="Q21" s="229">
        <v>-9.2999999999999992E-3</v>
      </c>
      <c r="R21" s="231">
        <v>1330.1</v>
      </c>
      <c r="S21" s="231">
        <v>1343.1</v>
      </c>
      <c r="T21" s="228">
        <v>-13</v>
      </c>
      <c r="U21" s="229">
        <v>-9.7000000000000003E-3</v>
      </c>
      <c r="V21" s="231">
        <v>1340.1</v>
      </c>
      <c r="W21" s="231">
        <v>1352.6</v>
      </c>
      <c r="X21" s="228">
        <v>-12.5</v>
      </c>
      <c r="Y21" s="229">
        <v>-9.1999999999999998E-3</v>
      </c>
      <c r="Z21" s="228">
        <v>4.7</v>
      </c>
      <c r="AA21" s="228">
        <v>2.6</v>
      </c>
      <c r="AB21" s="228">
        <v>2.1</v>
      </c>
      <c r="AC21" s="229">
        <v>3.5999999999999999E-3</v>
      </c>
      <c r="AD21" s="228">
        <v>4.7</v>
      </c>
      <c r="AE21" s="228">
        <v>2.6</v>
      </c>
      <c r="AF21" s="228">
        <v>2.1</v>
      </c>
      <c r="AG21" s="229">
        <v>3.5999999999999999E-3</v>
      </c>
      <c r="AH21" s="228">
        <v>11.6</v>
      </c>
      <c r="AI21" s="228">
        <v>10.1</v>
      </c>
      <c r="AJ21" s="228">
        <v>1.5</v>
      </c>
      <c r="AK21" s="229">
        <v>8.8000000000000005E-3</v>
      </c>
      <c r="AL21" s="228">
        <v>21.6</v>
      </c>
      <c r="AM21" s="228">
        <v>19.600000000000001</v>
      </c>
      <c r="AN21" s="228">
        <v>2</v>
      </c>
      <c r="AO21" s="229">
        <v>1.6400000000000001E-2</v>
      </c>
      <c r="AP21" s="231">
        <v>1327.15</v>
      </c>
      <c r="AQ21" s="231">
        <v>1334.41</v>
      </c>
      <c r="AR21" s="228">
        <v>0</v>
      </c>
      <c r="AS21" s="228">
        <v>962</v>
      </c>
      <c r="AT21" s="230">
        <v>1501</v>
      </c>
      <c r="AU21" s="228">
        <v>-540</v>
      </c>
      <c r="AV21" s="229">
        <v>-0.3594</v>
      </c>
      <c r="AW21" s="228">
        <v>888</v>
      </c>
      <c r="AX21" s="230">
        <v>1437</v>
      </c>
      <c r="AY21" s="228">
        <v>-549</v>
      </c>
      <c r="AZ21" s="229">
        <v>-0.38219999999999998</v>
      </c>
      <c r="BA21" s="228">
        <v>67</v>
      </c>
      <c r="BB21" s="228">
        <v>59</v>
      </c>
      <c r="BC21" s="228">
        <v>9</v>
      </c>
      <c r="BD21" s="229">
        <v>0.1449</v>
      </c>
      <c r="BE21" s="228">
        <v>6</v>
      </c>
      <c r="BF21" s="228">
        <v>5</v>
      </c>
      <c r="BG21" s="228">
        <v>1</v>
      </c>
      <c r="BH21" s="229">
        <v>0.2</v>
      </c>
      <c r="BI21" s="230">
        <v>1834</v>
      </c>
      <c r="BJ21" s="230">
        <v>2995</v>
      </c>
      <c r="BK21" s="230">
        <v>-1161</v>
      </c>
      <c r="BL21" s="229">
        <v>-0.38769999999999999</v>
      </c>
      <c r="BM21" s="230">
        <v>2203</v>
      </c>
      <c r="BN21" s="230">
        <v>3183</v>
      </c>
      <c r="BO21" s="228">
        <v>-980</v>
      </c>
      <c r="BP21" s="229">
        <v>-0.308</v>
      </c>
      <c r="BQ21" s="230">
        <v>4998</v>
      </c>
      <c r="BR21" s="230">
        <v>7680</v>
      </c>
      <c r="BS21" s="230">
        <v>-2681</v>
      </c>
      <c r="BT21" s="229">
        <v>-0.34910000000000002</v>
      </c>
      <c r="BU21" s="230">
        <v>7607827</v>
      </c>
      <c r="BV21" s="230">
        <v>14000280</v>
      </c>
      <c r="BW21" s="230">
        <v>-6392453</v>
      </c>
      <c r="BX21" s="229">
        <v>-0.45660000000000001</v>
      </c>
      <c r="BY21" s="230">
        <v>9116</v>
      </c>
      <c r="BZ21" s="230">
        <v>9118</v>
      </c>
      <c r="CA21" s="228">
        <v>-3</v>
      </c>
      <c r="CB21" s="229">
        <v>-2.9999999999999997E-4</v>
      </c>
      <c r="CC21" s="230">
        <v>7225</v>
      </c>
      <c r="CD21" s="230">
        <v>7260</v>
      </c>
      <c r="CE21" s="228">
        <v>-35</v>
      </c>
      <c r="CF21" s="229">
        <v>-4.8999999999999998E-3</v>
      </c>
      <c r="CG21" s="230">
        <v>1836</v>
      </c>
      <c r="CH21" s="230">
        <v>1807</v>
      </c>
      <c r="CI21" s="228">
        <v>29</v>
      </c>
      <c r="CJ21" s="229">
        <v>1.6199999999999999E-2</v>
      </c>
      <c r="CK21" s="228">
        <v>54</v>
      </c>
      <c r="CL21" s="228">
        <v>51</v>
      </c>
      <c r="CM21" s="228">
        <v>3</v>
      </c>
      <c r="CN21" s="229">
        <v>6.6500000000000004E-2</v>
      </c>
      <c r="CO21" s="230">
        <v>1630</v>
      </c>
      <c r="CP21" s="230">
        <v>1517</v>
      </c>
      <c r="CQ21" s="228">
        <v>113</v>
      </c>
      <c r="CR21" s="229">
        <v>7.4300000000000005E-2</v>
      </c>
      <c r="CS21" s="230">
        <v>1461</v>
      </c>
      <c r="CT21" s="230">
        <v>1521</v>
      </c>
      <c r="CU21" s="228">
        <v>-60</v>
      </c>
      <c r="CV21" s="229">
        <v>-3.9399999999999998E-2</v>
      </c>
      <c r="CW21" s="230">
        <v>12206</v>
      </c>
      <c r="CX21" s="230">
        <v>12156</v>
      </c>
      <c r="CY21" s="228">
        <v>50</v>
      </c>
      <c r="CZ21" s="229">
        <v>4.1000000000000003E-3</v>
      </c>
      <c r="DA21" s="228">
        <v>32.619999999999997</v>
      </c>
      <c r="DB21" s="228">
        <v>31.65</v>
      </c>
      <c r="DC21" s="228">
        <v>0.97</v>
      </c>
      <c r="DD21" s="228">
        <v>0.97</v>
      </c>
      <c r="DE21" s="228">
        <v>30.24</v>
      </c>
      <c r="DF21" s="228">
        <v>30.28</v>
      </c>
      <c r="DG21" s="228">
        <v>2.38</v>
      </c>
      <c r="DH21" s="228">
        <v>-0.04</v>
      </c>
      <c r="DI21" s="228">
        <v>30.77</v>
      </c>
      <c r="DJ21" s="228">
        <v>28.98</v>
      </c>
      <c r="DK21" s="228">
        <v>1.79</v>
      </c>
      <c r="DL21" s="228">
        <v>1.79</v>
      </c>
      <c r="DM21" s="228">
        <v>34.159999999999997</v>
      </c>
      <c r="DN21" s="228">
        <v>34.159999999999997</v>
      </c>
      <c r="DO21" s="228">
        <v>0</v>
      </c>
      <c r="DP21" s="228">
        <v>0</v>
      </c>
      <c r="DQ21" s="228">
        <v>0.9</v>
      </c>
      <c r="DR21" s="228">
        <v>1</v>
      </c>
      <c r="DS21" s="228">
        <v>-0.1</v>
      </c>
      <c r="DT21" s="229">
        <v>-0.1</v>
      </c>
      <c r="DU21" s="231">
        <v>1400</v>
      </c>
      <c r="DV21" s="231">
        <v>1300</v>
      </c>
      <c r="DW21" s="228">
        <v>1.2</v>
      </c>
      <c r="DX21" s="228">
        <v>1.06</v>
      </c>
      <c r="DY21" s="228">
        <v>0.14000000000000001</v>
      </c>
      <c r="DZ21" s="229">
        <v>0.1321</v>
      </c>
      <c r="EA21" s="229">
        <v>0.2074</v>
      </c>
      <c r="EB21" s="230">
        <v>14040000</v>
      </c>
      <c r="EC21" s="229">
        <v>5.1999999999999998E-3</v>
      </c>
      <c r="ED21" s="229">
        <v>0.2074</v>
      </c>
      <c r="EE21" s="228">
        <v>7.26</v>
      </c>
      <c r="EF21" s="229">
        <v>5.4999999999999997E-3</v>
      </c>
      <c r="EG21" s="230">
        <v>2762799</v>
      </c>
      <c r="EH21" s="230">
        <v>9170675</v>
      </c>
      <c r="EI21" s="229">
        <v>-0.69869999999999999</v>
      </c>
      <c r="EJ21" s="229">
        <v>0.36320000000000002</v>
      </c>
      <c r="EK21" s="231">
        <v>1930.36</v>
      </c>
      <c r="EL21" s="231">
        <v>2120.9899999999998</v>
      </c>
      <c r="EM21" s="228">
        <v>964.95</v>
      </c>
      <c r="EN21" s="228">
        <v>167.3</v>
      </c>
      <c r="EO21" s="231">
        <v>5016.3</v>
      </c>
      <c r="EP21" s="231">
        <v>7668.14</v>
      </c>
      <c r="EQ21" s="231">
        <v>-2651.84</v>
      </c>
      <c r="ER21" s="229">
        <v>-0.3458</v>
      </c>
      <c r="ES21" s="231">
        <v>1609.74</v>
      </c>
      <c r="ET21" s="231">
        <v>1339.22</v>
      </c>
      <c r="EU21" s="231">
        <v>9125.7900000000009</v>
      </c>
      <c r="EV21" s="231">
        <v>331596880</v>
      </c>
      <c r="EW21" s="231">
        <v>12074.75</v>
      </c>
      <c r="EX21" s="231">
        <v>12084.18</v>
      </c>
      <c r="EY21" s="228">
        <v>-9.43</v>
      </c>
      <c r="EZ21" s="229">
        <v>-8.0000000000000004E-4</v>
      </c>
      <c r="FA21" s="229">
        <v>0.2782</v>
      </c>
      <c r="FB21" s="227" t="s">
        <v>567</v>
      </c>
      <c r="FC21">
        <f t="shared" si="0"/>
        <v>1891</v>
      </c>
    </row>
    <row r="22" spans="1:159" ht="17.25" thickBot="1" x14ac:dyDescent="0.3">
      <c r="A22" s="226">
        <v>46121</v>
      </c>
      <c r="B22" s="227" t="s">
        <v>162</v>
      </c>
      <c r="C22" s="227" t="s">
        <v>174</v>
      </c>
      <c r="D22" s="228">
        <v>75</v>
      </c>
      <c r="E22" s="228">
        <v>19</v>
      </c>
      <c r="F22" s="231">
        <v>9516.5</v>
      </c>
      <c r="G22" s="231">
        <v>9381</v>
      </c>
      <c r="H22" s="228">
        <v>135.5</v>
      </c>
      <c r="I22" s="229">
        <v>1.44E-2</v>
      </c>
      <c r="J22" s="231">
        <v>9517</v>
      </c>
      <c r="K22" s="231">
        <v>9366</v>
      </c>
      <c r="L22" s="228">
        <v>151</v>
      </c>
      <c r="M22" s="229">
        <v>1.61E-2</v>
      </c>
      <c r="N22" s="231">
        <v>9516.5</v>
      </c>
      <c r="O22" s="231">
        <v>9381</v>
      </c>
      <c r="P22" s="228">
        <v>135.5</v>
      </c>
      <c r="Q22" s="229">
        <v>1.44E-2</v>
      </c>
      <c r="R22" s="231">
        <v>9521</v>
      </c>
      <c r="S22" s="231">
        <v>9390</v>
      </c>
      <c r="T22" s="228">
        <v>131</v>
      </c>
      <c r="U22" s="229">
        <v>1.4E-2</v>
      </c>
      <c r="V22" s="231">
        <v>9500.5</v>
      </c>
      <c r="W22" s="231">
        <v>9387</v>
      </c>
      <c r="X22" s="228">
        <v>113.5</v>
      </c>
      <c r="Y22" s="229">
        <v>1.21E-2</v>
      </c>
      <c r="Z22" s="228">
        <v>-0.5</v>
      </c>
      <c r="AA22" s="228">
        <v>15</v>
      </c>
      <c r="AB22" s="228">
        <v>-15.5</v>
      </c>
      <c r="AC22" s="229">
        <v>-1E-4</v>
      </c>
      <c r="AD22" s="228">
        <v>-0.5</v>
      </c>
      <c r="AE22" s="228">
        <v>15</v>
      </c>
      <c r="AF22" s="228">
        <v>-15.5</v>
      </c>
      <c r="AG22" s="229">
        <v>-1E-4</v>
      </c>
      <c r="AH22" s="228">
        <v>4</v>
      </c>
      <c r="AI22" s="228">
        <v>24</v>
      </c>
      <c r="AJ22" s="228">
        <v>-20</v>
      </c>
      <c r="AK22" s="229">
        <v>4.0000000000000002E-4</v>
      </c>
      <c r="AL22" s="228">
        <v>-16.5</v>
      </c>
      <c r="AM22" s="228">
        <v>21</v>
      </c>
      <c r="AN22" s="228">
        <v>-37.5</v>
      </c>
      <c r="AO22" s="229">
        <v>-1.6999999999999999E-3</v>
      </c>
      <c r="AP22" s="231">
        <v>9508.73</v>
      </c>
      <c r="AQ22" s="231">
        <v>9492.99</v>
      </c>
      <c r="AR22" s="228">
        <v>0</v>
      </c>
      <c r="AS22" s="228">
        <v>478</v>
      </c>
      <c r="AT22" s="228">
        <v>375</v>
      </c>
      <c r="AU22" s="228">
        <v>103</v>
      </c>
      <c r="AV22" s="229">
        <v>0.27439999999999998</v>
      </c>
      <c r="AW22" s="228">
        <v>432</v>
      </c>
      <c r="AX22" s="228">
        <v>360</v>
      </c>
      <c r="AY22" s="228">
        <v>71</v>
      </c>
      <c r="AZ22" s="229">
        <v>0.1981</v>
      </c>
      <c r="BA22" s="228">
        <v>42</v>
      </c>
      <c r="BB22" s="228">
        <v>13</v>
      </c>
      <c r="BC22" s="228">
        <v>28</v>
      </c>
      <c r="BD22" s="229">
        <v>2.1629999999999998</v>
      </c>
      <c r="BE22" s="228">
        <v>4</v>
      </c>
      <c r="BF22" s="228">
        <v>1</v>
      </c>
      <c r="BG22" s="228">
        <v>3</v>
      </c>
      <c r="BH22" s="229">
        <v>2.15</v>
      </c>
      <c r="BI22" s="230">
        <v>3833</v>
      </c>
      <c r="BJ22" s="230">
        <v>1462</v>
      </c>
      <c r="BK22" s="230">
        <v>2371</v>
      </c>
      <c r="BL22" s="229">
        <v>1.621</v>
      </c>
      <c r="BM22" s="230">
        <v>1622</v>
      </c>
      <c r="BN22" s="228">
        <v>863</v>
      </c>
      <c r="BO22" s="228">
        <v>758</v>
      </c>
      <c r="BP22" s="229">
        <v>0.87849999999999995</v>
      </c>
      <c r="BQ22" s="230">
        <v>5933</v>
      </c>
      <c r="BR22" s="230">
        <v>2701</v>
      </c>
      <c r="BS22" s="230">
        <v>3232</v>
      </c>
      <c r="BT22" s="229">
        <v>1.1967000000000001</v>
      </c>
      <c r="BU22" s="230">
        <v>569829</v>
      </c>
      <c r="BV22" s="230">
        <v>483666</v>
      </c>
      <c r="BW22" s="230">
        <v>86163</v>
      </c>
      <c r="BX22" s="229">
        <v>0.17810000000000001</v>
      </c>
      <c r="BY22" s="230">
        <v>3163</v>
      </c>
      <c r="BZ22" s="230">
        <v>3127</v>
      </c>
      <c r="CA22" s="228">
        <v>36</v>
      </c>
      <c r="CB22" s="229">
        <v>1.14E-2</v>
      </c>
      <c r="CC22" s="230">
        <v>3092</v>
      </c>
      <c r="CD22" s="230">
        <v>3074</v>
      </c>
      <c r="CE22" s="228">
        <v>18</v>
      </c>
      <c r="CF22" s="229">
        <v>5.8999999999999999E-3</v>
      </c>
      <c r="CG22" s="228">
        <v>58</v>
      </c>
      <c r="CH22" s="228">
        <v>42</v>
      </c>
      <c r="CI22" s="228">
        <v>16</v>
      </c>
      <c r="CJ22" s="229">
        <v>0.3921</v>
      </c>
      <c r="CK22" s="228">
        <v>12</v>
      </c>
      <c r="CL22" s="228">
        <v>11</v>
      </c>
      <c r="CM22" s="228">
        <v>1</v>
      </c>
      <c r="CN22" s="229">
        <v>0.1013</v>
      </c>
      <c r="CO22" s="228">
        <v>795</v>
      </c>
      <c r="CP22" s="228">
        <v>684</v>
      </c>
      <c r="CQ22" s="228">
        <v>111</v>
      </c>
      <c r="CR22" s="229">
        <v>0.1618</v>
      </c>
      <c r="CS22" s="228">
        <v>701</v>
      </c>
      <c r="CT22" s="228">
        <v>602</v>
      </c>
      <c r="CU22" s="228">
        <v>99</v>
      </c>
      <c r="CV22" s="229">
        <v>0.16500000000000001</v>
      </c>
      <c r="CW22" s="230">
        <v>4659</v>
      </c>
      <c r="CX22" s="230">
        <v>4413</v>
      </c>
      <c r="CY22" s="228">
        <v>246</v>
      </c>
      <c r="CZ22" s="229">
        <v>5.57E-2</v>
      </c>
      <c r="DA22" s="228">
        <v>28.96</v>
      </c>
      <c r="DB22" s="228">
        <v>28.52</v>
      </c>
      <c r="DC22" s="228">
        <v>0.44</v>
      </c>
      <c r="DD22" s="228">
        <v>0.44</v>
      </c>
      <c r="DE22" s="228">
        <v>29.75</v>
      </c>
      <c r="DF22" s="228">
        <v>29.74</v>
      </c>
      <c r="DG22" s="228">
        <v>-0.79</v>
      </c>
      <c r="DH22" s="228">
        <v>0.01</v>
      </c>
      <c r="DI22" s="228">
        <v>28.18</v>
      </c>
      <c r="DJ22" s="228">
        <v>27.26</v>
      </c>
      <c r="DK22" s="228">
        <v>0.92</v>
      </c>
      <c r="DL22" s="228">
        <v>0.92</v>
      </c>
      <c r="DM22" s="228">
        <v>30.8</v>
      </c>
      <c r="DN22" s="228">
        <v>30.65</v>
      </c>
      <c r="DO22" s="228">
        <v>0.15</v>
      </c>
      <c r="DP22" s="228">
        <v>0.15</v>
      </c>
      <c r="DQ22" s="228">
        <v>0.88</v>
      </c>
      <c r="DR22" s="228">
        <v>0.88</v>
      </c>
      <c r="DS22" s="228">
        <v>0</v>
      </c>
      <c r="DT22" s="229">
        <v>0</v>
      </c>
      <c r="DU22" s="231">
        <v>9000</v>
      </c>
      <c r="DV22" s="231">
        <v>8000</v>
      </c>
      <c r="DW22" s="228">
        <v>0.42</v>
      </c>
      <c r="DX22" s="228">
        <v>0.59</v>
      </c>
      <c r="DY22" s="228">
        <v>-0.17</v>
      </c>
      <c r="DZ22" s="229">
        <v>-0.28810000000000002</v>
      </c>
      <c r="EA22" s="229">
        <v>2.23E-2</v>
      </c>
      <c r="EB22" s="230">
        <v>55650</v>
      </c>
      <c r="EC22" s="229">
        <v>5.0000000000000001E-4</v>
      </c>
      <c r="ED22" s="229">
        <v>2.23E-2</v>
      </c>
      <c r="EE22" s="228">
        <v>-15.74</v>
      </c>
      <c r="EF22" s="229">
        <v>-1.6999999999999999E-3</v>
      </c>
      <c r="EG22" s="230">
        <v>166360</v>
      </c>
      <c r="EH22" s="230">
        <v>277367</v>
      </c>
      <c r="EI22" s="229">
        <v>-0.4002</v>
      </c>
      <c r="EJ22" s="229">
        <v>0.29189999999999999</v>
      </c>
      <c r="EK22" s="231">
        <v>4023.44</v>
      </c>
      <c r="EL22" s="231">
        <v>1578.02</v>
      </c>
      <c r="EM22" s="228">
        <v>477.24</v>
      </c>
      <c r="EN22" s="228">
        <v>48.46</v>
      </c>
      <c r="EO22" s="231">
        <v>6078.71</v>
      </c>
      <c r="EP22" s="231">
        <v>2703.99</v>
      </c>
      <c r="EQ22" s="231">
        <v>3374.72</v>
      </c>
      <c r="ER22" s="229">
        <v>1.2481</v>
      </c>
      <c r="ES22" s="228">
        <v>804.41</v>
      </c>
      <c r="ET22" s="228">
        <v>643.58000000000004</v>
      </c>
      <c r="EU22" s="231">
        <v>3162.65</v>
      </c>
      <c r="EV22" s="231">
        <v>12553818</v>
      </c>
      <c r="EW22" s="231">
        <v>4610.6400000000003</v>
      </c>
      <c r="EX22" s="231">
        <v>4317.93</v>
      </c>
      <c r="EY22" s="228">
        <v>292.70999999999998</v>
      </c>
      <c r="EZ22" s="229">
        <v>6.7799999999999999E-2</v>
      </c>
      <c r="FA22" s="229">
        <v>0.39</v>
      </c>
      <c r="FB22" s="227" t="s">
        <v>555</v>
      </c>
      <c r="FC22">
        <f t="shared" si="0"/>
        <v>71</v>
      </c>
    </row>
    <row r="23" spans="1:159" ht="17.25" thickBot="1" x14ac:dyDescent="0.3">
      <c r="A23" s="226">
        <v>46121</v>
      </c>
      <c r="B23" s="227" t="s">
        <v>175</v>
      </c>
      <c r="C23" s="227" t="s">
        <v>176</v>
      </c>
      <c r="D23" s="228">
        <v>250</v>
      </c>
      <c r="E23" s="228">
        <v>19</v>
      </c>
      <c r="F23" s="231">
        <v>1773.5</v>
      </c>
      <c r="G23" s="231">
        <v>1793.7</v>
      </c>
      <c r="H23" s="228">
        <v>-20.2</v>
      </c>
      <c r="I23" s="229">
        <v>-1.1299999999999999E-2</v>
      </c>
      <c r="J23" s="231">
        <v>1767.7</v>
      </c>
      <c r="K23" s="231">
        <v>1784.6</v>
      </c>
      <c r="L23" s="228">
        <v>-16.899999999999999</v>
      </c>
      <c r="M23" s="229">
        <v>-9.4999999999999998E-3</v>
      </c>
      <c r="N23" s="231">
        <v>1773.5</v>
      </c>
      <c r="O23" s="231">
        <v>1793.7</v>
      </c>
      <c r="P23" s="228">
        <v>-20.2</v>
      </c>
      <c r="Q23" s="229">
        <v>-1.1299999999999999E-2</v>
      </c>
      <c r="R23" s="231">
        <v>1784.6</v>
      </c>
      <c r="S23" s="231">
        <v>1803.3</v>
      </c>
      <c r="T23" s="228">
        <v>-18.7</v>
      </c>
      <c r="U23" s="229">
        <v>-1.04E-2</v>
      </c>
      <c r="V23" s="231">
        <v>1785</v>
      </c>
      <c r="W23" s="231">
        <v>1814.7</v>
      </c>
      <c r="X23" s="228">
        <v>-29.7</v>
      </c>
      <c r="Y23" s="229">
        <v>-1.6400000000000001E-2</v>
      </c>
      <c r="Z23" s="228">
        <v>5.8</v>
      </c>
      <c r="AA23" s="228">
        <v>9.1</v>
      </c>
      <c r="AB23" s="228">
        <v>-3.3</v>
      </c>
      <c r="AC23" s="229">
        <v>3.3E-3</v>
      </c>
      <c r="AD23" s="228">
        <v>5.8</v>
      </c>
      <c r="AE23" s="228">
        <v>9.1</v>
      </c>
      <c r="AF23" s="228">
        <v>-3.3</v>
      </c>
      <c r="AG23" s="229">
        <v>3.3E-3</v>
      </c>
      <c r="AH23" s="228">
        <v>16.899999999999999</v>
      </c>
      <c r="AI23" s="228">
        <v>18.7</v>
      </c>
      <c r="AJ23" s="228">
        <v>-1.8</v>
      </c>
      <c r="AK23" s="229">
        <v>9.5999999999999992E-3</v>
      </c>
      <c r="AL23" s="228">
        <v>17.3</v>
      </c>
      <c r="AM23" s="228">
        <v>30.1</v>
      </c>
      <c r="AN23" s="228">
        <v>-12.8</v>
      </c>
      <c r="AO23" s="229">
        <v>9.7999999999999997E-3</v>
      </c>
      <c r="AP23" s="231">
        <v>1779.28</v>
      </c>
      <c r="AQ23" s="231">
        <v>1790.06</v>
      </c>
      <c r="AR23" s="228">
        <v>0</v>
      </c>
      <c r="AS23" s="228">
        <v>129</v>
      </c>
      <c r="AT23" s="228">
        <v>293</v>
      </c>
      <c r="AU23" s="228">
        <v>-164</v>
      </c>
      <c r="AV23" s="229">
        <v>-0.56069999999999998</v>
      </c>
      <c r="AW23" s="228">
        <v>117</v>
      </c>
      <c r="AX23" s="228">
        <v>268</v>
      </c>
      <c r="AY23" s="228">
        <v>-150</v>
      </c>
      <c r="AZ23" s="229">
        <v>-0.56130000000000002</v>
      </c>
      <c r="BA23" s="228">
        <v>10</v>
      </c>
      <c r="BB23" s="228">
        <v>23</v>
      </c>
      <c r="BC23" s="228">
        <v>-13</v>
      </c>
      <c r="BD23" s="229">
        <v>-0.55530000000000002</v>
      </c>
      <c r="BE23" s="228">
        <v>1</v>
      </c>
      <c r="BF23" s="228">
        <v>2</v>
      </c>
      <c r="BG23" s="228">
        <v>-1</v>
      </c>
      <c r="BH23" s="229">
        <v>-0.53849999999999998</v>
      </c>
      <c r="BI23" s="228">
        <v>359</v>
      </c>
      <c r="BJ23" s="228">
        <v>847</v>
      </c>
      <c r="BK23" s="228">
        <v>-488</v>
      </c>
      <c r="BL23" s="229">
        <v>-0.57640000000000002</v>
      </c>
      <c r="BM23" s="228">
        <v>332</v>
      </c>
      <c r="BN23" s="228">
        <v>498</v>
      </c>
      <c r="BO23" s="228">
        <v>-165</v>
      </c>
      <c r="BP23" s="229">
        <v>-0.33210000000000001</v>
      </c>
      <c r="BQ23" s="228">
        <v>820</v>
      </c>
      <c r="BR23" s="230">
        <v>1637</v>
      </c>
      <c r="BS23" s="228">
        <v>-818</v>
      </c>
      <c r="BT23" s="229">
        <v>-0.49930000000000002</v>
      </c>
      <c r="BU23" s="230">
        <v>1562184</v>
      </c>
      <c r="BV23" s="230">
        <v>2126627</v>
      </c>
      <c r="BW23" s="230">
        <v>-564443</v>
      </c>
      <c r="BX23" s="229">
        <v>-0.26540000000000002</v>
      </c>
      <c r="BY23" s="230">
        <v>2084</v>
      </c>
      <c r="BZ23" s="230">
        <v>2062</v>
      </c>
      <c r="CA23" s="228">
        <v>22</v>
      </c>
      <c r="CB23" s="229">
        <v>1.0699999999999999E-2</v>
      </c>
      <c r="CC23" s="230">
        <v>1792</v>
      </c>
      <c r="CD23" s="230">
        <v>1773</v>
      </c>
      <c r="CE23" s="228">
        <v>18</v>
      </c>
      <c r="CF23" s="229">
        <v>1.03E-2</v>
      </c>
      <c r="CG23" s="228">
        <v>282</v>
      </c>
      <c r="CH23" s="228">
        <v>278</v>
      </c>
      <c r="CI23" s="228">
        <v>4</v>
      </c>
      <c r="CJ23" s="229">
        <v>1.3599999999999999E-2</v>
      </c>
      <c r="CK23" s="228">
        <v>11</v>
      </c>
      <c r="CL23" s="228">
        <v>11</v>
      </c>
      <c r="CM23" s="228">
        <v>0</v>
      </c>
      <c r="CN23" s="229">
        <v>8.2000000000000007E-3</v>
      </c>
      <c r="CO23" s="228">
        <v>541</v>
      </c>
      <c r="CP23" s="228">
        <v>528</v>
      </c>
      <c r="CQ23" s="228">
        <v>13</v>
      </c>
      <c r="CR23" s="229">
        <v>2.47E-2</v>
      </c>
      <c r="CS23" s="228">
        <v>595</v>
      </c>
      <c r="CT23" s="228">
        <v>533</v>
      </c>
      <c r="CU23" s="228">
        <v>63</v>
      </c>
      <c r="CV23" s="229">
        <v>0.1176</v>
      </c>
      <c r="CW23" s="230">
        <v>3220</v>
      </c>
      <c r="CX23" s="230">
        <v>3123</v>
      </c>
      <c r="CY23" s="228">
        <v>98</v>
      </c>
      <c r="CZ23" s="229">
        <v>3.1300000000000001E-2</v>
      </c>
      <c r="DA23" s="228">
        <v>29.24</v>
      </c>
      <c r="DB23" s="228">
        <v>29.43</v>
      </c>
      <c r="DC23" s="228">
        <v>-0.19</v>
      </c>
      <c r="DD23" s="228">
        <v>-0.19</v>
      </c>
      <c r="DE23" s="228">
        <v>30.65</v>
      </c>
      <c r="DF23" s="228">
        <v>30.69</v>
      </c>
      <c r="DG23" s="228">
        <v>-1.41</v>
      </c>
      <c r="DH23" s="228">
        <v>-0.04</v>
      </c>
      <c r="DI23" s="228">
        <v>28.43</v>
      </c>
      <c r="DJ23" s="228">
        <v>28.12</v>
      </c>
      <c r="DK23" s="228">
        <v>0.31</v>
      </c>
      <c r="DL23" s="228">
        <v>0.31</v>
      </c>
      <c r="DM23" s="228">
        <v>30.11</v>
      </c>
      <c r="DN23" s="228">
        <v>31.65</v>
      </c>
      <c r="DO23" s="228">
        <v>-1.54</v>
      </c>
      <c r="DP23" s="228">
        <v>-1.54</v>
      </c>
      <c r="DQ23" s="228">
        <v>1.1000000000000001</v>
      </c>
      <c r="DR23" s="228">
        <v>1.01</v>
      </c>
      <c r="DS23" s="228">
        <v>0.09</v>
      </c>
      <c r="DT23" s="229">
        <v>8.9099999999999999E-2</v>
      </c>
      <c r="DU23" s="231">
        <v>1760</v>
      </c>
      <c r="DV23" s="231">
        <v>1620</v>
      </c>
      <c r="DW23" s="228">
        <v>0.93</v>
      </c>
      <c r="DX23" s="228">
        <v>0.59</v>
      </c>
      <c r="DY23" s="228">
        <v>0.34</v>
      </c>
      <c r="DZ23" s="229">
        <v>0.57630000000000003</v>
      </c>
      <c r="EA23" s="229">
        <v>0.1404</v>
      </c>
      <c r="EB23" s="230">
        <v>1628250</v>
      </c>
      <c r="EC23" s="229">
        <v>6.3E-3</v>
      </c>
      <c r="ED23" s="229">
        <v>0.1404</v>
      </c>
      <c r="EE23" s="228">
        <v>10.78</v>
      </c>
      <c r="EF23" s="229">
        <v>6.1000000000000004E-3</v>
      </c>
      <c r="EG23" s="230">
        <v>885984</v>
      </c>
      <c r="EH23" s="230">
        <v>1058316</v>
      </c>
      <c r="EI23" s="229">
        <v>-0.1628</v>
      </c>
      <c r="EJ23" s="229">
        <v>0.56710000000000005</v>
      </c>
      <c r="EK23" s="228">
        <v>377.71</v>
      </c>
      <c r="EL23" s="228">
        <v>327.88</v>
      </c>
      <c r="EM23" s="228">
        <v>129.19999999999999</v>
      </c>
      <c r="EN23" s="228">
        <v>50.32</v>
      </c>
      <c r="EO23" s="228">
        <v>834.79</v>
      </c>
      <c r="EP23" s="231">
        <v>1678.35</v>
      </c>
      <c r="EQ23" s="228">
        <v>-843.55</v>
      </c>
      <c r="ER23" s="229">
        <v>-0.50260000000000005</v>
      </c>
      <c r="ES23" s="228">
        <v>549.88</v>
      </c>
      <c r="ET23" s="228">
        <v>564.89</v>
      </c>
      <c r="EU23" s="231">
        <v>2086.0100000000002</v>
      </c>
      <c r="EV23" s="231">
        <v>65784745</v>
      </c>
      <c r="EW23" s="231">
        <v>3200.78</v>
      </c>
      <c r="EX23" s="231">
        <v>3126.87</v>
      </c>
      <c r="EY23" s="228">
        <v>73.91</v>
      </c>
      <c r="EZ23" s="229">
        <v>2.3599999999999999E-2</v>
      </c>
      <c r="FA23" s="229">
        <v>0.27600000000000002</v>
      </c>
      <c r="FB23" s="227" t="s">
        <v>566</v>
      </c>
      <c r="FC23">
        <f t="shared" si="0"/>
        <v>292</v>
      </c>
    </row>
    <row r="24" spans="1:159" ht="17.25" thickBot="1" x14ac:dyDescent="0.3">
      <c r="A24" s="226">
        <v>46121</v>
      </c>
      <c r="B24" s="227" t="s">
        <v>175</v>
      </c>
      <c r="C24" s="227" t="s">
        <v>689</v>
      </c>
      <c r="D24" s="228">
        <v>50</v>
      </c>
      <c r="E24" s="228">
        <v>19</v>
      </c>
      <c r="F24" s="231">
        <v>9933</v>
      </c>
      <c r="G24" s="231">
        <v>10025</v>
      </c>
      <c r="H24" s="228">
        <v>-92</v>
      </c>
      <c r="I24" s="229">
        <v>-9.1999999999999998E-3</v>
      </c>
      <c r="J24" s="231">
        <v>9912.5</v>
      </c>
      <c r="K24" s="231">
        <v>9970</v>
      </c>
      <c r="L24" s="228">
        <v>-57.5</v>
      </c>
      <c r="M24" s="229">
        <v>-5.7999999999999996E-3</v>
      </c>
      <c r="N24" s="231">
        <v>9933</v>
      </c>
      <c r="O24" s="231">
        <v>10025</v>
      </c>
      <c r="P24" s="228">
        <v>-92</v>
      </c>
      <c r="Q24" s="229">
        <v>-9.1999999999999998E-3</v>
      </c>
      <c r="R24" s="231">
        <v>9987.5</v>
      </c>
      <c r="S24" s="231">
        <v>10077.5</v>
      </c>
      <c r="T24" s="228">
        <v>-90</v>
      </c>
      <c r="U24" s="229">
        <v>-8.8999999999999999E-3</v>
      </c>
      <c r="V24" s="231">
        <v>8906</v>
      </c>
      <c r="W24" s="231">
        <v>8906</v>
      </c>
      <c r="X24" s="228">
        <v>0</v>
      </c>
      <c r="Y24" s="229">
        <v>0</v>
      </c>
      <c r="Z24" s="228">
        <v>20.5</v>
      </c>
      <c r="AA24" s="228">
        <v>55</v>
      </c>
      <c r="AB24" s="228">
        <v>-34.5</v>
      </c>
      <c r="AC24" s="229">
        <v>2.0999999999999999E-3</v>
      </c>
      <c r="AD24" s="228">
        <v>20.5</v>
      </c>
      <c r="AE24" s="228">
        <v>55</v>
      </c>
      <c r="AF24" s="228">
        <v>-34.5</v>
      </c>
      <c r="AG24" s="229">
        <v>2.0999999999999999E-3</v>
      </c>
      <c r="AH24" s="228">
        <v>75</v>
      </c>
      <c r="AI24" s="228">
        <v>107.5</v>
      </c>
      <c r="AJ24" s="228">
        <v>-32.5</v>
      </c>
      <c r="AK24" s="229">
        <v>7.6E-3</v>
      </c>
      <c r="AL24" s="231">
        <v>-1006.5</v>
      </c>
      <c r="AM24" s="231">
        <v>-1064</v>
      </c>
      <c r="AN24" s="228">
        <v>57.5</v>
      </c>
      <c r="AO24" s="229">
        <v>-0.10150000000000001</v>
      </c>
      <c r="AP24" s="231">
        <v>9977.5</v>
      </c>
      <c r="AQ24" s="231">
        <v>10038.719999999999</v>
      </c>
      <c r="AR24" s="228">
        <v>0</v>
      </c>
      <c r="AS24" s="228">
        <v>35</v>
      </c>
      <c r="AT24" s="228">
        <v>56</v>
      </c>
      <c r="AU24" s="228">
        <v>-21</v>
      </c>
      <c r="AV24" s="229">
        <v>-0.36890000000000001</v>
      </c>
      <c r="AW24" s="228">
        <v>31</v>
      </c>
      <c r="AX24" s="228">
        <v>51</v>
      </c>
      <c r="AY24" s="228">
        <v>-20</v>
      </c>
      <c r="AZ24" s="229">
        <v>-0.38340000000000002</v>
      </c>
      <c r="BA24" s="228">
        <v>4</v>
      </c>
      <c r="BB24" s="228">
        <v>5</v>
      </c>
      <c r="BC24" s="228">
        <v>-1</v>
      </c>
      <c r="BD24" s="229">
        <v>-0.22</v>
      </c>
      <c r="BE24" s="228">
        <v>0</v>
      </c>
      <c r="BF24" s="228">
        <v>0</v>
      </c>
      <c r="BG24" s="228">
        <v>0</v>
      </c>
      <c r="BH24" s="229">
        <v>0</v>
      </c>
      <c r="BI24" s="228">
        <v>26</v>
      </c>
      <c r="BJ24" s="228">
        <v>78</v>
      </c>
      <c r="BK24" s="228">
        <v>-52</v>
      </c>
      <c r="BL24" s="229">
        <v>-0.6673</v>
      </c>
      <c r="BM24" s="228">
        <v>12</v>
      </c>
      <c r="BN24" s="228">
        <v>20</v>
      </c>
      <c r="BO24" s="228">
        <v>-9</v>
      </c>
      <c r="BP24" s="229">
        <v>-0.42930000000000001</v>
      </c>
      <c r="BQ24" s="228">
        <v>73</v>
      </c>
      <c r="BR24" s="228">
        <v>154</v>
      </c>
      <c r="BS24" s="228">
        <v>-81</v>
      </c>
      <c r="BT24" s="229">
        <v>-0.52739999999999998</v>
      </c>
      <c r="BU24" s="230">
        <v>57096</v>
      </c>
      <c r="BV24" s="230">
        <v>105537</v>
      </c>
      <c r="BW24" s="230">
        <v>-48441</v>
      </c>
      <c r="BX24" s="229">
        <v>-0.45900000000000002</v>
      </c>
      <c r="BY24" s="228">
        <v>282</v>
      </c>
      <c r="BZ24" s="228">
        <v>274</v>
      </c>
      <c r="CA24" s="228">
        <v>8</v>
      </c>
      <c r="CB24" s="229">
        <v>2.9399999999999999E-2</v>
      </c>
      <c r="CC24" s="228">
        <v>250</v>
      </c>
      <c r="CD24" s="228">
        <v>243</v>
      </c>
      <c r="CE24" s="228">
        <v>7</v>
      </c>
      <c r="CF24" s="229">
        <v>3.0700000000000002E-2</v>
      </c>
      <c r="CG24" s="228">
        <v>32</v>
      </c>
      <c r="CH24" s="228">
        <v>31</v>
      </c>
      <c r="CI24" s="228">
        <v>1</v>
      </c>
      <c r="CJ24" s="229">
        <v>1.9199999999999998E-2</v>
      </c>
      <c r="CK24" s="228">
        <v>0</v>
      </c>
      <c r="CL24" s="228">
        <v>0</v>
      </c>
      <c r="CM24" s="228">
        <v>0</v>
      </c>
      <c r="CN24" s="229">
        <v>0</v>
      </c>
      <c r="CO24" s="228">
        <v>51</v>
      </c>
      <c r="CP24" s="228">
        <v>47</v>
      </c>
      <c r="CQ24" s="228">
        <v>3</v>
      </c>
      <c r="CR24" s="229">
        <v>7.3700000000000002E-2</v>
      </c>
      <c r="CS24" s="228">
        <v>34</v>
      </c>
      <c r="CT24" s="228">
        <v>32</v>
      </c>
      <c r="CU24" s="228">
        <v>2</v>
      </c>
      <c r="CV24" s="229">
        <v>6.2399999999999997E-2</v>
      </c>
      <c r="CW24" s="228">
        <v>366</v>
      </c>
      <c r="CX24" s="228">
        <v>353</v>
      </c>
      <c r="CY24" s="228">
        <v>14</v>
      </c>
      <c r="CZ24" s="229">
        <v>3.8300000000000001E-2</v>
      </c>
      <c r="DA24" s="228">
        <v>38.72</v>
      </c>
      <c r="DB24" s="228">
        <v>35.99</v>
      </c>
      <c r="DC24" s="228">
        <v>2.73</v>
      </c>
      <c r="DD24" s="228">
        <v>2.73</v>
      </c>
      <c r="DE24" s="228">
        <v>39.26</v>
      </c>
      <c r="DF24" s="228">
        <v>39.340000000000003</v>
      </c>
      <c r="DG24" s="228">
        <v>-0.54</v>
      </c>
      <c r="DH24" s="228">
        <v>-0.08</v>
      </c>
      <c r="DI24" s="228">
        <v>37.93</v>
      </c>
      <c r="DJ24" s="228">
        <v>34.520000000000003</v>
      </c>
      <c r="DK24" s="228">
        <v>3.41</v>
      </c>
      <c r="DL24" s="228">
        <v>3.41</v>
      </c>
      <c r="DM24" s="228">
        <v>40.479999999999997</v>
      </c>
      <c r="DN24" s="228">
        <v>41.6</v>
      </c>
      <c r="DO24" s="228">
        <v>-1.1200000000000001</v>
      </c>
      <c r="DP24" s="228">
        <v>-1.1200000000000001</v>
      </c>
      <c r="DQ24" s="228">
        <v>0.67</v>
      </c>
      <c r="DR24" s="228">
        <v>0.67</v>
      </c>
      <c r="DS24" s="228">
        <v>0</v>
      </c>
      <c r="DT24" s="229">
        <v>0</v>
      </c>
      <c r="DU24" s="231">
        <v>10000</v>
      </c>
      <c r="DV24" s="231">
        <v>8500</v>
      </c>
      <c r="DW24" s="228">
        <v>0.45</v>
      </c>
      <c r="DX24" s="228">
        <v>0.26</v>
      </c>
      <c r="DY24" s="228">
        <v>0.19</v>
      </c>
      <c r="DZ24" s="229">
        <v>0.73080000000000001</v>
      </c>
      <c r="EA24" s="229">
        <v>0.113</v>
      </c>
      <c r="EB24" s="230">
        <v>31450</v>
      </c>
      <c r="EC24" s="229">
        <v>5.4999999999999997E-3</v>
      </c>
      <c r="ED24" s="229">
        <v>0.113</v>
      </c>
      <c r="EE24" s="228">
        <v>61.22</v>
      </c>
      <c r="EF24" s="229">
        <v>6.1000000000000004E-3</v>
      </c>
      <c r="EG24" s="230">
        <v>26589</v>
      </c>
      <c r="EH24" s="230">
        <v>50605</v>
      </c>
      <c r="EI24" s="229">
        <v>-0.47460000000000002</v>
      </c>
      <c r="EJ24" s="229">
        <v>0.4657</v>
      </c>
      <c r="EK24" s="228">
        <v>27.61</v>
      </c>
      <c r="EL24" s="228">
        <v>11</v>
      </c>
      <c r="EM24" s="228">
        <v>35.44</v>
      </c>
      <c r="EN24" s="228">
        <v>8.35</v>
      </c>
      <c r="EO24" s="228">
        <v>74.06</v>
      </c>
      <c r="EP24" s="228">
        <v>156.22999999999999</v>
      </c>
      <c r="EQ24" s="228">
        <v>-82.17</v>
      </c>
      <c r="ER24" s="229">
        <v>-0.52600000000000002</v>
      </c>
      <c r="ES24" s="228">
        <v>50.79</v>
      </c>
      <c r="ET24" s="228">
        <v>30.69</v>
      </c>
      <c r="EU24" s="228">
        <v>282</v>
      </c>
      <c r="EV24" s="231">
        <v>5401993</v>
      </c>
      <c r="EW24" s="228">
        <v>363.48</v>
      </c>
      <c r="EX24" s="228">
        <v>352.18</v>
      </c>
      <c r="EY24" s="228">
        <v>11.3</v>
      </c>
      <c r="EZ24" s="229">
        <v>3.2099999999999997E-2</v>
      </c>
      <c r="FA24" s="229">
        <v>6.83E-2</v>
      </c>
      <c r="FB24" s="227" t="s">
        <v>566</v>
      </c>
      <c r="FC24">
        <f t="shared" si="0"/>
        <v>32</v>
      </c>
    </row>
    <row r="25" spans="1:159" ht="17.25" thickBot="1" x14ac:dyDescent="0.3">
      <c r="A25" s="226">
        <v>46121</v>
      </c>
      <c r="B25" s="227" t="s">
        <v>175</v>
      </c>
      <c r="C25" s="227" t="s">
        <v>177</v>
      </c>
      <c r="D25" s="228">
        <v>750</v>
      </c>
      <c r="E25" s="228">
        <v>19</v>
      </c>
      <c r="F25" s="228">
        <v>904.25</v>
      </c>
      <c r="G25" s="228">
        <v>916.6</v>
      </c>
      <c r="H25" s="228">
        <v>-12.35</v>
      </c>
      <c r="I25" s="229">
        <v>-1.35E-2</v>
      </c>
      <c r="J25" s="228">
        <v>903.25</v>
      </c>
      <c r="K25" s="228">
        <v>915.05</v>
      </c>
      <c r="L25" s="228">
        <v>-11.8</v>
      </c>
      <c r="M25" s="229">
        <v>-1.29E-2</v>
      </c>
      <c r="N25" s="228">
        <v>904.25</v>
      </c>
      <c r="O25" s="228">
        <v>916.6</v>
      </c>
      <c r="P25" s="228">
        <v>-12.35</v>
      </c>
      <c r="Q25" s="229">
        <v>-1.35E-2</v>
      </c>
      <c r="R25" s="228">
        <v>908.35</v>
      </c>
      <c r="S25" s="228">
        <v>921.45</v>
      </c>
      <c r="T25" s="228">
        <v>-13.1</v>
      </c>
      <c r="U25" s="229">
        <v>-1.4200000000000001E-2</v>
      </c>
      <c r="V25" s="228">
        <v>911.7</v>
      </c>
      <c r="W25" s="228">
        <v>925</v>
      </c>
      <c r="X25" s="228">
        <v>-13.3</v>
      </c>
      <c r="Y25" s="229">
        <v>-1.44E-2</v>
      </c>
      <c r="Z25" s="228">
        <v>1</v>
      </c>
      <c r="AA25" s="228">
        <v>1.55</v>
      </c>
      <c r="AB25" s="228">
        <v>-0.55000000000000004</v>
      </c>
      <c r="AC25" s="229">
        <v>1.1000000000000001E-3</v>
      </c>
      <c r="AD25" s="228">
        <v>1</v>
      </c>
      <c r="AE25" s="228">
        <v>1.55</v>
      </c>
      <c r="AF25" s="228">
        <v>-0.55000000000000004</v>
      </c>
      <c r="AG25" s="229">
        <v>1.1000000000000001E-3</v>
      </c>
      <c r="AH25" s="228">
        <v>5.0999999999999996</v>
      </c>
      <c r="AI25" s="228">
        <v>6.4</v>
      </c>
      <c r="AJ25" s="228">
        <v>-1.3</v>
      </c>
      <c r="AK25" s="229">
        <v>5.5999999999999999E-3</v>
      </c>
      <c r="AL25" s="228">
        <v>8.4499999999999993</v>
      </c>
      <c r="AM25" s="228">
        <v>9.9499999999999993</v>
      </c>
      <c r="AN25" s="228">
        <v>-1.5</v>
      </c>
      <c r="AO25" s="229">
        <v>9.4000000000000004E-3</v>
      </c>
      <c r="AP25" s="228">
        <v>905.21</v>
      </c>
      <c r="AQ25" s="228">
        <v>909.48</v>
      </c>
      <c r="AR25" s="228">
        <v>0</v>
      </c>
      <c r="AS25" s="228">
        <v>637</v>
      </c>
      <c r="AT25" s="230">
        <v>1283</v>
      </c>
      <c r="AU25" s="228">
        <v>-646</v>
      </c>
      <c r="AV25" s="229">
        <v>-0.50370000000000004</v>
      </c>
      <c r="AW25" s="228">
        <v>581</v>
      </c>
      <c r="AX25" s="230">
        <v>1188</v>
      </c>
      <c r="AY25" s="228">
        <v>-606</v>
      </c>
      <c r="AZ25" s="229">
        <v>-0.51039999999999996</v>
      </c>
      <c r="BA25" s="228">
        <v>45</v>
      </c>
      <c r="BB25" s="228">
        <v>82</v>
      </c>
      <c r="BC25" s="228">
        <v>-37</v>
      </c>
      <c r="BD25" s="229">
        <v>-0.4501</v>
      </c>
      <c r="BE25" s="228">
        <v>10</v>
      </c>
      <c r="BF25" s="228">
        <v>13</v>
      </c>
      <c r="BG25" s="228">
        <v>-3</v>
      </c>
      <c r="BH25" s="229">
        <v>-0.22750000000000001</v>
      </c>
      <c r="BI25" s="230">
        <v>1418</v>
      </c>
      <c r="BJ25" s="230">
        <v>3289</v>
      </c>
      <c r="BK25" s="230">
        <v>-1871</v>
      </c>
      <c r="BL25" s="229">
        <v>-0.56879999999999997</v>
      </c>
      <c r="BM25" s="230">
        <v>1273</v>
      </c>
      <c r="BN25" s="230">
        <v>2127</v>
      </c>
      <c r="BO25" s="228">
        <v>-854</v>
      </c>
      <c r="BP25" s="229">
        <v>-0.40150000000000002</v>
      </c>
      <c r="BQ25" s="230">
        <v>3328</v>
      </c>
      <c r="BR25" s="230">
        <v>6699</v>
      </c>
      <c r="BS25" s="230">
        <v>-3371</v>
      </c>
      <c r="BT25" s="229">
        <v>-0.50319999999999998</v>
      </c>
      <c r="BU25" s="230">
        <v>10308972</v>
      </c>
      <c r="BV25" s="230">
        <v>14568175</v>
      </c>
      <c r="BW25" s="230">
        <v>-4259203</v>
      </c>
      <c r="BX25" s="229">
        <v>-0.29239999999999999</v>
      </c>
      <c r="BY25" s="230">
        <v>6507</v>
      </c>
      <c r="BZ25" s="230">
        <v>6457</v>
      </c>
      <c r="CA25" s="228">
        <v>50</v>
      </c>
      <c r="CB25" s="229">
        <v>7.7000000000000002E-3</v>
      </c>
      <c r="CC25" s="230">
        <v>6144</v>
      </c>
      <c r="CD25" s="230">
        <v>6105</v>
      </c>
      <c r="CE25" s="228">
        <v>39</v>
      </c>
      <c r="CF25" s="229">
        <v>6.4000000000000003E-3</v>
      </c>
      <c r="CG25" s="228">
        <v>331</v>
      </c>
      <c r="CH25" s="228">
        <v>322</v>
      </c>
      <c r="CI25" s="228">
        <v>8</v>
      </c>
      <c r="CJ25" s="229">
        <v>2.63E-2</v>
      </c>
      <c r="CK25" s="228">
        <v>32</v>
      </c>
      <c r="CL25" s="228">
        <v>30</v>
      </c>
      <c r="CM25" s="228">
        <v>3</v>
      </c>
      <c r="CN25" s="229">
        <v>8.6400000000000005E-2</v>
      </c>
      <c r="CO25" s="230">
        <v>1610</v>
      </c>
      <c r="CP25" s="230">
        <v>1531</v>
      </c>
      <c r="CQ25" s="228">
        <v>79</v>
      </c>
      <c r="CR25" s="229">
        <v>5.1700000000000003E-2</v>
      </c>
      <c r="CS25" s="230">
        <v>1340</v>
      </c>
      <c r="CT25" s="230">
        <v>1263</v>
      </c>
      <c r="CU25" s="228">
        <v>77</v>
      </c>
      <c r="CV25" s="229">
        <v>6.1100000000000002E-2</v>
      </c>
      <c r="CW25" s="230">
        <v>9458</v>
      </c>
      <c r="CX25" s="230">
        <v>9252</v>
      </c>
      <c r="CY25" s="228">
        <v>206</v>
      </c>
      <c r="CZ25" s="229">
        <v>2.23E-2</v>
      </c>
      <c r="DA25" s="228">
        <v>33.869999999999997</v>
      </c>
      <c r="DB25" s="228">
        <v>33.57</v>
      </c>
      <c r="DC25" s="228">
        <v>0.3</v>
      </c>
      <c r="DD25" s="228">
        <v>0.3</v>
      </c>
      <c r="DE25" s="228">
        <v>36.03</v>
      </c>
      <c r="DF25" s="228">
        <v>36.08</v>
      </c>
      <c r="DG25" s="228">
        <v>-2.16</v>
      </c>
      <c r="DH25" s="228">
        <v>-0.05</v>
      </c>
      <c r="DI25" s="228">
        <v>32.1</v>
      </c>
      <c r="DJ25" s="228">
        <v>31.24</v>
      </c>
      <c r="DK25" s="228">
        <v>0.86</v>
      </c>
      <c r="DL25" s="228">
        <v>0.86</v>
      </c>
      <c r="DM25" s="228">
        <v>35.85</v>
      </c>
      <c r="DN25" s="228">
        <v>37.18</v>
      </c>
      <c r="DO25" s="228">
        <v>-1.33</v>
      </c>
      <c r="DP25" s="228">
        <v>-1.33</v>
      </c>
      <c r="DQ25" s="228">
        <v>0.83</v>
      </c>
      <c r="DR25" s="228">
        <v>0.82</v>
      </c>
      <c r="DS25" s="228">
        <v>0.01</v>
      </c>
      <c r="DT25" s="229">
        <v>1.2200000000000001E-2</v>
      </c>
      <c r="DU25" s="231">
        <v>1000</v>
      </c>
      <c r="DV25" s="228">
        <v>800</v>
      </c>
      <c r="DW25" s="228">
        <v>0.9</v>
      </c>
      <c r="DX25" s="228">
        <v>0.65</v>
      </c>
      <c r="DY25" s="228">
        <v>0.25</v>
      </c>
      <c r="DZ25" s="229">
        <v>0.3846</v>
      </c>
      <c r="EA25" s="229">
        <v>5.5800000000000002E-2</v>
      </c>
      <c r="EB25" s="230">
        <v>3893250</v>
      </c>
      <c r="EC25" s="229">
        <v>4.4999999999999997E-3</v>
      </c>
      <c r="ED25" s="229">
        <v>5.5800000000000002E-2</v>
      </c>
      <c r="EE25" s="228">
        <v>4.2699999999999996</v>
      </c>
      <c r="EF25" s="229">
        <v>4.7000000000000002E-3</v>
      </c>
      <c r="EG25" s="230">
        <v>4965740</v>
      </c>
      <c r="EH25" s="230">
        <v>7885299</v>
      </c>
      <c r="EI25" s="229">
        <v>-0.37030000000000002</v>
      </c>
      <c r="EJ25" s="229">
        <v>0.48170000000000002</v>
      </c>
      <c r="EK25" s="231">
        <v>1496.33</v>
      </c>
      <c r="EL25" s="231">
        <v>1245.97</v>
      </c>
      <c r="EM25" s="228">
        <v>637.53</v>
      </c>
      <c r="EN25" s="228">
        <v>158.97999999999999</v>
      </c>
      <c r="EO25" s="231">
        <v>3379.83</v>
      </c>
      <c r="EP25" s="231">
        <v>6815.35</v>
      </c>
      <c r="EQ25" s="231">
        <v>-3435.52</v>
      </c>
      <c r="ER25" s="229">
        <v>-0.50409999999999999</v>
      </c>
      <c r="ES25" s="231">
        <v>1613.37</v>
      </c>
      <c r="ET25" s="231">
        <v>1268.49</v>
      </c>
      <c r="EU25" s="231">
        <v>6509.11</v>
      </c>
      <c r="EV25" s="231">
        <v>387962395</v>
      </c>
      <c r="EW25" s="231">
        <v>9390.98</v>
      </c>
      <c r="EX25" s="231">
        <v>9263.85</v>
      </c>
      <c r="EY25" s="228">
        <v>127.13</v>
      </c>
      <c r="EZ25" s="229">
        <v>1.37E-2</v>
      </c>
      <c r="FA25" s="229">
        <v>0.26960000000000001</v>
      </c>
      <c r="FB25" s="227" t="s">
        <v>566</v>
      </c>
      <c r="FC25">
        <f t="shared" si="0"/>
        <v>363</v>
      </c>
    </row>
    <row r="26" spans="1:159" ht="17.25" thickBot="1" x14ac:dyDescent="0.3">
      <c r="A26" s="226">
        <v>46121</v>
      </c>
      <c r="B26" s="227" t="s">
        <v>172</v>
      </c>
      <c r="C26" s="227" t="s">
        <v>179</v>
      </c>
      <c r="D26" s="228">
        <v>3600</v>
      </c>
      <c r="E26" s="228">
        <v>19</v>
      </c>
      <c r="F26" s="228">
        <v>166.35</v>
      </c>
      <c r="G26" s="228">
        <v>165.47</v>
      </c>
      <c r="H26" s="228">
        <v>0.88</v>
      </c>
      <c r="I26" s="229">
        <v>5.3E-3</v>
      </c>
      <c r="J26" s="228">
        <v>165.94</v>
      </c>
      <c r="K26" s="228">
        <v>164.75</v>
      </c>
      <c r="L26" s="228">
        <v>1.19</v>
      </c>
      <c r="M26" s="229">
        <v>7.1999999999999998E-3</v>
      </c>
      <c r="N26" s="228">
        <v>166.35</v>
      </c>
      <c r="O26" s="228">
        <v>165.47</v>
      </c>
      <c r="P26" s="228">
        <v>0.88</v>
      </c>
      <c r="Q26" s="229">
        <v>5.3E-3</v>
      </c>
      <c r="R26" s="228">
        <v>167.37</v>
      </c>
      <c r="S26" s="228">
        <v>166.18</v>
      </c>
      <c r="T26" s="228">
        <v>1.19</v>
      </c>
      <c r="U26" s="229">
        <v>7.1999999999999998E-3</v>
      </c>
      <c r="V26" s="228">
        <v>167.98</v>
      </c>
      <c r="W26" s="228">
        <v>167.35</v>
      </c>
      <c r="X26" s="228">
        <v>0.63</v>
      </c>
      <c r="Y26" s="229">
        <v>3.8E-3</v>
      </c>
      <c r="Z26" s="228">
        <v>0.41</v>
      </c>
      <c r="AA26" s="228">
        <v>0.72</v>
      </c>
      <c r="AB26" s="228">
        <v>-0.31</v>
      </c>
      <c r="AC26" s="229">
        <v>2.5000000000000001E-3</v>
      </c>
      <c r="AD26" s="228">
        <v>0.41</v>
      </c>
      <c r="AE26" s="228">
        <v>0.72</v>
      </c>
      <c r="AF26" s="228">
        <v>-0.31</v>
      </c>
      <c r="AG26" s="229">
        <v>2.5000000000000001E-3</v>
      </c>
      <c r="AH26" s="228">
        <v>1.43</v>
      </c>
      <c r="AI26" s="228">
        <v>1.43</v>
      </c>
      <c r="AJ26" s="228">
        <v>0</v>
      </c>
      <c r="AK26" s="229">
        <v>8.6E-3</v>
      </c>
      <c r="AL26" s="228">
        <v>2.04</v>
      </c>
      <c r="AM26" s="228">
        <v>2.6</v>
      </c>
      <c r="AN26" s="228">
        <v>-0.56000000000000005</v>
      </c>
      <c r="AO26" s="229">
        <v>1.23E-2</v>
      </c>
      <c r="AP26" s="228">
        <v>166.48</v>
      </c>
      <c r="AQ26" s="228">
        <v>167.5</v>
      </c>
      <c r="AR26" s="228">
        <v>0</v>
      </c>
      <c r="AS26" s="228">
        <v>241</v>
      </c>
      <c r="AT26" s="228">
        <v>609</v>
      </c>
      <c r="AU26" s="228">
        <v>-368</v>
      </c>
      <c r="AV26" s="229">
        <v>-0.60389999999999999</v>
      </c>
      <c r="AW26" s="228">
        <v>222</v>
      </c>
      <c r="AX26" s="228">
        <v>581</v>
      </c>
      <c r="AY26" s="228">
        <v>-359</v>
      </c>
      <c r="AZ26" s="229">
        <v>-0.61760000000000004</v>
      </c>
      <c r="BA26" s="228">
        <v>18</v>
      </c>
      <c r="BB26" s="228">
        <v>24</v>
      </c>
      <c r="BC26" s="228">
        <v>-6</v>
      </c>
      <c r="BD26" s="229">
        <v>-0.26500000000000001</v>
      </c>
      <c r="BE26" s="228">
        <v>1</v>
      </c>
      <c r="BF26" s="228">
        <v>4</v>
      </c>
      <c r="BG26" s="228">
        <v>-3</v>
      </c>
      <c r="BH26" s="229">
        <v>-0.63239999999999996</v>
      </c>
      <c r="BI26" s="228">
        <v>391</v>
      </c>
      <c r="BJ26" s="228">
        <v>703</v>
      </c>
      <c r="BK26" s="228">
        <v>-312</v>
      </c>
      <c r="BL26" s="229">
        <v>-0.44330000000000003</v>
      </c>
      <c r="BM26" s="228">
        <v>251</v>
      </c>
      <c r="BN26" s="228">
        <v>456</v>
      </c>
      <c r="BO26" s="228">
        <v>-206</v>
      </c>
      <c r="BP26" s="229">
        <v>-0.45040000000000002</v>
      </c>
      <c r="BQ26" s="228">
        <v>883</v>
      </c>
      <c r="BR26" s="230">
        <v>1768</v>
      </c>
      <c r="BS26" s="228">
        <v>-885</v>
      </c>
      <c r="BT26" s="229">
        <v>-0.50049999999999994</v>
      </c>
      <c r="BU26" s="230">
        <v>9005870</v>
      </c>
      <c r="BV26" s="230">
        <v>26925256</v>
      </c>
      <c r="BW26" s="230">
        <v>-17919386</v>
      </c>
      <c r="BX26" s="229">
        <v>-0.66549999999999998</v>
      </c>
      <c r="BY26" s="230">
        <v>1521</v>
      </c>
      <c r="BZ26" s="230">
        <v>1531</v>
      </c>
      <c r="CA26" s="228">
        <v>-10</v>
      </c>
      <c r="CB26" s="229">
        <v>-6.1999999999999998E-3</v>
      </c>
      <c r="CC26" s="230">
        <v>1460</v>
      </c>
      <c r="CD26" s="230">
        <v>1471</v>
      </c>
      <c r="CE26" s="228">
        <v>-11</v>
      </c>
      <c r="CF26" s="229">
        <v>-7.3000000000000001E-3</v>
      </c>
      <c r="CG26" s="228">
        <v>58</v>
      </c>
      <c r="CH26" s="228">
        <v>57</v>
      </c>
      <c r="CI26" s="228">
        <v>1</v>
      </c>
      <c r="CJ26" s="229">
        <v>1.5699999999999999E-2</v>
      </c>
      <c r="CK26" s="228">
        <v>3</v>
      </c>
      <c r="CL26" s="228">
        <v>3</v>
      </c>
      <c r="CM26" s="228">
        <v>0</v>
      </c>
      <c r="CN26" s="229">
        <v>0.13950000000000001</v>
      </c>
      <c r="CO26" s="228">
        <v>377</v>
      </c>
      <c r="CP26" s="228">
        <v>345</v>
      </c>
      <c r="CQ26" s="228">
        <v>32</v>
      </c>
      <c r="CR26" s="229">
        <v>9.1800000000000007E-2</v>
      </c>
      <c r="CS26" s="228">
        <v>288</v>
      </c>
      <c r="CT26" s="228">
        <v>264</v>
      </c>
      <c r="CU26" s="228">
        <v>24</v>
      </c>
      <c r="CV26" s="229">
        <v>9.2600000000000002E-2</v>
      </c>
      <c r="CW26" s="230">
        <v>2186</v>
      </c>
      <c r="CX26" s="230">
        <v>2140</v>
      </c>
      <c r="CY26" s="228">
        <v>47</v>
      </c>
      <c r="CZ26" s="229">
        <v>2.18E-2</v>
      </c>
      <c r="DA26" s="228">
        <v>44.63</v>
      </c>
      <c r="DB26" s="228">
        <v>45.65</v>
      </c>
      <c r="DC26" s="228">
        <v>-1.02</v>
      </c>
      <c r="DD26" s="228">
        <v>-1.02</v>
      </c>
      <c r="DE26" s="228">
        <v>46.21</v>
      </c>
      <c r="DF26" s="228">
        <v>46.31</v>
      </c>
      <c r="DG26" s="228">
        <v>-1.58</v>
      </c>
      <c r="DH26" s="228">
        <v>-0.1</v>
      </c>
      <c r="DI26" s="228">
        <v>43.74</v>
      </c>
      <c r="DJ26" s="228">
        <v>44.73</v>
      </c>
      <c r="DK26" s="228">
        <v>-0.99</v>
      </c>
      <c r="DL26" s="228">
        <v>-0.99</v>
      </c>
      <c r="DM26" s="228">
        <v>46.03</v>
      </c>
      <c r="DN26" s="228">
        <v>47.07</v>
      </c>
      <c r="DO26" s="228">
        <v>-1.04</v>
      </c>
      <c r="DP26" s="228">
        <v>-1.04</v>
      </c>
      <c r="DQ26" s="228">
        <v>0.76</v>
      </c>
      <c r="DR26" s="228">
        <v>0.76</v>
      </c>
      <c r="DS26" s="228">
        <v>0</v>
      </c>
      <c r="DT26" s="229">
        <v>0</v>
      </c>
      <c r="DU26" s="228">
        <v>150</v>
      </c>
      <c r="DV26" s="228">
        <v>160</v>
      </c>
      <c r="DW26" s="228">
        <v>0.64</v>
      </c>
      <c r="DX26" s="228">
        <v>0.65</v>
      </c>
      <c r="DY26" s="228">
        <v>-0.01</v>
      </c>
      <c r="DZ26" s="229">
        <v>-1.54E-2</v>
      </c>
      <c r="EA26" s="229">
        <v>4.02E-2</v>
      </c>
      <c r="EB26" s="230">
        <v>3600000</v>
      </c>
      <c r="EC26" s="229">
        <v>6.1000000000000004E-3</v>
      </c>
      <c r="ED26" s="229">
        <v>4.02E-2</v>
      </c>
      <c r="EE26" s="228">
        <v>1.02</v>
      </c>
      <c r="EF26" s="229">
        <v>6.1000000000000004E-3</v>
      </c>
      <c r="EG26" s="230">
        <v>2546222</v>
      </c>
      <c r="EH26" s="230">
        <v>10335439</v>
      </c>
      <c r="EI26" s="229">
        <v>-0.75360000000000005</v>
      </c>
      <c r="EJ26" s="229">
        <v>0.28270000000000001</v>
      </c>
      <c r="EK26" s="228">
        <v>423.13</v>
      </c>
      <c r="EL26" s="228">
        <v>242.71</v>
      </c>
      <c r="EM26" s="228">
        <v>241.6</v>
      </c>
      <c r="EN26" s="228">
        <v>58.35</v>
      </c>
      <c r="EO26" s="228">
        <v>907.43</v>
      </c>
      <c r="EP26" s="231">
        <v>1753.04</v>
      </c>
      <c r="EQ26" s="228">
        <v>-845.61</v>
      </c>
      <c r="ER26" s="229">
        <v>-0.4824</v>
      </c>
      <c r="ES26" s="228">
        <v>377.21</v>
      </c>
      <c r="ET26" s="228">
        <v>269.14</v>
      </c>
      <c r="EU26" s="231">
        <v>1521.67</v>
      </c>
      <c r="EV26" s="231">
        <v>145616308</v>
      </c>
      <c r="EW26" s="231">
        <v>2168.0100000000002</v>
      </c>
      <c r="EX26" s="231">
        <v>2109.96</v>
      </c>
      <c r="EY26" s="228">
        <v>58.05</v>
      </c>
      <c r="EZ26" s="229">
        <v>2.75E-2</v>
      </c>
      <c r="FA26" s="229">
        <v>0.90259999999999996</v>
      </c>
      <c r="FB26" s="227" t="s">
        <v>694</v>
      </c>
      <c r="FC26">
        <f t="shared" si="0"/>
        <v>61</v>
      </c>
    </row>
    <row r="27" spans="1:159" ht="17.25" thickBot="1" x14ac:dyDescent="0.3">
      <c r="A27" s="226">
        <v>46121</v>
      </c>
      <c r="B27" s="227" t="s">
        <v>172</v>
      </c>
      <c r="C27" s="227" t="s">
        <v>180</v>
      </c>
      <c r="D27" s="228">
        <v>2925</v>
      </c>
      <c r="E27" s="228">
        <v>19</v>
      </c>
      <c r="F27" s="228">
        <v>274.48</v>
      </c>
      <c r="G27" s="228">
        <v>277.18</v>
      </c>
      <c r="H27" s="228">
        <v>-2.7</v>
      </c>
      <c r="I27" s="229">
        <v>-9.7000000000000003E-3</v>
      </c>
      <c r="J27" s="228">
        <v>274.24</v>
      </c>
      <c r="K27" s="228">
        <v>275.98</v>
      </c>
      <c r="L27" s="228">
        <v>-1.74</v>
      </c>
      <c r="M27" s="229">
        <v>-6.3E-3</v>
      </c>
      <c r="N27" s="228">
        <v>274.48</v>
      </c>
      <c r="O27" s="228">
        <v>277.18</v>
      </c>
      <c r="P27" s="228">
        <v>-2.7</v>
      </c>
      <c r="Q27" s="229">
        <v>-9.7000000000000003E-3</v>
      </c>
      <c r="R27" s="228">
        <v>276.07</v>
      </c>
      <c r="S27" s="228">
        <v>278.89999999999998</v>
      </c>
      <c r="T27" s="228">
        <v>-2.83</v>
      </c>
      <c r="U27" s="229">
        <v>-1.01E-2</v>
      </c>
      <c r="V27" s="228">
        <v>277.02999999999997</v>
      </c>
      <c r="W27" s="228">
        <v>279.95</v>
      </c>
      <c r="X27" s="228">
        <v>-2.92</v>
      </c>
      <c r="Y27" s="229">
        <v>-1.04E-2</v>
      </c>
      <c r="Z27" s="228">
        <v>0.24</v>
      </c>
      <c r="AA27" s="228">
        <v>1.2</v>
      </c>
      <c r="AB27" s="228">
        <v>-0.96</v>
      </c>
      <c r="AC27" s="229">
        <v>8.9999999999999998E-4</v>
      </c>
      <c r="AD27" s="228">
        <v>0.24</v>
      </c>
      <c r="AE27" s="228">
        <v>1.2</v>
      </c>
      <c r="AF27" s="228">
        <v>-0.96</v>
      </c>
      <c r="AG27" s="229">
        <v>8.9999999999999998E-4</v>
      </c>
      <c r="AH27" s="228">
        <v>1.83</v>
      </c>
      <c r="AI27" s="228">
        <v>2.92</v>
      </c>
      <c r="AJ27" s="228">
        <v>-1.0900000000000001</v>
      </c>
      <c r="AK27" s="229">
        <v>6.7000000000000002E-3</v>
      </c>
      <c r="AL27" s="228">
        <v>2.79</v>
      </c>
      <c r="AM27" s="228">
        <v>3.97</v>
      </c>
      <c r="AN27" s="228">
        <v>-1.18</v>
      </c>
      <c r="AO27" s="229">
        <v>1.0200000000000001E-2</v>
      </c>
      <c r="AP27" s="228">
        <v>276.44</v>
      </c>
      <c r="AQ27" s="228">
        <v>277.58</v>
      </c>
      <c r="AR27" s="228">
        <v>0</v>
      </c>
      <c r="AS27" s="228">
        <v>510</v>
      </c>
      <c r="AT27" s="228">
        <v>846</v>
      </c>
      <c r="AU27" s="228">
        <v>-336</v>
      </c>
      <c r="AV27" s="229">
        <v>-0.39689999999999998</v>
      </c>
      <c r="AW27" s="228">
        <v>475</v>
      </c>
      <c r="AX27" s="228">
        <v>809</v>
      </c>
      <c r="AY27" s="228">
        <v>-334</v>
      </c>
      <c r="AZ27" s="229">
        <v>-0.41239999999999999</v>
      </c>
      <c r="BA27" s="228">
        <v>32</v>
      </c>
      <c r="BB27" s="228">
        <v>29</v>
      </c>
      <c r="BC27" s="228">
        <v>3</v>
      </c>
      <c r="BD27" s="229">
        <v>9.4200000000000006E-2</v>
      </c>
      <c r="BE27" s="228">
        <v>3</v>
      </c>
      <c r="BF27" s="228">
        <v>8</v>
      </c>
      <c r="BG27" s="228">
        <v>-5</v>
      </c>
      <c r="BH27" s="229">
        <v>-0.62109999999999999</v>
      </c>
      <c r="BI27" s="228">
        <v>989</v>
      </c>
      <c r="BJ27" s="230">
        <v>1530</v>
      </c>
      <c r="BK27" s="228">
        <v>-541</v>
      </c>
      <c r="BL27" s="229">
        <v>-0.35370000000000001</v>
      </c>
      <c r="BM27" s="228">
        <v>693</v>
      </c>
      <c r="BN27" s="230">
        <v>1113</v>
      </c>
      <c r="BO27" s="228">
        <v>-420</v>
      </c>
      <c r="BP27" s="229">
        <v>-0.37740000000000001</v>
      </c>
      <c r="BQ27" s="230">
        <v>2192</v>
      </c>
      <c r="BR27" s="230">
        <v>3488</v>
      </c>
      <c r="BS27" s="230">
        <v>-1297</v>
      </c>
      <c r="BT27" s="229">
        <v>-0.37169999999999997</v>
      </c>
      <c r="BU27" s="230">
        <v>14671666</v>
      </c>
      <c r="BV27" s="230">
        <v>16434638</v>
      </c>
      <c r="BW27" s="230">
        <v>-1762972</v>
      </c>
      <c r="BX27" s="229">
        <v>-0.10730000000000001</v>
      </c>
      <c r="BY27" s="230">
        <v>2931</v>
      </c>
      <c r="BZ27" s="230">
        <v>2905</v>
      </c>
      <c r="CA27" s="228">
        <v>26</v>
      </c>
      <c r="CB27" s="229">
        <v>9.1000000000000004E-3</v>
      </c>
      <c r="CC27" s="230">
        <v>2828</v>
      </c>
      <c r="CD27" s="230">
        <v>2813</v>
      </c>
      <c r="CE27" s="228">
        <v>15</v>
      </c>
      <c r="CF27" s="229">
        <v>5.3E-3</v>
      </c>
      <c r="CG27" s="228">
        <v>93</v>
      </c>
      <c r="CH27" s="228">
        <v>83</v>
      </c>
      <c r="CI27" s="228">
        <v>11</v>
      </c>
      <c r="CJ27" s="229">
        <v>0.1273</v>
      </c>
      <c r="CK27" s="228">
        <v>10</v>
      </c>
      <c r="CL27" s="228">
        <v>9</v>
      </c>
      <c r="CM27" s="228">
        <v>1</v>
      </c>
      <c r="CN27" s="229">
        <v>0.1017</v>
      </c>
      <c r="CO27" s="228">
        <v>978</v>
      </c>
      <c r="CP27" s="228">
        <v>902</v>
      </c>
      <c r="CQ27" s="228">
        <v>76</v>
      </c>
      <c r="CR27" s="229">
        <v>8.4000000000000005E-2</v>
      </c>
      <c r="CS27" s="228">
        <v>908</v>
      </c>
      <c r="CT27" s="228">
        <v>875</v>
      </c>
      <c r="CU27" s="228">
        <v>34</v>
      </c>
      <c r="CV27" s="229">
        <v>3.8600000000000002E-2</v>
      </c>
      <c r="CW27" s="230">
        <v>4817</v>
      </c>
      <c r="CX27" s="230">
        <v>4681</v>
      </c>
      <c r="CY27" s="228">
        <v>136</v>
      </c>
      <c r="CZ27" s="229">
        <v>2.9000000000000001E-2</v>
      </c>
      <c r="DA27" s="228">
        <v>34.94</v>
      </c>
      <c r="DB27" s="228">
        <v>36.659999999999997</v>
      </c>
      <c r="DC27" s="228">
        <v>-1.72</v>
      </c>
      <c r="DD27" s="228">
        <v>-1.72</v>
      </c>
      <c r="DE27" s="228">
        <v>37.39</v>
      </c>
      <c r="DF27" s="228">
        <v>37.47</v>
      </c>
      <c r="DG27" s="228">
        <v>-2.4500000000000002</v>
      </c>
      <c r="DH27" s="228">
        <v>-0.08</v>
      </c>
      <c r="DI27" s="228">
        <v>33.840000000000003</v>
      </c>
      <c r="DJ27" s="228">
        <v>34.17</v>
      </c>
      <c r="DK27" s="228">
        <v>-0.33</v>
      </c>
      <c r="DL27" s="228">
        <v>-0.33</v>
      </c>
      <c r="DM27" s="228">
        <v>36.520000000000003</v>
      </c>
      <c r="DN27" s="228">
        <v>40.08</v>
      </c>
      <c r="DO27" s="228">
        <v>-3.56</v>
      </c>
      <c r="DP27" s="228">
        <v>-3.56</v>
      </c>
      <c r="DQ27" s="228">
        <v>0.93</v>
      </c>
      <c r="DR27" s="228">
        <v>0.97</v>
      </c>
      <c r="DS27" s="228">
        <v>-0.04</v>
      </c>
      <c r="DT27" s="229">
        <v>-4.1200000000000001E-2</v>
      </c>
      <c r="DU27" s="228">
        <v>300</v>
      </c>
      <c r="DV27" s="228">
        <v>250</v>
      </c>
      <c r="DW27" s="228">
        <v>0.7</v>
      </c>
      <c r="DX27" s="228">
        <v>0.73</v>
      </c>
      <c r="DY27" s="228">
        <v>-0.03</v>
      </c>
      <c r="DZ27" s="229">
        <v>-4.1099999999999998E-2</v>
      </c>
      <c r="EA27" s="229">
        <v>3.5299999999999998E-2</v>
      </c>
      <c r="EB27" s="230">
        <v>3354975</v>
      </c>
      <c r="EC27" s="229">
        <v>5.7999999999999996E-3</v>
      </c>
      <c r="ED27" s="229">
        <v>3.5299999999999998E-2</v>
      </c>
      <c r="EE27" s="228">
        <v>1.1399999999999999</v>
      </c>
      <c r="EF27" s="229">
        <v>4.1000000000000003E-3</v>
      </c>
      <c r="EG27" s="230">
        <v>7154562</v>
      </c>
      <c r="EH27" s="230">
        <v>7050288</v>
      </c>
      <c r="EI27" s="229">
        <v>1.4800000000000001E-2</v>
      </c>
      <c r="EJ27" s="229">
        <v>0.48759999999999998</v>
      </c>
      <c r="EK27" s="231">
        <v>1052.69</v>
      </c>
      <c r="EL27" s="228">
        <v>689.89</v>
      </c>
      <c r="EM27" s="228">
        <v>513.86</v>
      </c>
      <c r="EN27" s="228">
        <v>86.37</v>
      </c>
      <c r="EO27" s="231">
        <v>2256.4499999999998</v>
      </c>
      <c r="EP27" s="231">
        <v>3521.24</v>
      </c>
      <c r="EQ27" s="231">
        <v>-1264.79</v>
      </c>
      <c r="ER27" s="229">
        <v>-0.35920000000000002</v>
      </c>
      <c r="ES27" s="231">
        <v>1006.16</v>
      </c>
      <c r="ET27" s="228">
        <v>885.31</v>
      </c>
      <c r="EU27" s="231">
        <v>2932.1</v>
      </c>
      <c r="EV27" s="231">
        <v>279476623</v>
      </c>
      <c r="EW27" s="231">
        <v>4823.5600000000004</v>
      </c>
      <c r="EX27" s="231">
        <v>4709.22</v>
      </c>
      <c r="EY27" s="228">
        <v>114.34</v>
      </c>
      <c r="EZ27" s="229">
        <v>2.4299999999999999E-2</v>
      </c>
      <c r="FA27" s="229">
        <v>0.628</v>
      </c>
      <c r="FB27" s="227" t="s">
        <v>566</v>
      </c>
      <c r="FC27">
        <f t="shared" si="0"/>
        <v>103</v>
      </c>
    </row>
    <row r="28" spans="1:159" ht="17.25" thickBot="1" x14ac:dyDescent="0.3">
      <c r="A28" s="226">
        <v>46121</v>
      </c>
      <c r="B28" s="227" t="s">
        <v>172</v>
      </c>
      <c r="C28" s="227" t="s">
        <v>601</v>
      </c>
      <c r="D28" s="228">
        <v>5200</v>
      </c>
      <c r="E28" s="228">
        <v>19</v>
      </c>
      <c r="F28" s="228">
        <v>144.79</v>
      </c>
      <c r="G28" s="228">
        <v>147.02000000000001</v>
      </c>
      <c r="H28" s="228">
        <v>-2.23</v>
      </c>
      <c r="I28" s="229">
        <v>-1.52E-2</v>
      </c>
      <c r="J28" s="228">
        <v>144.29</v>
      </c>
      <c r="K28" s="228">
        <v>146.49</v>
      </c>
      <c r="L28" s="228">
        <v>-2.2000000000000002</v>
      </c>
      <c r="M28" s="229">
        <v>-1.4999999999999999E-2</v>
      </c>
      <c r="N28" s="228">
        <v>144.79</v>
      </c>
      <c r="O28" s="228">
        <v>147.02000000000001</v>
      </c>
      <c r="P28" s="228">
        <v>-2.23</v>
      </c>
      <c r="Q28" s="229">
        <v>-1.52E-2</v>
      </c>
      <c r="R28" s="228">
        <v>145.52000000000001</v>
      </c>
      <c r="S28" s="228">
        <v>147.94</v>
      </c>
      <c r="T28" s="228">
        <v>-2.42</v>
      </c>
      <c r="U28" s="229">
        <v>-1.6400000000000001E-2</v>
      </c>
      <c r="V28" s="228">
        <v>146.72</v>
      </c>
      <c r="W28" s="228">
        <v>148.69</v>
      </c>
      <c r="X28" s="228">
        <v>-1.97</v>
      </c>
      <c r="Y28" s="229">
        <v>-1.32E-2</v>
      </c>
      <c r="Z28" s="228">
        <v>0.5</v>
      </c>
      <c r="AA28" s="228">
        <v>0.53</v>
      </c>
      <c r="AB28" s="228">
        <v>-0.03</v>
      </c>
      <c r="AC28" s="229">
        <v>3.5000000000000001E-3</v>
      </c>
      <c r="AD28" s="228">
        <v>0.5</v>
      </c>
      <c r="AE28" s="228">
        <v>0.53</v>
      </c>
      <c r="AF28" s="228">
        <v>-0.03</v>
      </c>
      <c r="AG28" s="229">
        <v>3.5000000000000001E-3</v>
      </c>
      <c r="AH28" s="228">
        <v>1.23</v>
      </c>
      <c r="AI28" s="228">
        <v>1.45</v>
      </c>
      <c r="AJ28" s="228">
        <v>-0.22</v>
      </c>
      <c r="AK28" s="229">
        <v>8.5000000000000006E-3</v>
      </c>
      <c r="AL28" s="228">
        <v>2.4300000000000002</v>
      </c>
      <c r="AM28" s="228">
        <v>2.2000000000000002</v>
      </c>
      <c r="AN28" s="228">
        <v>0.23</v>
      </c>
      <c r="AO28" s="229">
        <v>1.6799999999999999E-2</v>
      </c>
      <c r="AP28" s="228">
        <v>146.27000000000001</v>
      </c>
      <c r="AQ28" s="228">
        <v>147.21</v>
      </c>
      <c r="AR28" s="228">
        <v>0</v>
      </c>
      <c r="AS28" s="228">
        <v>229</v>
      </c>
      <c r="AT28" s="228">
        <v>394</v>
      </c>
      <c r="AU28" s="228">
        <v>-165</v>
      </c>
      <c r="AV28" s="229">
        <v>-0.41899999999999998</v>
      </c>
      <c r="AW28" s="228">
        <v>213</v>
      </c>
      <c r="AX28" s="228">
        <v>369</v>
      </c>
      <c r="AY28" s="228">
        <v>-156</v>
      </c>
      <c r="AZ28" s="229">
        <v>-0.42399999999999999</v>
      </c>
      <c r="BA28" s="228">
        <v>13</v>
      </c>
      <c r="BB28" s="228">
        <v>21</v>
      </c>
      <c r="BC28" s="228">
        <v>-8</v>
      </c>
      <c r="BD28" s="229">
        <v>-0.36499999999999999</v>
      </c>
      <c r="BE28" s="228">
        <v>3</v>
      </c>
      <c r="BF28" s="228">
        <v>4</v>
      </c>
      <c r="BG28" s="228">
        <v>-1</v>
      </c>
      <c r="BH28" s="229">
        <v>-0.25419999999999998</v>
      </c>
      <c r="BI28" s="228">
        <v>240</v>
      </c>
      <c r="BJ28" s="228">
        <v>414</v>
      </c>
      <c r="BK28" s="228">
        <v>-175</v>
      </c>
      <c r="BL28" s="229">
        <v>-0.42159999999999997</v>
      </c>
      <c r="BM28" s="228">
        <v>179</v>
      </c>
      <c r="BN28" s="228">
        <v>218</v>
      </c>
      <c r="BO28" s="228">
        <v>-39</v>
      </c>
      <c r="BP28" s="229">
        <v>-0.1784</v>
      </c>
      <c r="BQ28" s="228">
        <v>648</v>
      </c>
      <c r="BR28" s="230">
        <v>1027</v>
      </c>
      <c r="BS28" s="228">
        <v>-379</v>
      </c>
      <c r="BT28" s="229">
        <v>-0.36890000000000001</v>
      </c>
      <c r="BU28" s="230">
        <v>13090418</v>
      </c>
      <c r="BV28" s="230">
        <v>18253659</v>
      </c>
      <c r="BW28" s="230">
        <v>-5163241</v>
      </c>
      <c r="BX28" s="229">
        <v>-0.28289999999999998</v>
      </c>
      <c r="BY28" s="228">
        <v>841</v>
      </c>
      <c r="BZ28" s="228">
        <v>811</v>
      </c>
      <c r="CA28" s="228">
        <v>30</v>
      </c>
      <c r="CB28" s="229">
        <v>3.73E-2</v>
      </c>
      <c r="CC28" s="228">
        <v>810</v>
      </c>
      <c r="CD28" s="228">
        <v>786</v>
      </c>
      <c r="CE28" s="228">
        <v>24</v>
      </c>
      <c r="CF28" s="229">
        <v>3.0800000000000001E-2</v>
      </c>
      <c r="CG28" s="228">
        <v>25</v>
      </c>
      <c r="CH28" s="228">
        <v>21</v>
      </c>
      <c r="CI28" s="228">
        <v>4</v>
      </c>
      <c r="CJ28" s="229">
        <v>0.18279999999999999</v>
      </c>
      <c r="CK28" s="228">
        <v>6</v>
      </c>
      <c r="CL28" s="228">
        <v>4</v>
      </c>
      <c r="CM28" s="228">
        <v>2</v>
      </c>
      <c r="CN28" s="229">
        <v>0.53569999999999995</v>
      </c>
      <c r="CO28" s="228">
        <v>253</v>
      </c>
      <c r="CP28" s="228">
        <v>237</v>
      </c>
      <c r="CQ28" s="228">
        <v>16</v>
      </c>
      <c r="CR28" s="229">
        <v>6.8599999999999994E-2</v>
      </c>
      <c r="CS28" s="228">
        <v>302</v>
      </c>
      <c r="CT28" s="228">
        <v>247</v>
      </c>
      <c r="CU28" s="228">
        <v>56</v>
      </c>
      <c r="CV28" s="229">
        <v>0.22539999999999999</v>
      </c>
      <c r="CW28" s="230">
        <v>1397</v>
      </c>
      <c r="CX28" s="230">
        <v>1294</v>
      </c>
      <c r="CY28" s="228">
        <v>102</v>
      </c>
      <c r="CZ28" s="229">
        <v>7.8899999999999998E-2</v>
      </c>
      <c r="DA28" s="228">
        <v>42.36</v>
      </c>
      <c r="DB28" s="228">
        <v>43.38</v>
      </c>
      <c r="DC28" s="228">
        <v>-1.02</v>
      </c>
      <c r="DD28" s="228">
        <v>-1.02</v>
      </c>
      <c r="DE28" s="228">
        <v>43.32</v>
      </c>
      <c r="DF28" s="228">
        <v>43.38</v>
      </c>
      <c r="DG28" s="228">
        <v>-0.96</v>
      </c>
      <c r="DH28" s="228">
        <v>-0.06</v>
      </c>
      <c r="DI28" s="228">
        <v>41.11</v>
      </c>
      <c r="DJ28" s="228">
        <v>41.9</v>
      </c>
      <c r="DK28" s="228">
        <v>-0.79</v>
      </c>
      <c r="DL28" s="228">
        <v>-0.79</v>
      </c>
      <c r="DM28" s="228">
        <v>44.03</v>
      </c>
      <c r="DN28" s="228">
        <v>46.19</v>
      </c>
      <c r="DO28" s="228">
        <v>-2.16</v>
      </c>
      <c r="DP28" s="228">
        <v>-2.16</v>
      </c>
      <c r="DQ28" s="228">
        <v>1.19</v>
      </c>
      <c r="DR28" s="228">
        <v>1.04</v>
      </c>
      <c r="DS28" s="228">
        <v>0.15</v>
      </c>
      <c r="DT28" s="229">
        <v>0.14419999999999999</v>
      </c>
      <c r="DU28" s="228">
        <v>150</v>
      </c>
      <c r="DV28" s="228">
        <v>140</v>
      </c>
      <c r="DW28" s="228">
        <v>0.75</v>
      </c>
      <c r="DX28" s="228">
        <v>0.53</v>
      </c>
      <c r="DY28" s="228">
        <v>0.22</v>
      </c>
      <c r="DZ28" s="229">
        <v>0.41510000000000002</v>
      </c>
      <c r="EA28" s="229">
        <v>3.7199999999999997E-2</v>
      </c>
      <c r="EB28" s="230">
        <v>1742000</v>
      </c>
      <c r="EC28" s="229">
        <v>5.0000000000000001E-3</v>
      </c>
      <c r="ED28" s="229">
        <v>3.7199999999999997E-2</v>
      </c>
      <c r="EE28" s="228">
        <v>0.94</v>
      </c>
      <c r="EF28" s="229">
        <v>6.4000000000000003E-3</v>
      </c>
      <c r="EG28" s="230">
        <v>4308871</v>
      </c>
      <c r="EH28" s="230">
        <v>7702610</v>
      </c>
      <c r="EI28" s="229">
        <v>-0.44059999999999999</v>
      </c>
      <c r="EJ28" s="229">
        <v>0.32919999999999999</v>
      </c>
      <c r="EK28" s="228">
        <v>257.41000000000003</v>
      </c>
      <c r="EL28" s="228">
        <v>177.76</v>
      </c>
      <c r="EM28" s="228">
        <v>231.42</v>
      </c>
      <c r="EN28" s="228">
        <v>40.270000000000003</v>
      </c>
      <c r="EO28" s="228">
        <v>666.6</v>
      </c>
      <c r="EP28" s="231">
        <v>1054.6600000000001</v>
      </c>
      <c r="EQ28" s="228">
        <v>-388.06</v>
      </c>
      <c r="ER28" s="229">
        <v>-0.36799999999999999</v>
      </c>
      <c r="ES28" s="228">
        <v>263.73</v>
      </c>
      <c r="ET28" s="228">
        <v>295.77</v>
      </c>
      <c r="EU28" s="228">
        <v>841.44</v>
      </c>
      <c r="EV28" s="231">
        <v>181770921</v>
      </c>
      <c r="EW28" s="231">
        <v>1400.93</v>
      </c>
      <c r="EX28" s="231">
        <v>1312.08</v>
      </c>
      <c r="EY28" s="228">
        <v>88.85</v>
      </c>
      <c r="EZ28" s="229">
        <v>6.7699999999999996E-2</v>
      </c>
      <c r="FA28" s="229">
        <v>0.53059999999999996</v>
      </c>
      <c r="FB28" s="227" t="s">
        <v>566</v>
      </c>
      <c r="FC28">
        <f t="shared" si="0"/>
        <v>31</v>
      </c>
    </row>
    <row r="29" spans="1:159" s="195" customFormat="1" ht="17.25" thickBot="1" x14ac:dyDescent="0.3">
      <c r="A29" s="226">
        <v>46121</v>
      </c>
      <c r="B29" s="227" t="s">
        <v>181</v>
      </c>
      <c r="C29" s="227" t="s">
        <v>182</v>
      </c>
      <c r="D29" s="228">
        <v>30</v>
      </c>
      <c r="E29" s="228">
        <v>19</v>
      </c>
      <c r="F29" s="231">
        <v>55080</v>
      </c>
      <c r="G29" s="231">
        <v>55928</v>
      </c>
      <c r="H29" s="228">
        <v>-848</v>
      </c>
      <c r="I29" s="229">
        <v>-1.52E-2</v>
      </c>
      <c r="J29" s="231">
        <v>54821.7</v>
      </c>
      <c r="K29" s="231">
        <v>55703.9</v>
      </c>
      <c r="L29" s="228">
        <v>-882.2</v>
      </c>
      <c r="M29" s="229">
        <v>-1.5800000000000002E-2</v>
      </c>
      <c r="N29" s="231">
        <v>55080</v>
      </c>
      <c r="O29" s="231">
        <v>55928</v>
      </c>
      <c r="P29" s="228">
        <v>-848</v>
      </c>
      <c r="Q29" s="229">
        <v>-1.52E-2</v>
      </c>
      <c r="R29" s="231">
        <v>55323.6</v>
      </c>
      <c r="S29" s="231">
        <v>56149.8</v>
      </c>
      <c r="T29" s="228">
        <v>-826.2</v>
      </c>
      <c r="U29" s="229">
        <v>-1.47E-2</v>
      </c>
      <c r="V29" s="231">
        <v>55639.199999999997</v>
      </c>
      <c r="W29" s="231">
        <v>56429</v>
      </c>
      <c r="X29" s="228">
        <v>-789.8</v>
      </c>
      <c r="Y29" s="229">
        <v>-1.4E-2</v>
      </c>
      <c r="Z29" s="228">
        <v>258.3</v>
      </c>
      <c r="AA29" s="228">
        <v>224.1</v>
      </c>
      <c r="AB29" s="228">
        <v>34.200000000000003</v>
      </c>
      <c r="AC29" s="229">
        <v>4.7000000000000002E-3</v>
      </c>
      <c r="AD29" s="228">
        <v>258.3</v>
      </c>
      <c r="AE29" s="228">
        <v>224.1</v>
      </c>
      <c r="AF29" s="228">
        <v>34.200000000000003</v>
      </c>
      <c r="AG29" s="229">
        <v>4.7000000000000002E-3</v>
      </c>
      <c r="AH29" s="228">
        <v>501.9</v>
      </c>
      <c r="AI29" s="228">
        <v>445.9</v>
      </c>
      <c r="AJ29" s="228">
        <v>56</v>
      </c>
      <c r="AK29" s="229">
        <v>9.1999999999999998E-3</v>
      </c>
      <c r="AL29" s="228">
        <v>817.5</v>
      </c>
      <c r="AM29" s="228">
        <v>725.1</v>
      </c>
      <c r="AN29" s="228">
        <v>92.4</v>
      </c>
      <c r="AO29" s="229">
        <v>1.49E-2</v>
      </c>
      <c r="AP29" s="231">
        <v>55343.54</v>
      </c>
      <c r="AQ29" s="231">
        <v>55585.25</v>
      </c>
      <c r="AR29" s="228">
        <v>0</v>
      </c>
      <c r="AS29" s="230">
        <v>6459</v>
      </c>
      <c r="AT29" s="230">
        <v>9829</v>
      </c>
      <c r="AU29" s="230">
        <v>-3370</v>
      </c>
      <c r="AV29" s="229">
        <v>-0.34279999999999999</v>
      </c>
      <c r="AW29" s="230">
        <v>5583</v>
      </c>
      <c r="AX29" s="230">
        <v>8725</v>
      </c>
      <c r="AY29" s="230">
        <v>-3142</v>
      </c>
      <c r="AZ29" s="229">
        <v>-0.36009999999999998</v>
      </c>
      <c r="BA29" s="228">
        <v>661</v>
      </c>
      <c r="BB29" s="228">
        <v>830</v>
      </c>
      <c r="BC29" s="228">
        <v>-169</v>
      </c>
      <c r="BD29" s="229">
        <v>-0.20319999999999999</v>
      </c>
      <c r="BE29" s="228">
        <v>215</v>
      </c>
      <c r="BF29" s="228">
        <v>274</v>
      </c>
      <c r="BG29" s="228">
        <v>-59</v>
      </c>
      <c r="BH29" s="229">
        <v>-0.2147</v>
      </c>
      <c r="BI29" s="230">
        <v>191116</v>
      </c>
      <c r="BJ29" s="230">
        <v>282036</v>
      </c>
      <c r="BK29" s="230">
        <v>-90920</v>
      </c>
      <c r="BL29" s="229">
        <v>-0.32240000000000002</v>
      </c>
      <c r="BM29" s="230">
        <v>164295</v>
      </c>
      <c r="BN29" s="230">
        <v>192088</v>
      </c>
      <c r="BO29" s="230">
        <v>-27792</v>
      </c>
      <c r="BP29" s="229">
        <v>-0.1447</v>
      </c>
      <c r="BQ29" s="230">
        <v>361870</v>
      </c>
      <c r="BR29" s="230">
        <v>483952</v>
      </c>
      <c r="BS29" s="230">
        <v>-122082</v>
      </c>
      <c r="BT29" s="229">
        <v>-0.25230000000000002</v>
      </c>
      <c r="BU29" s="228">
        <v>0</v>
      </c>
      <c r="BV29" s="228">
        <v>0</v>
      </c>
      <c r="BW29" s="228">
        <v>0</v>
      </c>
      <c r="BX29" s="229">
        <v>0</v>
      </c>
      <c r="BY29" s="230">
        <v>13805</v>
      </c>
      <c r="BZ29" s="230">
        <v>13719</v>
      </c>
      <c r="CA29" s="228">
        <v>86</v>
      </c>
      <c r="CB29" s="229">
        <v>6.3E-3</v>
      </c>
      <c r="CC29" s="230">
        <v>11597</v>
      </c>
      <c r="CD29" s="230">
        <v>11646</v>
      </c>
      <c r="CE29" s="228">
        <v>-49</v>
      </c>
      <c r="CF29" s="229">
        <v>-4.1999999999999997E-3</v>
      </c>
      <c r="CG29" s="230">
        <v>1858</v>
      </c>
      <c r="CH29" s="230">
        <v>1782</v>
      </c>
      <c r="CI29" s="228">
        <v>77</v>
      </c>
      <c r="CJ29" s="229">
        <v>4.3099999999999999E-2</v>
      </c>
      <c r="CK29" s="228">
        <v>349</v>
      </c>
      <c r="CL29" s="228">
        <v>291</v>
      </c>
      <c r="CM29" s="228">
        <v>58</v>
      </c>
      <c r="CN29" s="229">
        <v>0.19839999999999999</v>
      </c>
      <c r="CO29" s="230">
        <v>92747</v>
      </c>
      <c r="CP29" s="230">
        <v>86780</v>
      </c>
      <c r="CQ29" s="230">
        <v>5967</v>
      </c>
      <c r="CR29" s="229">
        <v>6.88E-2</v>
      </c>
      <c r="CS29" s="230">
        <v>71636</v>
      </c>
      <c r="CT29" s="230">
        <v>69810</v>
      </c>
      <c r="CU29" s="230">
        <v>1827</v>
      </c>
      <c r="CV29" s="229">
        <v>2.6200000000000001E-2</v>
      </c>
      <c r="CW29" s="230">
        <v>178189</v>
      </c>
      <c r="CX29" s="230">
        <v>170309</v>
      </c>
      <c r="CY29" s="230">
        <v>7880</v>
      </c>
      <c r="CZ29" s="229">
        <v>4.6300000000000001E-2</v>
      </c>
      <c r="DA29" s="228">
        <v>23.38</v>
      </c>
      <c r="DB29" s="228">
        <v>22.55</v>
      </c>
      <c r="DC29" s="228">
        <v>0.83</v>
      </c>
      <c r="DD29" s="228">
        <v>0.83</v>
      </c>
      <c r="DE29" s="228">
        <v>21.36</v>
      </c>
      <c r="DF29" s="228">
        <v>21.3</v>
      </c>
      <c r="DG29" s="228">
        <v>2.02</v>
      </c>
      <c r="DH29" s="228">
        <v>0.06</v>
      </c>
      <c r="DI29" s="228">
        <v>21.53</v>
      </c>
      <c r="DJ29" s="228">
        <v>19.97</v>
      </c>
      <c r="DK29" s="228">
        <v>1.56</v>
      </c>
      <c r="DL29" s="228">
        <v>1.56</v>
      </c>
      <c r="DM29" s="228">
        <v>25.54</v>
      </c>
      <c r="DN29" s="228">
        <v>26.32</v>
      </c>
      <c r="DO29" s="228">
        <v>-0.78</v>
      </c>
      <c r="DP29" s="228">
        <v>-0.78</v>
      </c>
      <c r="DQ29" s="228">
        <v>0.77</v>
      </c>
      <c r="DR29" s="228">
        <v>0.8</v>
      </c>
      <c r="DS29" s="228">
        <v>-0.03</v>
      </c>
      <c r="DT29" s="229">
        <v>-3.7499999999999999E-2</v>
      </c>
      <c r="DU29" s="231">
        <v>58000</v>
      </c>
      <c r="DV29" s="231">
        <v>58000</v>
      </c>
      <c r="DW29" s="228">
        <v>0.86</v>
      </c>
      <c r="DX29" s="228">
        <v>0.68</v>
      </c>
      <c r="DY29" s="228">
        <v>0.18</v>
      </c>
      <c r="DZ29" s="229">
        <v>0.26469999999999999</v>
      </c>
      <c r="EA29" s="229">
        <v>0.15989999999999999</v>
      </c>
      <c r="EB29" s="230">
        <v>376380</v>
      </c>
      <c r="EC29" s="229">
        <v>4.4000000000000003E-3</v>
      </c>
      <c r="ED29" s="229">
        <v>0.15989999999999999</v>
      </c>
      <c r="EE29" s="228">
        <v>241.71</v>
      </c>
      <c r="EF29" s="229">
        <v>4.4000000000000003E-3</v>
      </c>
      <c r="EG29" s="228">
        <v>0</v>
      </c>
      <c r="EH29" s="228">
        <v>0</v>
      </c>
      <c r="EI29" s="229">
        <v>0</v>
      </c>
      <c r="EJ29" s="229">
        <v>0</v>
      </c>
      <c r="EK29" s="231">
        <v>201547.44</v>
      </c>
      <c r="EL29" s="231">
        <v>161216.06</v>
      </c>
      <c r="EM29" s="231">
        <v>6495.02</v>
      </c>
      <c r="EN29" s="228">
        <v>0</v>
      </c>
      <c r="EO29" s="231">
        <v>369258.52</v>
      </c>
      <c r="EP29" s="231">
        <v>491864.66</v>
      </c>
      <c r="EQ29" s="231">
        <v>-122606.15</v>
      </c>
      <c r="ER29" s="229">
        <v>-0.24929999999999999</v>
      </c>
      <c r="ES29" s="231">
        <v>96677.28</v>
      </c>
      <c r="ET29" s="231">
        <v>69341.240000000005</v>
      </c>
      <c r="EU29" s="231">
        <v>13816.91</v>
      </c>
      <c r="EV29" s="228">
        <v>0</v>
      </c>
      <c r="EW29" s="231">
        <v>179835.43</v>
      </c>
      <c r="EX29" s="231">
        <v>171795.33</v>
      </c>
      <c r="EY29" s="231">
        <v>8040.1</v>
      </c>
      <c r="EZ29" s="229">
        <v>4.6800000000000001E-2</v>
      </c>
      <c r="FA29" s="229">
        <v>0</v>
      </c>
      <c r="FB29" s="227" t="s">
        <v>566</v>
      </c>
      <c r="FC29" s="195">
        <f t="shared" si="0"/>
        <v>2208</v>
      </c>
    </row>
    <row r="30" spans="1:159" ht="17.25" thickBot="1" x14ac:dyDescent="0.3">
      <c r="A30" s="226">
        <v>46121</v>
      </c>
      <c r="B30" s="227" t="s">
        <v>184</v>
      </c>
      <c r="C30" s="227" t="s">
        <v>669</v>
      </c>
      <c r="D30" s="228">
        <v>350</v>
      </c>
      <c r="E30" s="228">
        <v>19</v>
      </c>
      <c r="F30" s="231">
        <v>1326.5</v>
      </c>
      <c r="G30" s="231">
        <v>1289.7</v>
      </c>
      <c r="H30" s="228">
        <v>36.799999999999997</v>
      </c>
      <c r="I30" s="229">
        <v>2.8500000000000001E-2</v>
      </c>
      <c r="J30" s="231">
        <v>1325.5</v>
      </c>
      <c r="K30" s="231">
        <v>1291.4000000000001</v>
      </c>
      <c r="L30" s="228">
        <v>34.1</v>
      </c>
      <c r="M30" s="229">
        <v>2.64E-2</v>
      </c>
      <c r="N30" s="231">
        <v>1326.5</v>
      </c>
      <c r="O30" s="231">
        <v>1289.7</v>
      </c>
      <c r="P30" s="228">
        <v>36.799999999999997</v>
      </c>
      <c r="Q30" s="229">
        <v>2.8500000000000001E-2</v>
      </c>
      <c r="R30" s="231">
        <v>1316.2</v>
      </c>
      <c r="S30" s="231">
        <v>1278.7</v>
      </c>
      <c r="T30" s="228">
        <v>37.5</v>
      </c>
      <c r="U30" s="229">
        <v>2.93E-2</v>
      </c>
      <c r="V30" s="231">
        <v>1310</v>
      </c>
      <c r="W30" s="231">
        <v>1273.8</v>
      </c>
      <c r="X30" s="228">
        <v>36.200000000000003</v>
      </c>
      <c r="Y30" s="229">
        <v>2.8400000000000002E-2</v>
      </c>
      <c r="Z30" s="228">
        <v>1</v>
      </c>
      <c r="AA30" s="228">
        <v>-1.7</v>
      </c>
      <c r="AB30" s="228">
        <v>2.7</v>
      </c>
      <c r="AC30" s="229">
        <v>8.0000000000000004E-4</v>
      </c>
      <c r="AD30" s="228">
        <v>1</v>
      </c>
      <c r="AE30" s="228">
        <v>-1.7</v>
      </c>
      <c r="AF30" s="228">
        <v>2.7</v>
      </c>
      <c r="AG30" s="229">
        <v>8.0000000000000004E-4</v>
      </c>
      <c r="AH30" s="228">
        <v>-9.3000000000000007</v>
      </c>
      <c r="AI30" s="228">
        <v>-12.7</v>
      </c>
      <c r="AJ30" s="228">
        <v>3.4</v>
      </c>
      <c r="AK30" s="229">
        <v>-7.0000000000000001E-3</v>
      </c>
      <c r="AL30" s="228">
        <v>-15.5</v>
      </c>
      <c r="AM30" s="228">
        <v>-17.600000000000001</v>
      </c>
      <c r="AN30" s="228">
        <v>2.1</v>
      </c>
      <c r="AO30" s="229">
        <v>-1.17E-2</v>
      </c>
      <c r="AP30" s="231">
        <v>1319.87</v>
      </c>
      <c r="AQ30" s="231">
        <v>1311.28</v>
      </c>
      <c r="AR30" s="228">
        <v>0</v>
      </c>
      <c r="AS30" s="228">
        <v>287</v>
      </c>
      <c r="AT30" s="228">
        <v>186</v>
      </c>
      <c r="AU30" s="228">
        <v>101</v>
      </c>
      <c r="AV30" s="229">
        <v>0.54549999999999998</v>
      </c>
      <c r="AW30" s="228">
        <v>251</v>
      </c>
      <c r="AX30" s="228">
        <v>156</v>
      </c>
      <c r="AY30" s="228">
        <v>95</v>
      </c>
      <c r="AZ30" s="229">
        <v>0.60699999999999998</v>
      </c>
      <c r="BA30" s="228">
        <v>33</v>
      </c>
      <c r="BB30" s="228">
        <v>27</v>
      </c>
      <c r="BC30" s="228">
        <v>6</v>
      </c>
      <c r="BD30" s="229">
        <v>0.2024</v>
      </c>
      <c r="BE30" s="228">
        <v>3</v>
      </c>
      <c r="BF30" s="228">
        <v>2</v>
      </c>
      <c r="BG30" s="228">
        <v>1</v>
      </c>
      <c r="BH30" s="229">
        <v>0.4375</v>
      </c>
      <c r="BI30" s="228">
        <v>915</v>
      </c>
      <c r="BJ30" s="228">
        <v>631</v>
      </c>
      <c r="BK30" s="228">
        <v>284</v>
      </c>
      <c r="BL30" s="229">
        <v>0.44969999999999999</v>
      </c>
      <c r="BM30" s="228">
        <v>589</v>
      </c>
      <c r="BN30" s="228">
        <v>595</v>
      </c>
      <c r="BO30" s="228">
        <v>-6</v>
      </c>
      <c r="BP30" s="229">
        <v>-1.04E-2</v>
      </c>
      <c r="BQ30" s="230">
        <v>1791</v>
      </c>
      <c r="BR30" s="230">
        <v>1412</v>
      </c>
      <c r="BS30" s="228">
        <v>379</v>
      </c>
      <c r="BT30" s="229">
        <v>0.26829999999999998</v>
      </c>
      <c r="BU30" s="230">
        <v>2851412</v>
      </c>
      <c r="BV30" s="230">
        <v>1700996</v>
      </c>
      <c r="BW30" s="230">
        <v>1150416</v>
      </c>
      <c r="BX30" s="229">
        <v>0.67630000000000001</v>
      </c>
      <c r="BY30" s="228">
        <v>531</v>
      </c>
      <c r="BZ30" s="228">
        <v>524</v>
      </c>
      <c r="CA30" s="228">
        <v>7</v>
      </c>
      <c r="CB30" s="229">
        <v>1.41E-2</v>
      </c>
      <c r="CC30" s="228">
        <v>459</v>
      </c>
      <c r="CD30" s="228">
        <v>462</v>
      </c>
      <c r="CE30" s="228">
        <v>-2</v>
      </c>
      <c r="CF30" s="229">
        <v>-4.7999999999999996E-3</v>
      </c>
      <c r="CG30" s="228">
        <v>67</v>
      </c>
      <c r="CH30" s="228">
        <v>58</v>
      </c>
      <c r="CI30" s="228">
        <v>8</v>
      </c>
      <c r="CJ30" s="229">
        <v>0.1444</v>
      </c>
      <c r="CK30" s="228">
        <v>5</v>
      </c>
      <c r="CL30" s="228">
        <v>4</v>
      </c>
      <c r="CM30" s="228">
        <v>1</v>
      </c>
      <c r="CN30" s="229">
        <v>0.32890000000000003</v>
      </c>
      <c r="CO30" s="228">
        <v>338</v>
      </c>
      <c r="CP30" s="228">
        <v>338</v>
      </c>
      <c r="CQ30" s="228">
        <v>1</v>
      </c>
      <c r="CR30" s="229">
        <v>1.8E-3</v>
      </c>
      <c r="CS30" s="228">
        <v>285</v>
      </c>
      <c r="CT30" s="228">
        <v>261</v>
      </c>
      <c r="CU30" s="228">
        <v>24</v>
      </c>
      <c r="CV30" s="229">
        <v>9.0899999999999995E-2</v>
      </c>
      <c r="CW30" s="230">
        <v>1154</v>
      </c>
      <c r="CX30" s="230">
        <v>1123</v>
      </c>
      <c r="CY30" s="228">
        <v>32</v>
      </c>
      <c r="CZ30" s="229">
        <v>2.8199999999999999E-2</v>
      </c>
      <c r="DA30" s="228">
        <v>45.85</v>
      </c>
      <c r="DB30" s="228">
        <v>45.6</v>
      </c>
      <c r="DC30" s="228">
        <v>0.25</v>
      </c>
      <c r="DD30" s="228">
        <v>0.25</v>
      </c>
      <c r="DE30" s="228">
        <v>54.06</v>
      </c>
      <c r="DF30" s="228">
        <v>54.06</v>
      </c>
      <c r="DG30" s="228">
        <v>-8.2100000000000009</v>
      </c>
      <c r="DH30" s="228">
        <v>0</v>
      </c>
      <c r="DI30" s="228">
        <v>42.59</v>
      </c>
      <c r="DJ30" s="228">
        <v>42</v>
      </c>
      <c r="DK30" s="228">
        <v>0.59</v>
      </c>
      <c r="DL30" s="228">
        <v>0.59</v>
      </c>
      <c r="DM30" s="228">
        <v>50.92</v>
      </c>
      <c r="DN30" s="228">
        <v>49.42</v>
      </c>
      <c r="DO30" s="228">
        <v>1.5</v>
      </c>
      <c r="DP30" s="228">
        <v>1.5</v>
      </c>
      <c r="DQ30" s="228">
        <v>0.84</v>
      </c>
      <c r="DR30" s="228">
        <v>0.77</v>
      </c>
      <c r="DS30" s="228">
        <v>7.0000000000000007E-2</v>
      </c>
      <c r="DT30" s="229">
        <v>9.0899999999999995E-2</v>
      </c>
      <c r="DU30" s="231">
        <v>1400</v>
      </c>
      <c r="DV30" s="231">
        <v>1300</v>
      </c>
      <c r="DW30" s="228">
        <v>0.64</v>
      </c>
      <c r="DX30" s="228">
        <v>0.94</v>
      </c>
      <c r="DY30" s="228">
        <v>-0.3</v>
      </c>
      <c r="DZ30" s="229">
        <v>-0.31909999999999999</v>
      </c>
      <c r="EA30" s="229">
        <v>0.13489999999999999</v>
      </c>
      <c r="EB30" s="230">
        <v>467600</v>
      </c>
      <c r="EC30" s="229">
        <v>-7.7999999999999996E-3</v>
      </c>
      <c r="ED30" s="229">
        <v>0.13489999999999999</v>
      </c>
      <c r="EE30" s="228">
        <v>-8.59</v>
      </c>
      <c r="EF30" s="229">
        <v>-6.4999999999999997E-3</v>
      </c>
      <c r="EG30" s="230">
        <v>595742</v>
      </c>
      <c r="EH30" s="230">
        <v>533950</v>
      </c>
      <c r="EI30" s="229">
        <v>0.1157</v>
      </c>
      <c r="EJ30" s="229">
        <v>0.2089</v>
      </c>
      <c r="EK30" s="228">
        <v>968.74</v>
      </c>
      <c r="EL30" s="228">
        <v>532.29999999999995</v>
      </c>
      <c r="EM30" s="228">
        <v>285.32</v>
      </c>
      <c r="EN30" s="228">
        <v>41.4</v>
      </c>
      <c r="EO30" s="231">
        <v>1786.37</v>
      </c>
      <c r="EP30" s="231">
        <v>1340.73</v>
      </c>
      <c r="EQ30" s="228">
        <v>445.65</v>
      </c>
      <c r="ER30" s="229">
        <v>0.33239999999999997</v>
      </c>
      <c r="ES30" s="228">
        <v>336.64</v>
      </c>
      <c r="ET30" s="228">
        <v>255.06</v>
      </c>
      <c r="EU30" s="228">
        <v>530.46</v>
      </c>
      <c r="EV30" s="231">
        <v>13786716</v>
      </c>
      <c r="EW30" s="231">
        <v>1122.1600000000001</v>
      </c>
      <c r="EX30" s="231">
        <v>1072.6300000000001</v>
      </c>
      <c r="EY30" s="228">
        <v>49.53</v>
      </c>
      <c r="EZ30" s="229">
        <v>4.6199999999999998E-2</v>
      </c>
      <c r="FA30" s="229">
        <v>0.63109999999999999</v>
      </c>
      <c r="FB30" s="227" t="s">
        <v>555</v>
      </c>
      <c r="FC30">
        <f t="shared" si="0"/>
        <v>72</v>
      </c>
    </row>
    <row r="31" spans="1:159" ht="17.25" thickBot="1" x14ac:dyDescent="0.3">
      <c r="A31" s="226">
        <v>46121</v>
      </c>
      <c r="B31" s="227" t="s">
        <v>184</v>
      </c>
      <c r="C31" s="227" t="s">
        <v>185</v>
      </c>
      <c r="D31" s="228">
        <v>1425</v>
      </c>
      <c r="E31" s="228">
        <v>19</v>
      </c>
      <c r="F31" s="228">
        <v>441.85</v>
      </c>
      <c r="G31" s="228">
        <v>435.1</v>
      </c>
      <c r="H31" s="228">
        <v>6.75</v>
      </c>
      <c r="I31" s="229">
        <v>1.55E-2</v>
      </c>
      <c r="J31" s="228">
        <v>439.75</v>
      </c>
      <c r="K31" s="228">
        <v>433.1</v>
      </c>
      <c r="L31" s="228">
        <v>6.65</v>
      </c>
      <c r="M31" s="229">
        <v>1.54E-2</v>
      </c>
      <c r="N31" s="228">
        <v>441.85</v>
      </c>
      <c r="O31" s="228">
        <v>435.1</v>
      </c>
      <c r="P31" s="228">
        <v>6.75</v>
      </c>
      <c r="Q31" s="229">
        <v>1.55E-2</v>
      </c>
      <c r="R31" s="228">
        <v>444.2</v>
      </c>
      <c r="S31" s="228">
        <v>437.5</v>
      </c>
      <c r="T31" s="228">
        <v>6.7</v>
      </c>
      <c r="U31" s="229">
        <v>1.5299999999999999E-2</v>
      </c>
      <c r="V31" s="228">
        <v>447.1</v>
      </c>
      <c r="W31" s="228">
        <v>440.45</v>
      </c>
      <c r="X31" s="228">
        <v>6.65</v>
      </c>
      <c r="Y31" s="229">
        <v>1.5100000000000001E-2</v>
      </c>
      <c r="Z31" s="228">
        <v>2.1</v>
      </c>
      <c r="AA31" s="228">
        <v>2</v>
      </c>
      <c r="AB31" s="228">
        <v>0.1</v>
      </c>
      <c r="AC31" s="229">
        <v>4.7999999999999996E-3</v>
      </c>
      <c r="AD31" s="228">
        <v>2.1</v>
      </c>
      <c r="AE31" s="228">
        <v>2</v>
      </c>
      <c r="AF31" s="228">
        <v>0.1</v>
      </c>
      <c r="AG31" s="229">
        <v>4.7999999999999996E-3</v>
      </c>
      <c r="AH31" s="228">
        <v>4.45</v>
      </c>
      <c r="AI31" s="228">
        <v>4.4000000000000004</v>
      </c>
      <c r="AJ31" s="228">
        <v>0.05</v>
      </c>
      <c r="AK31" s="229">
        <v>1.01E-2</v>
      </c>
      <c r="AL31" s="228">
        <v>7.35</v>
      </c>
      <c r="AM31" s="228">
        <v>7.35</v>
      </c>
      <c r="AN31" s="228">
        <v>0</v>
      </c>
      <c r="AO31" s="229">
        <v>1.67E-2</v>
      </c>
      <c r="AP31" s="228">
        <v>441.35</v>
      </c>
      <c r="AQ31" s="228">
        <v>444.55</v>
      </c>
      <c r="AR31" s="228">
        <v>0</v>
      </c>
      <c r="AS31" s="228">
        <v>807</v>
      </c>
      <c r="AT31" s="228">
        <v>980</v>
      </c>
      <c r="AU31" s="228">
        <v>-173</v>
      </c>
      <c r="AV31" s="229">
        <v>-0.17699999999999999</v>
      </c>
      <c r="AW31" s="228">
        <v>702</v>
      </c>
      <c r="AX31" s="228">
        <v>872</v>
      </c>
      <c r="AY31" s="228">
        <v>-170</v>
      </c>
      <c r="AZ31" s="229">
        <v>-0.19550000000000001</v>
      </c>
      <c r="BA31" s="228">
        <v>88</v>
      </c>
      <c r="BB31" s="228">
        <v>86</v>
      </c>
      <c r="BC31" s="228">
        <v>2</v>
      </c>
      <c r="BD31" s="229">
        <v>2.5700000000000001E-2</v>
      </c>
      <c r="BE31" s="228">
        <v>17</v>
      </c>
      <c r="BF31" s="228">
        <v>23</v>
      </c>
      <c r="BG31" s="228">
        <v>-5</v>
      </c>
      <c r="BH31" s="229">
        <v>-0.23180000000000001</v>
      </c>
      <c r="BI31" s="230">
        <v>3663</v>
      </c>
      <c r="BJ31" s="230">
        <v>2679</v>
      </c>
      <c r="BK31" s="228">
        <v>984</v>
      </c>
      <c r="BL31" s="229">
        <v>0.36709999999999998</v>
      </c>
      <c r="BM31" s="230">
        <v>1475</v>
      </c>
      <c r="BN31" s="230">
        <v>1316</v>
      </c>
      <c r="BO31" s="228">
        <v>159</v>
      </c>
      <c r="BP31" s="229">
        <v>0.1206</v>
      </c>
      <c r="BQ31" s="230">
        <v>5944</v>
      </c>
      <c r="BR31" s="230">
        <v>4976</v>
      </c>
      <c r="BS31" s="228">
        <v>969</v>
      </c>
      <c r="BT31" s="229">
        <v>0.19470000000000001</v>
      </c>
      <c r="BU31" s="230">
        <v>20925439</v>
      </c>
      <c r="BV31" s="230">
        <v>21219911</v>
      </c>
      <c r="BW31" s="230">
        <v>-294472</v>
      </c>
      <c r="BX31" s="229">
        <v>-1.3899999999999999E-2</v>
      </c>
      <c r="BY31" s="230">
        <v>4531</v>
      </c>
      <c r="BZ31" s="230">
        <v>4590</v>
      </c>
      <c r="CA31" s="228">
        <v>-59</v>
      </c>
      <c r="CB31" s="229">
        <v>-1.29E-2</v>
      </c>
      <c r="CC31" s="230">
        <v>4146</v>
      </c>
      <c r="CD31" s="230">
        <v>4230</v>
      </c>
      <c r="CE31" s="228">
        <v>-84</v>
      </c>
      <c r="CF31" s="229">
        <v>-1.9800000000000002E-2</v>
      </c>
      <c r="CG31" s="228">
        <v>345</v>
      </c>
      <c r="CH31" s="228">
        <v>320</v>
      </c>
      <c r="CI31" s="228">
        <v>25</v>
      </c>
      <c r="CJ31" s="229">
        <v>7.8E-2</v>
      </c>
      <c r="CK31" s="228">
        <v>40</v>
      </c>
      <c r="CL31" s="228">
        <v>40</v>
      </c>
      <c r="CM31" s="228">
        <v>0</v>
      </c>
      <c r="CN31" s="229">
        <v>-7.7999999999999996E-3</v>
      </c>
      <c r="CO31" s="230">
        <v>1733</v>
      </c>
      <c r="CP31" s="230">
        <v>1670</v>
      </c>
      <c r="CQ31" s="228">
        <v>63</v>
      </c>
      <c r="CR31" s="229">
        <v>3.7600000000000001E-2</v>
      </c>
      <c r="CS31" s="230">
        <v>1137</v>
      </c>
      <c r="CT31" s="230">
        <v>1021</v>
      </c>
      <c r="CU31" s="228">
        <v>116</v>
      </c>
      <c r="CV31" s="229">
        <v>0.1132</v>
      </c>
      <c r="CW31" s="230">
        <v>7401</v>
      </c>
      <c r="CX31" s="230">
        <v>7281</v>
      </c>
      <c r="CY31" s="228">
        <v>119</v>
      </c>
      <c r="CZ31" s="229">
        <v>1.6400000000000001E-2</v>
      </c>
      <c r="DA31" s="228">
        <v>32.99</v>
      </c>
      <c r="DB31" s="228">
        <v>32.799999999999997</v>
      </c>
      <c r="DC31" s="228">
        <v>0.19</v>
      </c>
      <c r="DD31" s="228">
        <v>0.19</v>
      </c>
      <c r="DE31" s="228">
        <v>37.58</v>
      </c>
      <c r="DF31" s="228">
        <v>37.61</v>
      </c>
      <c r="DG31" s="228">
        <v>-4.59</v>
      </c>
      <c r="DH31" s="228">
        <v>-0.03</v>
      </c>
      <c r="DI31" s="228">
        <v>32.340000000000003</v>
      </c>
      <c r="DJ31" s="228">
        <v>31.79</v>
      </c>
      <c r="DK31" s="228">
        <v>0.55000000000000004</v>
      </c>
      <c r="DL31" s="228">
        <v>0.55000000000000004</v>
      </c>
      <c r="DM31" s="228">
        <v>34.619999999999997</v>
      </c>
      <c r="DN31" s="228">
        <v>34.869999999999997</v>
      </c>
      <c r="DO31" s="228">
        <v>-0.25</v>
      </c>
      <c r="DP31" s="228">
        <v>-0.25</v>
      </c>
      <c r="DQ31" s="228">
        <v>0.66</v>
      </c>
      <c r="DR31" s="228">
        <v>0.61</v>
      </c>
      <c r="DS31" s="228">
        <v>0.05</v>
      </c>
      <c r="DT31" s="229">
        <v>8.2000000000000003E-2</v>
      </c>
      <c r="DU31" s="228">
        <v>500</v>
      </c>
      <c r="DV31" s="228">
        <v>400</v>
      </c>
      <c r="DW31" s="228">
        <v>0.4</v>
      </c>
      <c r="DX31" s="228">
        <v>0.49</v>
      </c>
      <c r="DY31" s="228">
        <v>-0.09</v>
      </c>
      <c r="DZ31" s="229">
        <v>-0.1837</v>
      </c>
      <c r="EA31" s="229">
        <v>8.5000000000000006E-2</v>
      </c>
      <c r="EB31" s="230">
        <v>8159550</v>
      </c>
      <c r="EC31" s="229">
        <v>5.3E-3</v>
      </c>
      <c r="ED31" s="229">
        <v>8.5000000000000006E-2</v>
      </c>
      <c r="EE31" s="228">
        <v>3.2</v>
      </c>
      <c r="EF31" s="229">
        <v>7.3000000000000001E-3</v>
      </c>
      <c r="EG31" s="230">
        <v>7744290</v>
      </c>
      <c r="EH31" s="230">
        <v>9125585</v>
      </c>
      <c r="EI31" s="229">
        <v>-0.15140000000000001</v>
      </c>
      <c r="EJ31" s="229">
        <v>0.37009999999999998</v>
      </c>
      <c r="EK31" s="231">
        <v>3859.27</v>
      </c>
      <c r="EL31" s="231">
        <v>1433.39</v>
      </c>
      <c r="EM31" s="228">
        <v>806.75</v>
      </c>
      <c r="EN31" s="228">
        <v>113.71</v>
      </c>
      <c r="EO31" s="231">
        <v>6099.41</v>
      </c>
      <c r="EP31" s="231">
        <v>4994.46</v>
      </c>
      <c r="EQ31" s="231">
        <v>1104.95</v>
      </c>
      <c r="ER31" s="229">
        <v>0.22120000000000001</v>
      </c>
      <c r="ES31" s="231">
        <v>1782.19</v>
      </c>
      <c r="ET31" s="231">
        <v>1069.6600000000001</v>
      </c>
      <c r="EU31" s="231">
        <v>4533.3599999999997</v>
      </c>
      <c r="EV31" s="231">
        <v>535778534</v>
      </c>
      <c r="EW31" s="231">
        <v>7385.21</v>
      </c>
      <c r="EX31" s="231">
        <v>7189.55</v>
      </c>
      <c r="EY31" s="228">
        <v>195.66</v>
      </c>
      <c r="EZ31" s="229">
        <v>2.7199999999999998E-2</v>
      </c>
      <c r="FA31" s="229">
        <v>0.31259999999999999</v>
      </c>
      <c r="FB31" s="227" t="s">
        <v>694</v>
      </c>
      <c r="FC31">
        <f t="shared" si="0"/>
        <v>385</v>
      </c>
    </row>
    <row r="32" spans="1:159" ht="17.25" thickBot="1" x14ac:dyDescent="0.3">
      <c r="A32" s="226">
        <v>46121</v>
      </c>
      <c r="B32" s="227" t="s">
        <v>162</v>
      </c>
      <c r="C32" s="227" t="s">
        <v>187</v>
      </c>
      <c r="D32" s="228">
        <v>500</v>
      </c>
      <c r="E32" s="228">
        <v>19</v>
      </c>
      <c r="F32" s="231">
        <v>1748.2</v>
      </c>
      <c r="G32" s="231">
        <v>1790.4</v>
      </c>
      <c r="H32" s="228">
        <v>-42.2</v>
      </c>
      <c r="I32" s="229">
        <v>-2.3599999999999999E-2</v>
      </c>
      <c r="J32" s="231">
        <v>1739.4</v>
      </c>
      <c r="K32" s="231">
        <v>1781.4</v>
      </c>
      <c r="L32" s="228">
        <v>-42</v>
      </c>
      <c r="M32" s="229">
        <v>-2.3599999999999999E-2</v>
      </c>
      <c r="N32" s="231">
        <v>1748.2</v>
      </c>
      <c r="O32" s="231">
        <v>1790.4</v>
      </c>
      <c r="P32" s="228">
        <v>-42.2</v>
      </c>
      <c r="Q32" s="229">
        <v>-2.3599999999999999E-2</v>
      </c>
      <c r="R32" s="231">
        <v>1755</v>
      </c>
      <c r="S32" s="231">
        <v>1795.9</v>
      </c>
      <c r="T32" s="228">
        <v>-40.9</v>
      </c>
      <c r="U32" s="229">
        <v>-2.2800000000000001E-2</v>
      </c>
      <c r="V32" s="231">
        <v>1755</v>
      </c>
      <c r="W32" s="231">
        <v>1802.9</v>
      </c>
      <c r="X32" s="228">
        <v>-47.9</v>
      </c>
      <c r="Y32" s="229">
        <v>-2.6599999999999999E-2</v>
      </c>
      <c r="Z32" s="228">
        <v>8.8000000000000007</v>
      </c>
      <c r="AA32" s="228">
        <v>9</v>
      </c>
      <c r="AB32" s="228">
        <v>-0.2</v>
      </c>
      <c r="AC32" s="229">
        <v>5.1000000000000004E-3</v>
      </c>
      <c r="AD32" s="228">
        <v>8.8000000000000007</v>
      </c>
      <c r="AE32" s="228">
        <v>9</v>
      </c>
      <c r="AF32" s="228">
        <v>-0.2</v>
      </c>
      <c r="AG32" s="229">
        <v>5.1000000000000004E-3</v>
      </c>
      <c r="AH32" s="228">
        <v>15.6</v>
      </c>
      <c r="AI32" s="228">
        <v>14.5</v>
      </c>
      <c r="AJ32" s="228">
        <v>1.1000000000000001</v>
      </c>
      <c r="AK32" s="229">
        <v>8.9999999999999993E-3</v>
      </c>
      <c r="AL32" s="228">
        <v>15.6</v>
      </c>
      <c r="AM32" s="228">
        <v>21.5</v>
      </c>
      <c r="AN32" s="228">
        <v>-5.9</v>
      </c>
      <c r="AO32" s="229">
        <v>8.9999999999999993E-3</v>
      </c>
      <c r="AP32" s="231">
        <v>1757.21</v>
      </c>
      <c r="AQ32" s="231">
        <v>1763.76</v>
      </c>
      <c r="AR32" s="228">
        <v>0</v>
      </c>
      <c r="AS32" s="228">
        <v>302</v>
      </c>
      <c r="AT32" s="228">
        <v>501</v>
      </c>
      <c r="AU32" s="228">
        <v>-199</v>
      </c>
      <c r="AV32" s="229">
        <v>-0.39660000000000001</v>
      </c>
      <c r="AW32" s="228">
        <v>287</v>
      </c>
      <c r="AX32" s="228">
        <v>483</v>
      </c>
      <c r="AY32" s="228">
        <v>-196</v>
      </c>
      <c r="AZ32" s="229">
        <v>-0.40500000000000003</v>
      </c>
      <c r="BA32" s="228">
        <v>13</v>
      </c>
      <c r="BB32" s="228">
        <v>15</v>
      </c>
      <c r="BC32" s="228">
        <v>-3</v>
      </c>
      <c r="BD32" s="229">
        <v>-0.16950000000000001</v>
      </c>
      <c r="BE32" s="228">
        <v>2</v>
      </c>
      <c r="BF32" s="228">
        <v>2</v>
      </c>
      <c r="BG32" s="228">
        <v>0</v>
      </c>
      <c r="BH32" s="229">
        <v>-0.15379999999999999</v>
      </c>
      <c r="BI32" s="228">
        <v>638</v>
      </c>
      <c r="BJ32" s="230">
        <v>1102</v>
      </c>
      <c r="BK32" s="228">
        <v>-464</v>
      </c>
      <c r="BL32" s="229">
        <v>-0.42080000000000001</v>
      </c>
      <c r="BM32" s="228">
        <v>362</v>
      </c>
      <c r="BN32" s="228">
        <v>489</v>
      </c>
      <c r="BO32" s="228">
        <v>-128</v>
      </c>
      <c r="BP32" s="229">
        <v>-0.26090000000000002</v>
      </c>
      <c r="BQ32" s="230">
        <v>1302</v>
      </c>
      <c r="BR32" s="230">
        <v>2092</v>
      </c>
      <c r="BS32" s="228">
        <v>-790</v>
      </c>
      <c r="BT32" s="229">
        <v>-0.37759999999999999</v>
      </c>
      <c r="BU32" s="230">
        <v>1895455</v>
      </c>
      <c r="BV32" s="230">
        <v>2094694</v>
      </c>
      <c r="BW32" s="230">
        <v>-199239</v>
      </c>
      <c r="BX32" s="229">
        <v>-9.5100000000000004E-2</v>
      </c>
      <c r="BY32" s="230">
        <v>1442</v>
      </c>
      <c r="BZ32" s="230">
        <v>1406</v>
      </c>
      <c r="CA32" s="228">
        <v>35</v>
      </c>
      <c r="CB32" s="229">
        <v>2.52E-2</v>
      </c>
      <c r="CC32" s="230">
        <v>1419</v>
      </c>
      <c r="CD32" s="230">
        <v>1388</v>
      </c>
      <c r="CE32" s="228">
        <v>31</v>
      </c>
      <c r="CF32" s="229">
        <v>2.24E-2</v>
      </c>
      <c r="CG32" s="228">
        <v>20</v>
      </c>
      <c r="CH32" s="228">
        <v>17</v>
      </c>
      <c r="CI32" s="228">
        <v>3</v>
      </c>
      <c r="CJ32" s="229">
        <v>0.1958</v>
      </c>
      <c r="CK32" s="228">
        <v>3</v>
      </c>
      <c r="CL32" s="228">
        <v>2</v>
      </c>
      <c r="CM32" s="228">
        <v>1</v>
      </c>
      <c r="CN32" s="229">
        <v>0.58330000000000004</v>
      </c>
      <c r="CO32" s="228">
        <v>515</v>
      </c>
      <c r="CP32" s="228">
        <v>474</v>
      </c>
      <c r="CQ32" s="228">
        <v>40</v>
      </c>
      <c r="CR32" s="229">
        <v>8.5300000000000001E-2</v>
      </c>
      <c r="CS32" s="228">
        <v>276</v>
      </c>
      <c r="CT32" s="228">
        <v>278</v>
      </c>
      <c r="CU32" s="228">
        <v>-2</v>
      </c>
      <c r="CV32" s="229">
        <v>-7.1999999999999998E-3</v>
      </c>
      <c r="CW32" s="230">
        <v>2233</v>
      </c>
      <c r="CX32" s="230">
        <v>2159</v>
      </c>
      <c r="CY32" s="228">
        <v>74</v>
      </c>
      <c r="CZ32" s="229">
        <v>3.4200000000000001E-2</v>
      </c>
      <c r="DA32" s="228">
        <v>36.9</v>
      </c>
      <c r="DB32" s="228">
        <v>36.64</v>
      </c>
      <c r="DC32" s="228">
        <v>0.26</v>
      </c>
      <c r="DD32" s="228">
        <v>0.26</v>
      </c>
      <c r="DE32" s="228">
        <v>40.08</v>
      </c>
      <c r="DF32" s="228">
        <v>40.049999999999997</v>
      </c>
      <c r="DG32" s="228">
        <v>-3.18</v>
      </c>
      <c r="DH32" s="228">
        <v>0.03</v>
      </c>
      <c r="DI32" s="228">
        <v>36.19</v>
      </c>
      <c r="DJ32" s="228">
        <v>35.08</v>
      </c>
      <c r="DK32" s="228">
        <v>1.1100000000000001</v>
      </c>
      <c r="DL32" s="228">
        <v>1.1100000000000001</v>
      </c>
      <c r="DM32" s="228">
        <v>38.159999999999997</v>
      </c>
      <c r="DN32" s="228">
        <v>40.18</v>
      </c>
      <c r="DO32" s="228">
        <v>-2.02</v>
      </c>
      <c r="DP32" s="228">
        <v>-2.02</v>
      </c>
      <c r="DQ32" s="228">
        <v>0.54</v>
      </c>
      <c r="DR32" s="228">
        <v>0.59</v>
      </c>
      <c r="DS32" s="228">
        <v>-0.05</v>
      </c>
      <c r="DT32" s="229">
        <v>-8.4699999999999998E-2</v>
      </c>
      <c r="DU32" s="231">
        <v>1800</v>
      </c>
      <c r="DV32" s="231">
        <v>1700</v>
      </c>
      <c r="DW32" s="228">
        <v>0.56999999999999995</v>
      </c>
      <c r="DX32" s="228">
        <v>0.44</v>
      </c>
      <c r="DY32" s="228">
        <v>0.13</v>
      </c>
      <c r="DZ32" s="229">
        <v>0.29549999999999998</v>
      </c>
      <c r="EA32" s="229">
        <v>1.6E-2</v>
      </c>
      <c r="EB32" s="230">
        <v>106500</v>
      </c>
      <c r="EC32" s="229">
        <v>3.8999999999999998E-3</v>
      </c>
      <c r="ED32" s="229">
        <v>1.6E-2</v>
      </c>
      <c r="EE32" s="228">
        <v>6.55</v>
      </c>
      <c r="EF32" s="229">
        <v>3.7000000000000002E-3</v>
      </c>
      <c r="EG32" s="230">
        <v>922963</v>
      </c>
      <c r="EH32" s="230">
        <v>961679</v>
      </c>
      <c r="EI32" s="229">
        <v>-4.0300000000000002E-2</v>
      </c>
      <c r="EJ32" s="229">
        <v>0.4869</v>
      </c>
      <c r="EK32" s="228">
        <v>677.63</v>
      </c>
      <c r="EL32" s="228">
        <v>359.79</v>
      </c>
      <c r="EM32" s="228">
        <v>303.62</v>
      </c>
      <c r="EN32" s="228">
        <v>38.630000000000003</v>
      </c>
      <c r="EO32" s="231">
        <v>1341.05</v>
      </c>
      <c r="EP32" s="231">
        <v>2164.39</v>
      </c>
      <c r="EQ32" s="228">
        <v>-823.34</v>
      </c>
      <c r="ER32" s="229">
        <v>-0.38040000000000002</v>
      </c>
      <c r="ES32" s="228">
        <v>539.97</v>
      </c>
      <c r="ET32" s="228">
        <v>262.63</v>
      </c>
      <c r="EU32" s="231">
        <v>1442.01</v>
      </c>
      <c r="EV32" s="231">
        <v>40107751</v>
      </c>
      <c r="EW32" s="231">
        <v>2244.61</v>
      </c>
      <c r="EX32" s="231">
        <v>2202.16</v>
      </c>
      <c r="EY32" s="228">
        <v>42.45</v>
      </c>
      <c r="EZ32" s="229">
        <v>1.9300000000000001E-2</v>
      </c>
      <c r="FA32" s="229">
        <v>0.31850000000000001</v>
      </c>
      <c r="FB32" s="227" t="s">
        <v>566</v>
      </c>
      <c r="FC32">
        <f t="shared" si="0"/>
        <v>23</v>
      </c>
    </row>
    <row r="33" spans="1:159" ht="17.25" thickBot="1" x14ac:dyDescent="0.3">
      <c r="A33" s="226">
        <v>46121</v>
      </c>
      <c r="B33" s="227" t="s">
        <v>188</v>
      </c>
      <c r="C33" s="227" t="s">
        <v>189</v>
      </c>
      <c r="D33" s="228">
        <v>475</v>
      </c>
      <c r="E33" s="228">
        <v>19</v>
      </c>
      <c r="F33" s="231">
        <v>1866.1</v>
      </c>
      <c r="G33" s="231">
        <v>1865.5</v>
      </c>
      <c r="H33" s="228">
        <v>0.6</v>
      </c>
      <c r="I33" s="229">
        <v>2.9999999999999997E-4</v>
      </c>
      <c r="J33" s="231">
        <v>1859.4</v>
      </c>
      <c r="K33" s="231">
        <v>1861.6</v>
      </c>
      <c r="L33" s="228">
        <v>-2.2000000000000002</v>
      </c>
      <c r="M33" s="229">
        <v>-1.1999999999999999E-3</v>
      </c>
      <c r="N33" s="231">
        <v>1866.1</v>
      </c>
      <c r="O33" s="231">
        <v>1865.5</v>
      </c>
      <c r="P33" s="228">
        <v>0.6</v>
      </c>
      <c r="Q33" s="229">
        <v>2.9999999999999997E-4</v>
      </c>
      <c r="R33" s="231">
        <v>1877</v>
      </c>
      <c r="S33" s="231">
        <v>1876.9</v>
      </c>
      <c r="T33" s="228">
        <v>0.1</v>
      </c>
      <c r="U33" s="229">
        <v>1E-4</v>
      </c>
      <c r="V33" s="231">
        <v>1886.1</v>
      </c>
      <c r="W33" s="231">
        <v>1888</v>
      </c>
      <c r="X33" s="228">
        <v>-1.9</v>
      </c>
      <c r="Y33" s="229">
        <v>-1E-3</v>
      </c>
      <c r="Z33" s="228">
        <v>6.7</v>
      </c>
      <c r="AA33" s="228">
        <v>3.9</v>
      </c>
      <c r="AB33" s="228">
        <v>2.8</v>
      </c>
      <c r="AC33" s="229">
        <v>3.5999999999999999E-3</v>
      </c>
      <c r="AD33" s="228">
        <v>6.7</v>
      </c>
      <c r="AE33" s="228">
        <v>3.9</v>
      </c>
      <c r="AF33" s="228">
        <v>2.8</v>
      </c>
      <c r="AG33" s="229">
        <v>3.5999999999999999E-3</v>
      </c>
      <c r="AH33" s="228">
        <v>17.600000000000001</v>
      </c>
      <c r="AI33" s="228">
        <v>15.3</v>
      </c>
      <c r="AJ33" s="228">
        <v>2.2999999999999998</v>
      </c>
      <c r="AK33" s="229">
        <v>9.4999999999999998E-3</v>
      </c>
      <c r="AL33" s="228">
        <v>26.7</v>
      </c>
      <c r="AM33" s="228">
        <v>26.4</v>
      </c>
      <c r="AN33" s="228">
        <v>0.3</v>
      </c>
      <c r="AO33" s="229">
        <v>1.44E-2</v>
      </c>
      <c r="AP33" s="231">
        <v>1862.17</v>
      </c>
      <c r="AQ33" s="231">
        <v>1872.14</v>
      </c>
      <c r="AR33" s="228">
        <v>0</v>
      </c>
      <c r="AS33" s="228">
        <v>735</v>
      </c>
      <c r="AT33" s="230">
        <v>1063</v>
      </c>
      <c r="AU33" s="228">
        <v>-328</v>
      </c>
      <c r="AV33" s="229">
        <v>-0.30840000000000001</v>
      </c>
      <c r="AW33" s="228">
        <v>593</v>
      </c>
      <c r="AX33" s="228">
        <v>980</v>
      </c>
      <c r="AY33" s="228">
        <v>-386</v>
      </c>
      <c r="AZ33" s="229">
        <v>-0.39419999999999999</v>
      </c>
      <c r="BA33" s="228">
        <v>50</v>
      </c>
      <c r="BB33" s="228">
        <v>73</v>
      </c>
      <c r="BC33" s="228">
        <v>-23</v>
      </c>
      <c r="BD33" s="229">
        <v>-0.31269999999999998</v>
      </c>
      <c r="BE33" s="228">
        <v>92</v>
      </c>
      <c r="BF33" s="228">
        <v>11</v>
      </c>
      <c r="BG33" s="228">
        <v>81</v>
      </c>
      <c r="BH33" s="229">
        <v>7.6166999999999998</v>
      </c>
      <c r="BI33" s="230">
        <v>2034</v>
      </c>
      <c r="BJ33" s="230">
        <v>4726</v>
      </c>
      <c r="BK33" s="230">
        <v>-2692</v>
      </c>
      <c r="BL33" s="229">
        <v>-0.5696</v>
      </c>
      <c r="BM33" s="230">
        <v>1154</v>
      </c>
      <c r="BN33" s="230">
        <v>1924</v>
      </c>
      <c r="BO33" s="228">
        <v>-770</v>
      </c>
      <c r="BP33" s="229">
        <v>-0.40010000000000001</v>
      </c>
      <c r="BQ33" s="230">
        <v>3923</v>
      </c>
      <c r="BR33" s="230">
        <v>7713</v>
      </c>
      <c r="BS33" s="230">
        <v>-3790</v>
      </c>
      <c r="BT33" s="229">
        <v>-0.49130000000000001</v>
      </c>
      <c r="BU33" s="230">
        <v>11381891</v>
      </c>
      <c r="BV33" s="230">
        <v>11935125</v>
      </c>
      <c r="BW33" s="230">
        <v>-553234</v>
      </c>
      <c r="BX33" s="229">
        <v>-4.6399999999999997E-2</v>
      </c>
      <c r="BY33" s="230">
        <v>11014</v>
      </c>
      <c r="BZ33" s="230">
        <v>11020</v>
      </c>
      <c r="CA33" s="228">
        <v>-6</v>
      </c>
      <c r="CB33" s="229">
        <v>-5.0000000000000001E-4</v>
      </c>
      <c r="CC33" s="230">
        <v>9339</v>
      </c>
      <c r="CD33" s="230">
        <v>9451</v>
      </c>
      <c r="CE33" s="228">
        <v>-112</v>
      </c>
      <c r="CF33" s="229">
        <v>-1.18E-2</v>
      </c>
      <c r="CG33" s="230">
        <v>1439</v>
      </c>
      <c r="CH33" s="230">
        <v>1422</v>
      </c>
      <c r="CI33" s="228">
        <v>17</v>
      </c>
      <c r="CJ33" s="229">
        <v>1.21E-2</v>
      </c>
      <c r="CK33" s="228">
        <v>236</v>
      </c>
      <c r="CL33" s="228">
        <v>147</v>
      </c>
      <c r="CM33" s="228">
        <v>89</v>
      </c>
      <c r="CN33" s="229">
        <v>0.60189999999999999</v>
      </c>
      <c r="CO33" s="230">
        <v>1634</v>
      </c>
      <c r="CP33" s="230">
        <v>1620</v>
      </c>
      <c r="CQ33" s="228">
        <v>14</v>
      </c>
      <c r="CR33" s="229">
        <v>8.3999999999999995E-3</v>
      </c>
      <c r="CS33" s="230">
        <v>1433</v>
      </c>
      <c r="CT33" s="230">
        <v>1416</v>
      </c>
      <c r="CU33" s="228">
        <v>17</v>
      </c>
      <c r="CV33" s="229">
        <v>1.23E-2</v>
      </c>
      <c r="CW33" s="230">
        <v>14081</v>
      </c>
      <c r="CX33" s="230">
        <v>14056</v>
      </c>
      <c r="CY33" s="228">
        <v>25</v>
      </c>
      <c r="CZ33" s="229">
        <v>1.8E-3</v>
      </c>
      <c r="DA33" s="228">
        <v>22.61</v>
      </c>
      <c r="DB33" s="228">
        <v>22.96</v>
      </c>
      <c r="DC33" s="228">
        <v>-0.35</v>
      </c>
      <c r="DD33" s="228">
        <v>-0.35</v>
      </c>
      <c r="DE33" s="228">
        <v>24.45</v>
      </c>
      <c r="DF33" s="228">
        <v>24.51</v>
      </c>
      <c r="DG33" s="228">
        <v>-1.84</v>
      </c>
      <c r="DH33" s="228">
        <v>-0.06</v>
      </c>
      <c r="DI33" s="228">
        <v>21.76</v>
      </c>
      <c r="DJ33" s="228">
        <v>21.99</v>
      </c>
      <c r="DK33" s="228">
        <v>-0.23</v>
      </c>
      <c r="DL33" s="228">
        <v>-0.23</v>
      </c>
      <c r="DM33" s="228">
        <v>24.11</v>
      </c>
      <c r="DN33" s="228">
        <v>25.33</v>
      </c>
      <c r="DO33" s="228">
        <v>-1.22</v>
      </c>
      <c r="DP33" s="228">
        <v>-1.22</v>
      </c>
      <c r="DQ33" s="228">
        <v>0.88</v>
      </c>
      <c r="DR33" s="228">
        <v>0.87</v>
      </c>
      <c r="DS33" s="228">
        <v>0.01</v>
      </c>
      <c r="DT33" s="229">
        <v>1.15E-2</v>
      </c>
      <c r="DU33" s="231">
        <v>1900</v>
      </c>
      <c r="DV33" s="231">
        <v>1800</v>
      </c>
      <c r="DW33" s="228">
        <v>0.56999999999999995</v>
      </c>
      <c r="DX33" s="228">
        <v>0.41</v>
      </c>
      <c r="DY33" s="228">
        <v>0.16</v>
      </c>
      <c r="DZ33" s="229">
        <v>0.39019999999999999</v>
      </c>
      <c r="EA33" s="229">
        <v>0.15210000000000001</v>
      </c>
      <c r="EB33" s="230">
        <v>8407500</v>
      </c>
      <c r="EC33" s="229">
        <v>5.7999999999999996E-3</v>
      </c>
      <c r="ED33" s="229">
        <v>0.15210000000000001</v>
      </c>
      <c r="EE33" s="228">
        <v>9.9700000000000006</v>
      </c>
      <c r="EF33" s="229">
        <v>5.4000000000000003E-3</v>
      </c>
      <c r="EG33" s="230">
        <v>4080084</v>
      </c>
      <c r="EH33" s="230">
        <v>6968538</v>
      </c>
      <c r="EI33" s="229">
        <v>-0.41449999999999998</v>
      </c>
      <c r="EJ33" s="229">
        <v>0.35849999999999999</v>
      </c>
      <c r="EK33" s="231">
        <v>2103.65</v>
      </c>
      <c r="EL33" s="231">
        <v>1140.8</v>
      </c>
      <c r="EM33" s="228">
        <v>734.9</v>
      </c>
      <c r="EN33" s="228">
        <v>138.46</v>
      </c>
      <c r="EO33" s="231">
        <v>3979.36</v>
      </c>
      <c r="EP33" s="231">
        <v>7817.87</v>
      </c>
      <c r="EQ33" s="231">
        <v>-3838.51</v>
      </c>
      <c r="ER33" s="229">
        <v>-0.49099999999999999</v>
      </c>
      <c r="ES33" s="231">
        <v>1654.11</v>
      </c>
      <c r="ET33" s="231">
        <v>1372.42</v>
      </c>
      <c r="EU33" s="231">
        <v>11025.13</v>
      </c>
      <c r="EV33" s="231">
        <v>342859930</v>
      </c>
      <c r="EW33" s="231">
        <v>14051.66</v>
      </c>
      <c r="EX33" s="231">
        <v>14022.7</v>
      </c>
      <c r="EY33" s="228">
        <v>28.96</v>
      </c>
      <c r="EZ33" s="229">
        <v>2.0999999999999999E-3</v>
      </c>
      <c r="FA33" s="229">
        <v>0.22009999999999999</v>
      </c>
      <c r="FB33" s="227" t="s">
        <v>694</v>
      </c>
      <c r="FC33">
        <f t="shared" si="0"/>
        <v>1675</v>
      </c>
    </row>
    <row r="34" spans="1:159" ht="17.25" thickBot="1" x14ac:dyDescent="0.3">
      <c r="A34" s="226">
        <v>46121</v>
      </c>
      <c r="B34" s="227" t="s">
        <v>184</v>
      </c>
      <c r="C34" s="227" t="s">
        <v>190</v>
      </c>
      <c r="D34" s="228">
        <v>2625</v>
      </c>
      <c r="E34" s="228">
        <v>19</v>
      </c>
      <c r="F34" s="228">
        <v>277.77</v>
      </c>
      <c r="G34" s="228">
        <v>267.24</v>
      </c>
      <c r="H34" s="228">
        <v>10.53</v>
      </c>
      <c r="I34" s="229">
        <v>3.9399999999999998E-2</v>
      </c>
      <c r="J34" s="228">
        <v>277.2</v>
      </c>
      <c r="K34" s="228">
        <v>265.7</v>
      </c>
      <c r="L34" s="228">
        <v>11.5</v>
      </c>
      <c r="M34" s="229">
        <v>4.3299999999999998E-2</v>
      </c>
      <c r="N34" s="228">
        <v>277.77</v>
      </c>
      <c r="O34" s="228">
        <v>267.24</v>
      </c>
      <c r="P34" s="228">
        <v>10.53</v>
      </c>
      <c r="Q34" s="229">
        <v>3.9399999999999998E-2</v>
      </c>
      <c r="R34" s="228">
        <v>279.41000000000003</v>
      </c>
      <c r="S34" s="228">
        <v>268.62</v>
      </c>
      <c r="T34" s="228">
        <v>10.79</v>
      </c>
      <c r="U34" s="229">
        <v>4.02E-2</v>
      </c>
      <c r="V34" s="228">
        <v>280.36</v>
      </c>
      <c r="W34" s="228">
        <v>269.91000000000003</v>
      </c>
      <c r="X34" s="228">
        <v>10.45</v>
      </c>
      <c r="Y34" s="229">
        <v>3.8699999999999998E-2</v>
      </c>
      <c r="Z34" s="228">
        <v>0.56999999999999995</v>
      </c>
      <c r="AA34" s="228">
        <v>1.54</v>
      </c>
      <c r="AB34" s="228">
        <v>-0.97</v>
      </c>
      <c r="AC34" s="229">
        <v>2.0999999999999999E-3</v>
      </c>
      <c r="AD34" s="228">
        <v>0.56999999999999995</v>
      </c>
      <c r="AE34" s="228">
        <v>1.54</v>
      </c>
      <c r="AF34" s="228">
        <v>-0.97</v>
      </c>
      <c r="AG34" s="229">
        <v>2.0999999999999999E-3</v>
      </c>
      <c r="AH34" s="228">
        <v>2.21</v>
      </c>
      <c r="AI34" s="228">
        <v>2.92</v>
      </c>
      <c r="AJ34" s="228">
        <v>-0.71</v>
      </c>
      <c r="AK34" s="229">
        <v>8.0000000000000002E-3</v>
      </c>
      <c r="AL34" s="228">
        <v>3.16</v>
      </c>
      <c r="AM34" s="228">
        <v>4.21</v>
      </c>
      <c r="AN34" s="228">
        <v>-1.05</v>
      </c>
      <c r="AO34" s="229">
        <v>1.14E-2</v>
      </c>
      <c r="AP34" s="228">
        <v>276.45999999999998</v>
      </c>
      <c r="AQ34" s="228">
        <v>277.64999999999998</v>
      </c>
      <c r="AR34" s="228">
        <v>0</v>
      </c>
      <c r="AS34" s="228">
        <v>925</v>
      </c>
      <c r="AT34" s="228">
        <v>629</v>
      </c>
      <c r="AU34" s="228">
        <v>296</v>
      </c>
      <c r="AV34" s="229">
        <v>0.47049999999999997</v>
      </c>
      <c r="AW34" s="228">
        <v>858</v>
      </c>
      <c r="AX34" s="228">
        <v>601</v>
      </c>
      <c r="AY34" s="228">
        <v>257</v>
      </c>
      <c r="AZ34" s="229">
        <v>0.42830000000000001</v>
      </c>
      <c r="BA34" s="228">
        <v>57</v>
      </c>
      <c r="BB34" s="228">
        <v>24</v>
      </c>
      <c r="BC34" s="228">
        <v>32</v>
      </c>
      <c r="BD34" s="229">
        <v>1.3444</v>
      </c>
      <c r="BE34" s="228">
        <v>10</v>
      </c>
      <c r="BF34" s="228">
        <v>4</v>
      </c>
      <c r="BG34" s="228">
        <v>6</v>
      </c>
      <c r="BH34" s="229">
        <v>1.5179</v>
      </c>
      <c r="BI34" s="230">
        <v>3670</v>
      </c>
      <c r="BJ34" s="230">
        <v>1382</v>
      </c>
      <c r="BK34" s="230">
        <v>2289</v>
      </c>
      <c r="BL34" s="229">
        <v>1.6566000000000001</v>
      </c>
      <c r="BM34" s="230">
        <v>1525</v>
      </c>
      <c r="BN34" s="228">
        <v>726</v>
      </c>
      <c r="BO34" s="228">
        <v>800</v>
      </c>
      <c r="BP34" s="229">
        <v>1.1015999999999999</v>
      </c>
      <c r="BQ34" s="230">
        <v>6121</v>
      </c>
      <c r="BR34" s="230">
        <v>2736</v>
      </c>
      <c r="BS34" s="230">
        <v>3384</v>
      </c>
      <c r="BT34" s="229">
        <v>1.2366999999999999</v>
      </c>
      <c r="BU34" s="230">
        <v>33082481</v>
      </c>
      <c r="BV34" s="230">
        <v>17961151</v>
      </c>
      <c r="BW34" s="230">
        <v>15121330</v>
      </c>
      <c r="BX34" s="229">
        <v>0.84189999999999998</v>
      </c>
      <c r="BY34" s="230">
        <v>2732</v>
      </c>
      <c r="BZ34" s="230">
        <v>2742</v>
      </c>
      <c r="CA34" s="228">
        <v>-10</v>
      </c>
      <c r="CB34" s="229">
        <v>-3.5999999999999999E-3</v>
      </c>
      <c r="CC34" s="230">
        <v>2672</v>
      </c>
      <c r="CD34" s="230">
        <v>2693</v>
      </c>
      <c r="CE34" s="228">
        <v>-20</v>
      </c>
      <c r="CF34" s="229">
        <v>-7.6E-3</v>
      </c>
      <c r="CG34" s="228">
        <v>53</v>
      </c>
      <c r="CH34" s="228">
        <v>45</v>
      </c>
      <c r="CI34" s="228">
        <v>9</v>
      </c>
      <c r="CJ34" s="229">
        <v>0.19059999999999999</v>
      </c>
      <c r="CK34" s="228">
        <v>7</v>
      </c>
      <c r="CL34" s="228">
        <v>5</v>
      </c>
      <c r="CM34" s="228">
        <v>2</v>
      </c>
      <c r="CN34" s="229">
        <v>0.40910000000000002</v>
      </c>
      <c r="CO34" s="228">
        <v>872</v>
      </c>
      <c r="CP34" s="228">
        <v>808</v>
      </c>
      <c r="CQ34" s="228">
        <v>65</v>
      </c>
      <c r="CR34" s="229">
        <v>8.0100000000000005E-2</v>
      </c>
      <c r="CS34" s="228">
        <v>709</v>
      </c>
      <c r="CT34" s="228">
        <v>653</v>
      </c>
      <c r="CU34" s="228">
        <v>55</v>
      </c>
      <c r="CV34" s="229">
        <v>8.4599999999999995E-2</v>
      </c>
      <c r="CW34" s="230">
        <v>4313</v>
      </c>
      <c r="CX34" s="230">
        <v>4203</v>
      </c>
      <c r="CY34" s="228">
        <v>110</v>
      </c>
      <c r="CZ34" s="229">
        <v>2.6200000000000001E-2</v>
      </c>
      <c r="DA34" s="228">
        <v>38.630000000000003</v>
      </c>
      <c r="DB34" s="228">
        <v>37.909999999999997</v>
      </c>
      <c r="DC34" s="228">
        <v>0.72</v>
      </c>
      <c r="DD34" s="228">
        <v>0.72</v>
      </c>
      <c r="DE34" s="228">
        <v>47.02</v>
      </c>
      <c r="DF34" s="228">
        <v>46.85</v>
      </c>
      <c r="DG34" s="228">
        <v>-8.39</v>
      </c>
      <c r="DH34" s="228">
        <v>0.17</v>
      </c>
      <c r="DI34" s="228">
        <v>37.46</v>
      </c>
      <c r="DJ34" s="228">
        <v>36.25</v>
      </c>
      <c r="DK34" s="228">
        <v>1.21</v>
      </c>
      <c r="DL34" s="228">
        <v>1.21</v>
      </c>
      <c r="DM34" s="228">
        <v>41.44</v>
      </c>
      <c r="DN34" s="228">
        <v>41.07</v>
      </c>
      <c r="DO34" s="228">
        <v>0.37</v>
      </c>
      <c r="DP34" s="228">
        <v>0.37</v>
      </c>
      <c r="DQ34" s="228">
        <v>0.81</v>
      </c>
      <c r="DR34" s="228">
        <v>0.81</v>
      </c>
      <c r="DS34" s="228">
        <v>0</v>
      </c>
      <c r="DT34" s="229">
        <v>0</v>
      </c>
      <c r="DU34" s="228">
        <v>260</v>
      </c>
      <c r="DV34" s="228">
        <v>250</v>
      </c>
      <c r="DW34" s="228">
        <v>0.42</v>
      </c>
      <c r="DX34" s="228">
        <v>0.53</v>
      </c>
      <c r="DY34" s="228">
        <v>-0.11</v>
      </c>
      <c r="DZ34" s="229">
        <v>-0.20749999999999999</v>
      </c>
      <c r="EA34" s="229">
        <v>2.1999999999999999E-2</v>
      </c>
      <c r="EB34" s="230">
        <v>1785000</v>
      </c>
      <c r="EC34" s="229">
        <v>5.8999999999999999E-3</v>
      </c>
      <c r="ED34" s="229">
        <v>2.1999999999999999E-2</v>
      </c>
      <c r="EE34" s="228">
        <v>1.19</v>
      </c>
      <c r="EF34" s="229">
        <v>4.3E-3</v>
      </c>
      <c r="EG34" s="230">
        <v>10529178</v>
      </c>
      <c r="EH34" s="230">
        <v>8622431</v>
      </c>
      <c r="EI34" s="229">
        <v>0.22109999999999999</v>
      </c>
      <c r="EJ34" s="229">
        <v>0.31830000000000003</v>
      </c>
      <c r="EK34" s="231">
        <v>3858.88</v>
      </c>
      <c r="EL34" s="231">
        <v>1470.83</v>
      </c>
      <c r="EM34" s="228">
        <v>920.97</v>
      </c>
      <c r="EN34" s="228">
        <v>81.89</v>
      </c>
      <c r="EO34" s="231">
        <v>6250.68</v>
      </c>
      <c r="EP34" s="231">
        <v>2672.61</v>
      </c>
      <c r="EQ34" s="231">
        <v>3578.07</v>
      </c>
      <c r="ER34" s="229">
        <v>1.3388</v>
      </c>
      <c r="ES34" s="228">
        <v>861.22</v>
      </c>
      <c r="ET34" s="228">
        <v>637.75</v>
      </c>
      <c r="EU34" s="231">
        <v>2732.71</v>
      </c>
      <c r="EV34" s="231">
        <v>192361942</v>
      </c>
      <c r="EW34" s="231">
        <v>4231.68</v>
      </c>
      <c r="EX34" s="231">
        <v>3999.01</v>
      </c>
      <c r="EY34" s="228">
        <v>232.67</v>
      </c>
      <c r="EZ34" s="229">
        <v>5.8200000000000002E-2</v>
      </c>
      <c r="FA34" s="229">
        <v>0.80730000000000002</v>
      </c>
      <c r="FB34" s="227" t="s">
        <v>694</v>
      </c>
      <c r="FC34">
        <f t="shared" si="0"/>
        <v>60</v>
      </c>
    </row>
    <row r="35" spans="1:159" ht="17.25" thickBot="1" x14ac:dyDescent="0.3">
      <c r="A35" s="226">
        <v>46121</v>
      </c>
      <c r="B35" s="227" t="s">
        <v>170</v>
      </c>
      <c r="C35" s="227" t="s">
        <v>191</v>
      </c>
      <c r="D35" s="228">
        <v>2500</v>
      </c>
      <c r="E35" s="228">
        <v>19</v>
      </c>
      <c r="F35" s="228">
        <v>346.8</v>
      </c>
      <c r="G35" s="228">
        <v>351.4</v>
      </c>
      <c r="H35" s="228">
        <v>-4.5999999999999996</v>
      </c>
      <c r="I35" s="229">
        <v>-1.3100000000000001E-2</v>
      </c>
      <c r="J35" s="228">
        <v>345.7</v>
      </c>
      <c r="K35" s="228">
        <v>349.8</v>
      </c>
      <c r="L35" s="228">
        <v>-4.0999999999999996</v>
      </c>
      <c r="M35" s="229">
        <v>-1.17E-2</v>
      </c>
      <c r="N35" s="228">
        <v>346.8</v>
      </c>
      <c r="O35" s="228">
        <v>351.4</v>
      </c>
      <c r="P35" s="228">
        <v>-4.5999999999999996</v>
      </c>
      <c r="Q35" s="229">
        <v>-1.3100000000000001E-2</v>
      </c>
      <c r="R35" s="228">
        <v>348.7</v>
      </c>
      <c r="S35" s="228">
        <v>353.2</v>
      </c>
      <c r="T35" s="228">
        <v>-4.5</v>
      </c>
      <c r="U35" s="229">
        <v>-1.2699999999999999E-2</v>
      </c>
      <c r="V35" s="228">
        <v>351.3</v>
      </c>
      <c r="W35" s="228">
        <v>355.85</v>
      </c>
      <c r="X35" s="228">
        <v>-4.55</v>
      </c>
      <c r="Y35" s="229">
        <v>-1.2800000000000001E-2</v>
      </c>
      <c r="Z35" s="228">
        <v>1.1000000000000001</v>
      </c>
      <c r="AA35" s="228">
        <v>1.6</v>
      </c>
      <c r="AB35" s="228">
        <v>-0.5</v>
      </c>
      <c r="AC35" s="229">
        <v>3.2000000000000002E-3</v>
      </c>
      <c r="AD35" s="228">
        <v>1.1000000000000001</v>
      </c>
      <c r="AE35" s="228">
        <v>1.6</v>
      </c>
      <c r="AF35" s="228">
        <v>-0.5</v>
      </c>
      <c r="AG35" s="229">
        <v>3.2000000000000002E-3</v>
      </c>
      <c r="AH35" s="228">
        <v>3</v>
      </c>
      <c r="AI35" s="228">
        <v>3.4</v>
      </c>
      <c r="AJ35" s="228">
        <v>-0.4</v>
      </c>
      <c r="AK35" s="229">
        <v>8.6999999999999994E-3</v>
      </c>
      <c r="AL35" s="228">
        <v>5.6</v>
      </c>
      <c r="AM35" s="228">
        <v>6.05</v>
      </c>
      <c r="AN35" s="228">
        <v>-0.45</v>
      </c>
      <c r="AO35" s="229">
        <v>1.6199999999999999E-2</v>
      </c>
      <c r="AP35" s="228">
        <v>347.93</v>
      </c>
      <c r="AQ35" s="228">
        <v>350.22</v>
      </c>
      <c r="AR35" s="228">
        <v>0</v>
      </c>
      <c r="AS35" s="228">
        <v>232</v>
      </c>
      <c r="AT35" s="228">
        <v>467</v>
      </c>
      <c r="AU35" s="228">
        <v>-235</v>
      </c>
      <c r="AV35" s="229">
        <v>-0.50270000000000004</v>
      </c>
      <c r="AW35" s="228">
        <v>209</v>
      </c>
      <c r="AX35" s="228">
        <v>430</v>
      </c>
      <c r="AY35" s="228">
        <v>-221</v>
      </c>
      <c r="AZ35" s="229">
        <v>-0.51380000000000003</v>
      </c>
      <c r="BA35" s="228">
        <v>21</v>
      </c>
      <c r="BB35" s="228">
        <v>32</v>
      </c>
      <c r="BC35" s="228">
        <v>-11</v>
      </c>
      <c r="BD35" s="229">
        <v>-0.35410000000000003</v>
      </c>
      <c r="BE35" s="228">
        <v>2</v>
      </c>
      <c r="BF35" s="228">
        <v>4</v>
      </c>
      <c r="BG35" s="228">
        <v>-2</v>
      </c>
      <c r="BH35" s="229">
        <v>-0.5</v>
      </c>
      <c r="BI35" s="228">
        <v>465</v>
      </c>
      <c r="BJ35" s="230">
        <v>1076</v>
      </c>
      <c r="BK35" s="228">
        <v>-611</v>
      </c>
      <c r="BL35" s="229">
        <v>-0.5675</v>
      </c>
      <c r="BM35" s="228">
        <v>187</v>
      </c>
      <c r="BN35" s="228">
        <v>591</v>
      </c>
      <c r="BO35" s="228">
        <v>-404</v>
      </c>
      <c r="BP35" s="229">
        <v>-0.6835</v>
      </c>
      <c r="BQ35" s="228">
        <v>885</v>
      </c>
      <c r="BR35" s="230">
        <v>2134</v>
      </c>
      <c r="BS35" s="230">
        <v>-1249</v>
      </c>
      <c r="BT35" s="229">
        <v>-0.58540000000000003</v>
      </c>
      <c r="BU35" s="230">
        <v>2467049</v>
      </c>
      <c r="BV35" s="230">
        <v>7334264</v>
      </c>
      <c r="BW35" s="230">
        <v>-4867215</v>
      </c>
      <c r="BX35" s="229">
        <v>-0.66359999999999997</v>
      </c>
      <c r="BY35" s="230">
        <v>1304</v>
      </c>
      <c r="BZ35" s="230">
        <v>1269</v>
      </c>
      <c r="CA35" s="228">
        <v>36</v>
      </c>
      <c r="CB35" s="229">
        <v>2.8199999999999999E-2</v>
      </c>
      <c r="CC35" s="230">
        <v>1241</v>
      </c>
      <c r="CD35" s="230">
        <v>1215</v>
      </c>
      <c r="CE35" s="228">
        <v>25</v>
      </c>
      <c r="CF35" s="229">
        <v>2.0799999999999999E-2</v>
      </c>
      <c r="CG35" s="228">
        <v>58</v>
      </c>
      <c r="CH35" s="228">
        <v>49</v>
      </c>
      <c r="CI35" s="228">
        <v>9</v>
      </c>
      <c r="CJ35" s="229">
        <v>0.18940000000000001</v>
      </c>
      <c r="CK35" s="228">
        <v>5</v>
      </c>
      <c r="CL35" s="228">
        <v>4</v>
      </c>
      <c r="CM35" s="228">
        <v>1</v>
      </c>
      <c r="CN35" s="229">
        <v>0.26</v>
      </c>
      <c r="CO35" s="228">
        <v>709</v>
      </c>
      <c r="CP35" s="228">
        <v>643</v>
      </c>
      <c r="CQ35" s="228">
        <v>66</v>
      </c>
      <c r="CR35" s="229">
        <v>0.1024</v>
      </c>
      <c r="CS35" s="228">
        <v>495</v>
      </c>
      <c r="CT35" s="228">
        <v>474</v>
      </c>
      <c r="CU35" s="228">
        <v>21</v>
      </c>
      <c r="CV35" s="229">
        <v>4.4299999999999999E-2</v>
      </c>
      <c r="CW35" s="230">
        <v>2507</v>
      </c>
      <c r="CX35" s="230">
        <v>2385</v>
      </c>
      <c r="CY35" s="228">
        <v>123</v>
      </c>
      <c r="CZ35" s="229">
        <v>5.1400000000000001E-2</v>
      </c>
      <c r="DA35" s="228">
        <v>36.57</v>
      </c>
      <c r="DB35" s="228">
        <v>37.11</v>
      </c>
      <c r="DC35" s="228">
        <v>-0.54</v>
      </c>
      <c r="DD35" s="228">
        <v>-0.54</v>
      </c>
      <c r="DE35" s="228">
        <v>36.6</v>
      </c>
      <c r="DF35" s="228">
        <v>36.65</v>
      </c>
      <c r="DG35" s="228">
        <v>-0.03</v>
      </c>
      <c r="DH35" s="228">
        <v>-0.05</v>
      </c>
      <c r="DI35" s="228">
        <v>36.31</v>
      </c>
      <c r="DJ35" s="228">
        <v>36.43</v>
      </c>
      <c r="DK35" s="228">
        <v>-0.12</v>
      </c>
      <c r="DL35" s="228">
        <v>-0.12</v>
      </c>
      <c r="DM35" s="228">
        <v>37.21</v>
      </c>
      <c r="DN35" s="228">
        <v>38.340000000000003</v>
      </c>
      <c r="DO35" s="228">
        <v>-1.1299999999999999</v>
      </c>
      <c r="DP35" s="228">
        <v>-1.1299999999999999</v>
      </c>
      <c r="DQ35" s="228">
        <v>0.7</v>
      </c>
      <c r="DR35" s="228">
        <v>0.74</v>
      </c>
      <c r="DS35" s="228">
        <v>-0.04</v>
      </c>
      <c r="DT35" s="229">
        <v>-5.4100000000000002E-2</v>
      </c>
      <c r="DU35" s="228">
        <v>370</v>
      </c>
      <c r="DV35" s="228">
        <v>340</v>
      </c>
      <c r="DW35" s="228">
        <v>0.4</v>
      </c>
      <c r="DX35" s="228">
        <v>0.55000000000000004</v>
      </c>
      <c r="DY35" s="228">
        <v>-0.15</v>
      </c>
      <c r="DZ35" s="229">
        <v>-0.2727</v>
      </c>
      <c r="EA35" s="229">
        <v>4.8899999999999999E-2</v>
      </c>
      <c r="EB35" s="230">
        <v>1537500</v>
      </c>
      <c r="EC35" s="229">
        <v>5.4999999999999997E-3</v>
      </c>
      <c r="ED35" s="229">
        <v>4.8899999999999999E-2</v>
      </c>
      <c r="EE35" s="228">
        <v>2.29</v>
      </c>
      <c r="EF35" s="229">
        <v>6.6E-3</v>
      </c>
      <c r="EG35" s="230">
        <v>1028307</v>
      </c>
      <c r="EH35" s="230">
        <v>3944268</v>
      </c>
      <c r="EI35" s="229">
        <v>-0.73929999999999996</v>
      </c>
      <c r="EJ35" s="229">
        <v>0.4168</v>
      </c>
      <c r="EK35" s="228">
        <v>497.85</v>
      </c>
      <c r="EL35" s="228">
        <v>189.19</v>
      </c>
      <c r="EM35" s="228">
        <v>233.01</v>
      </c>
      <c r="EN35" s="228">
        <v>47.82</v>
      </c>
      <c r="EO35" s="228">
        <v>920.06</v>
      </c>
      <c r="EP35" s="231">
        <v>2224.62</v>
      </c>
      <c r="EQ35" s="231">
        <v>-1304.56</v>
      </c>
      <c r="ER35" s="229">
        <v>-0.58640000000000003</v>
      </c>
      <c r="ES35" s="228">
        <v>767.81</v>
      </c>
      <c r="ET35" s="228">
        <v>495.66</v>
      </c>
      <c r="EU35" s="231">
        <v>1304.7</v>
      </c>
      <c r="EV35" s="231">
        <v>108004143</v>
      </c>
      <c r="EW35" s="231">
        <v>2568.17</v>
      </c>
      <c r="EX35" s="231">
        <v>2459.98</v>
      </c>
      <c r="EY35" s="228">
        <v>108.19</v>
      </c>
      <c r="EZ35" s="229">
        <v>4.3999999999999997E-2</v>
      </c>
      <c r="FA35" s="229">
        <v>0.6694</v>
      </c>
      <c r="FB35" s="227" t="s">
        <v>566</v>
      </c>
      <c r="FC35">
        <f t="shared" si="0"/>
        <v>63</v>
      </c>
    </row>
    <row r="36" spans="1:159" ht="17.25" thickBot="1" x14ac:dyDescent="0.3">
      <c r="A36" s="226">
        <v>46121</v>
      </c>
      <c r="B36" s="227" t="s">
        <v>184</v>
      </c>
      <c r="C36" s="227" t="s">
        <v>677</v>
      </c>
      <c r="D36" s="228">
        <v>325</v>
      </c>
      <c r="E36" s="228">
        <v>19</v>
      </c>
      <c r="F36" s="231">
        <v>1648.9</v>
      </c>
      <c r="G36" s="231">
        <v>1622</v>
      </c>
      <c r="H36" s="228">
        <v>26.9</v>
      </c>
      <c r="I36" s="229">
        <v>1.66E-2</v>
      </c>
      <c r="J36" s="231">
        <v>1655.6</v>
      </c>
      <c r="K36" s="231">
        <v>1619.4</v>
      </c>
      <c r="L36" s="228">
        <v>36.200000000000003</v>
      </c>
      <c r="M36" s="229">
        <v>2.24E-2</v>
      </c>
      <c r="N36" s="231">
        <v>1648.9</v>
      </c>
      <c r="O36" s="231">
        <v>1622</v>
      </c>
      <c r="P36" s="228">
        <v>26.9</v>
      </c>
      <c r="Q36" s="229">
        <v>1.66E-2</v>
      </c>
      <c r="R36" s="231">
        <v>1642.1</v>
      </c>
      <c r="S36" s="231">
        <v>1617.4</v>
      </c>
      <c r="T36" s="228">
        <v>24.7</v>
      </c>
      <c r="U36" s="229">
        <v>1.5299999999999999E-2</v>
      </c>
      <c r="V36" s="231">
        <v>1640</v>
      </c>
      <c r="W36" s="231">
        <v>1617.3</v>
      </c>
      <c r="X36" s="228">
        <v>22.7</v>
      </c>
      <c r="Y36" s="229">
        <v>1.4E-2</v>
      </c>
      <c r="Z36" s="228">
        <v>-6.7</v>
      </c>
      <c r="AA36" s="228">
        <v>2.6</v>
      </c>
      <c r="AB36" s="228">
        <v>-9.3000000000000007</v>
      </c>
      <c r="AC36" s="229">
        <v>-4.0000000000000001E-3</v>
      </c>
      <c r="AD36" s="228">
        <v>-6.7</v>
      </c>
      <c r="AE36" s="228">
        <v>2.6</v>
      </c>
      <c r="AF36" s="228">
        <v>-9.3000000000000007</v>
      </c>
      <c r="AG36" s="229">
        <v>-4.0000000000000001E-3</v>
      </c>
      <c r="AH36" s="228">
        <v>-13.5</v>
      </c>
      <c r="AI36" s="228">
        <v>-2</v>
      </c>
      <c r="AJ36" s="228">
        <v>-11.5</v>
      </c>
      <c r="AK36" s="229">
        <v>-8.2000000000000007E-3</v>
      </c>
      <c r="AL36" s="228">
        <v>-15.6</v>
      </c>
      <c r="AM36" s="228">
        <v>-2.1</v>
      </c>
      <c r="AN36" s="228">
        <v>-13.5</v>
      </c>
      <c r="AO36" s="229">
        <v>-9.4000000000000004E-3</v>
      </c>
      <c r="AP36" s="231">
        <v>1639.49</v>
      </c>
      <c r="AQ36" s="231">
        <v>1629.96</v>
      </c>
      <c r="AR36" s="228">
        <v>0</v>
      </c>
      <c r="AS36" s="228">
        <v>203</v>
      </c>
      <c r="AT36" s="228">
        <v>227</v>
      </c>
      <c r="AU36" s="228">
        <v>-24</v>
      </c>
      <c r="AV36" s="229">
        <v>-0.1079</v>
      </c>
      <c r="AW36" s="228">
        <v>179</v>
      </c>
      <c r="AX36" s="228">
        <v>200</v>
      </c>
      <c r="AY36" s="228">
        <v>-22</v>
      </c>
      <c r="AZ36" s="229">
        <v>-0.1081</v>
      </c>
      <c r="BA36" s="228">
        <v>24</v>
      </c>
      <c r="BB36" s="228">
        <v>26</v>
      </c>
      <c r="BC36" s="228">
        <v>-3</v>
      </c>
      <c r="BD36" s="229">
        <v>-0.1053</v>
      </c>
      <c r="BE36" s="228">
        <v>0</v>
      </c>
      <c r="BF36" s="228">
        <v>0</v>
      </c>
      <c r="BG36" s="228">
        <v>0</v>
      </c>
      <c r="BH36" s="229">
        <v>-0.1429</v>
      </c>
      <c r="BI36" s="228">
        <v>313</v>
      </c>
      <c r="BJ36" s="228">
        <v>338</v>
      </c>
      <c r="BK36" s="228">
        <v>-25</v>
      </c>
      <c r="BL36" s="229">
        <v>-7.3800000000000004E-2</v>
      </c>
      <c r="BM36" s="228">
        <v>111</v>
      </c>
      <c r="BN36" s="228">
        <v>232</v>
      </c>
      <c r="BO36" s="228">
        <v>-121</v>
      </c>
      <c r="BP36" s="229">
        <v>-0.52200000000000002</v>
      </c>
      <c r="BQ36" s="228">
        <v>627</v>
      </c>
      <c r="BR36" s="228">
        <v>798</v>
      </c>
      <c r="BS36" s="228">
        <v>-171</v>
      </c>
      <c r="BT36" s="229">
        <v>-0.214</v>
      </c>
      <c r="BU36" s="230">
        <v>890226</v>
      </c>
      <c r="BV36" s="230">
        <v>1758700</v>
      </c>
      <c r="BW36" s="230">
        <v>-868474</v>
      </c>
      <c r="BX36" s="229">
        <v>-0.49380000000000002</v>
      </c>
      <c r="BY36" s="228">
        <v>469</v>
      </c>
      <c r="BZ36" s="228">
        <v>426</v>
      </c>
      <c r="CA36" s="228">
        <v>43</v>
      </c>
      <c r="CB36" s="229">
        <v>0.1011</v>
      </c>
      <c r="CC36" s="228">
        <v>429</v>
      </c>
      <c r="CD36" s="228">
        <v>399</v>
      </c>
      <c r="CE36" s="228">
        <v>31</v>
      </c>
      <c r="CF36" s="229">
        <v>7.6799999999999993E-2</v>
      </c>
      <c r="CG36" s="228">
        <v>39</v>
      </c>
      <c r="CH36" s="228">
        <v>27</v>
      </c>
      <c r="CI36" s="228">
        <v>13</v>
      </c>
      <c r="CJ36" s="229">
        <v>0.4718</v>
      </c>
      <c r="CK36" s="228">
        <v>0</v>
      </c>
      <c r="CL36" s="228">
        <v>0</v>
      </c>
      <c r="CM36" s="228">
        <v>0</v>
      </c>
      <c r="CN36" s="229">
        <v>-0.22220000000000001</v>
      </c>
      <c r="CO36" s="228">
        <v>174</v>
      </c>
      <c r="CP36" s="228">
        <v>183</v>
      </c>
      <c r="CQ36" s="228">
        <v>-9</v>
      </c>
      <c r="CR36" s="229">
        <v>-5.0099999999999999E-2</v>
      </c>
      <c r="CS36" s="228">
        <v>103</v>
      </c>
      <c r="CT36" s="228">
        <v>100</v>
      </c>
      <c r="CU36" s="228">
        <v>3</v>
      </c>
      <c r="CV36" s="229">
        <v>3.3799999999999997E-2</v>
      </c>
      <c r="CW36" s="228">
        <v>746</v>
      </c>
      <c r="CX36" s="228">
        <v>708</v>
      </c>
      <c r="CY36" s="228">
        <v>37</v>
      </c>
      <c r="CZ36" s="229">
        <v>5.2600000000000001E-2</v>
      </c>
      <c r="DA36" s="228">
        <v>43.28</v>
      </c>
      <c r="DB36" s="228">
        <v>44.53</v>
      </c>
      <c r="DC36" s="228">
        <v>-1.25</v>
      </c>
      <c r="DD36" s="228">
        <v>-1.25</v>
      </c>
      <c r="DE36" s="228">
        <v>42.43</v>
      </c>
      <c r="DF36" s="228">
        <v>42.48</v>
      </c>
      <c r="DG36" s="228">
        <v>0.85</v>
      </c>
      <c r="DH36" s="228">
        <v>-0.05</v>
      </c>
      <c r="DI36" s="228">
        <v>41.88</v>
      </c>
      <c r="DJ36" s="228">
        <v>41.78</v>
      </c>
      <c r="DK36" s="228">
        <v>0.1</v>
      </c>
      <c r="DL36" s="228">
        <v>0.1</v>
      </c>
      <c r="DM36" s="228">
        <v>47.24</v>
      </c>
      <c r="DN36" s="228">
        <v>48.55</v>
      </c>
      <c r="DO36" s="228">
        <v>-1.31</v>
      </c>
      <c r="DP36" s="228">
        <v>-1.31</v>
      </c>
      <c r="DQ36" s="228">
        <v>0.59</v>
      </c>
      <c r="DR36" s="228">
        <v>0.55000000000000004</v>
      </c>
      <c r="DS36" s="228">
        <v>0.04</v>
      </c>
      <c r="DT36" s="229">
        <v>7.2700000000000001E-2</v>
      </c>
      <c r="DU36" s="231">
        <v>1900</v>
      </c>
      <c r="DV36" s="231">
        <v>1500</v>
      </c>
      <c r="DW36" s="228">
        <v>0.35</v>
      </c>
      <c r="DX36" s="228">
        <v>0.69</v>
      </c>
      <c r="DY36" s="228">
        <v>-0.34</v>
      </c>
      <c r="DZ36" s="229">
        <v>-0.49280000000000002</v>
      </c>
      <c r="EA36" s="229">
        <v>8.43E-2</v>
      </c>
      <c r="EB36" s="230">
        <v>164125</v>
      </c>
      <c r="EC36" s="229">
        <v>-4.1000000000000003E-3</v>
      </c>
      <c r="ED36" s="229">
        <v>8.43E-2</v>
      </c>
      <c r="EE36" s="228">
        <v>-9.5299999999999994</v>
      </c>
      <c r="EF36" s="229">
        <v>-5.7999999999999996E-3</v>
      </c>
      <c r="EG36" s="230">
        <v>391584</v>
      </c>
      <c r="EH36" s="230">
        <v>1251150</v>
      </c>
      <c r="EI36" s="229">
        <v>-0.68700000000000006</v>
      </c>
      <c r="EJ36" s="229">
        <v>0.43990000000000001</v>
      </c>
      <c r="EK36" s="228">
        <v>336.39</v>
      </c>
      <c r="EL36" s="228">
        <v>105.35</v>
      </c>
      <c r="EM36" s="228">
        <v>201.27</v>
      </c>
      <c r="EN36" s="228">
        <v>33.81</v>
      </c>
      <c r="EO36" s="228">
        <v>643.01</v>
      </c>
      <c r="EP36" s="228">
        <v>794.29</v>
      </c>
      <c r="EQ36" s="228">
        <v>-151.28</v>
      </c>
      <c r="ER36" s="229">
        <v>-0.1905</v>
      </c>
      <c r="ES36" s="228">
        <v>184.91</v>
      </c>
      <c r="ET36" s="228">
        <v>97.12</v>
      </c>
      <c r="EU36" s="228">
        <v>468.53</v>
      </c>
      <c r="EV36" s="231">
        <v>15745076</v>
      </c>
      <c r="EW36" s="228">
        <v>750.56</v>
      </c>
      <c r="EX36" s="228">
        <v>708.22</v>
      </c>
      <c r="EY36" s="228">
        <v>42.34</v>
      </c>
      <c r="EZ36" s="229">
        <v>5.9799999999999999E-2</v>
      </c>
      <c r="FA36" s="229">
        <v>0.28720000000000001</v>
      </c>
      <c r="FB36" s="227" t="s">
        <v>555</v>
      </c>
      <c r="FC36">
        <f t="shared" si="0"/>
        <v>40</v>
      </c>
    </row>
    <row r="37" spans="1:159" ht="17.25" thickBot="1" x14ac:dyDescent="0.3">
      <c r="A37" s="226">
        <v>46121</v>
      </c>
      <c r="B37" s="227" t="s">
        <v>162</v>
      </c>
      <c r="C37" s="227" t="s">
        <v>192</v>
      </c>
      <c r="D37" s="228">
        <v>25</v>
      </c>
      <c r="E37" s="228">
        <v>19</v>
      </c>
      <c r="F37" s="231">
        <v>36840</v>
      </c>
      <c r="G37" s="231">
        <v>36125</v>
      </c>
      <c r="H37" s="228">
        <v>715</v>
      </c>
      <c r="I37" s="229">
        <v>1.9800000000000002E-2</v>
      </c>
      <c r="J37" s="231">
        <v>36770</v>
      </c>
      <c r="K37" s="231">
        <v>35935</v>
      </c>
      <c r="L37" s="228">
        <v>835</v>
      </c>
      <c r="M37" s="229">
        <v>2.3199999999999998E-2</v>
      </c>
      <c r="N37" s="231">
        <v>36840</v>
      </c>
      <c r="O37" s="231">
        <v>36125</v>
      </c>
      <c r="P37" s="228">
        <v>715</v>
      </c>
      <c r="Q37" s="229">
        <v>1.9800000000000002E-2</v>
      </c>
      <c r="R37" s="231">
        <v>36990</v>
      </c>
      <c r="S37" s="231">
        <v>36315</v>
      </c>
      <c r="T37" s="228">
        <v>675</v>
      </c>
      <c r="U37" s="229">
        <v>1.8599999999999998E-2</v>
      </c>
      <c r="V37" s="231">
        <v>37120</v>
      </c>
      <c r="W37" s="231">
        <v>36400</v>
      </c>
      <c r="X37" s="228">
        <v>720</v>
      </c>
      <c r="Y37" s="229">
        <v>1.9800000000000002E-2</v>
      </c>
      <c r="Z37" s="228">
        <v>70</v>
      </c>
      <c r="AA37" s="228">
        <v>190</v>
      </c>
      <c r="AB37" s="228">
        <v>-120</v>
      </c>
      <c r="AC37" s="229">
        <v>1.9E-3</v>
      </c>
      <c r="AD37" s="228">
        <v>70</v>
      </c>
      <c r="AE37" s="228">
        <v>190</v>
      </c>
      <c r="AF37" s="228">
        <v>-120</v>
      </c>
      <c r="AG37" s="229">
        <v>1.9E-3</v>
      </c>
      <c r="AH37" s="228">
        <v>220</v>
      </c>
      <c r="AI37" s="228">
        <v>380</v>
      </c>
      <c r="AJ37" s="228">
        <v>-160</v>
      </c>
      <c r="AK37" s="229">
        <v>6.0000000000000001E-3</v>
      </c>
      <c r="AL37" s="228">
        <v>350</v>
      </c>
      <c r="AM37" s="228">
        <v>465</v>
      </c>
      <c r="AN37" s="228">
        <v>-115</v>
      </c>
      <c r="AO37" s="229">
        <v>9.4999999999999998E-3</v>
      </c>
      <c r="AP37" s="231">
        <v>36854.36</v>
      </c>
      <c r="AQ37" s="231">
        <v>37036.06</v>
      </c>
      <c r="AR37" s="228">
        <v>0</v>
      </c>
      <c r="AS37" s="230">
        <v>1026</v>
      </c>
      <c r="AT37" s="228">
        <v>592</v>
      </c>
      <c r="AU37" s="228">
        <v>434</v>
      </c>
      <c r="AV37" s="229">
        <v>0.73250000000000004</v>
      </c>
      <c r="AW37" s="228">
        <v>973</v>
      </c>
      <c r="AX37" s="228">
        <v>568</v>
      </c>
      <c r="AY37" s="228">
        <v>405</v>
      </c>
      <c r="AZ37" s="229">
        <v>0.71189999999999998</v>
      </c>
      <c r="BA37" s="228">
        <v>50</v>
      </c>
      <c r="BB37" s="228">
        <v>22</v>
      </c>
      <c r="BC37" s="228">
        <v>28</v>
      </c>
      <c r="BD37" s="229">
        <v>1.2645</v>
      </c>
      <c r="BE37" s="228">
        <v>3</v>
      </c>
      <c r="BF37" s="228">
        <v>2</v>
      </c>
      <c r="BG37" s="228">
        <v>1</v>
      </c>
      <c r="BH37" s="229">
        <v>0.65</v>
      </c>
      <c r="BI37" s="230">
        <v>5747</v>
      </c>
      <c r="BJ37" s="230">
        <v>3251</v>
      </c>
      <c r="BK37" s="230">
        <v>2496</v>
      </c>
      <c r="BL37" s="229">
        <v>0.76780000000000004</v>
      </c>
      <c r="BM37" s="230">
        <v>1910</v>
      </c>
      <c r="BN37" s="228">
        <v>920</v>
      </c>
      <c r="BO37" s="228">
        <v>990</v>
      </c>
      <c r="BP37" s="229">
        <v>1.0753999999999999</v>
      </c>
      <c r="BQ37" s="230">
        <v>8683</v>
      </c>
      <c r="BR37" s="230">
        <v>4764</v>
      </c>
      <c r="BS37" s="230">
        <v>3919</v>
      </c>
      <c r="BT37" s="229">
        <v>0.82279999999999998</v>
      </c>
      <c r="BU37" s="230">
        <v>277508</v>
      </c>
      <c r="BV37" s="230">
        <v>110887</v>
      </c>
      <c r="BW37" s="230">
        <v>166621</v>
      </c>
      <c r="BX37" s="229">
        <v>1.5025999999999999</v>
      </c>
      <c r="BY37" s="230">
        <v>1348</v>
      </c>
      <c r="BZ37" s="230">
        <v>1340</v>
      </c>
      <c r="CA37" s="228">
        <v>8</v>
      </c>
      <c r="CB37" s="229">
        <v>6.0000000000000001E-3</v>
      </c>
      <c r="CC37" s="230">
        <v>1313</v>
      </c>
      <c r="CD37" s="230">
        <v>1314</v>
      </c>
      <c r="CE37" s="228">
        <v>-1</v>
      </c>
      <c r="CF37" s="229">
        <v>-8.9999999999999998E-4</v>
      </c>
      <c r="CG37" s="228">
        <v>33</v>
      </c>
      <c r="CH37" s="228">
        <v>24</v>
      </c>
      <c r="CI37" s="228">
        <v>9</v>
      </c>
      <c r="CJ37" s="229">
        <v>0.36230000000000001</v>
      </c>
      <c r="CK37" s="228">
        <v>1</v>
      </c>
      <c r="CL37" s="228">
        <v>1</v>
      </c>
      <c r="CM37" s="228">
        <v>0</v>
      </c>
      <c r="CN37" s="229">
        <v>0.45450000000000002</v>
      </c>
      <c r="CO37" s="228">
        <v>964</v>
      </c>
      <c r="CP37" s="228">
        <v>907</v>
      </c>
      <c r="CQ37" s="228">
        <v>57</v>
      </c>
      <c r="CR37" s="229">
        <v>6.3E-2</v>
      </c>
      <c r="CS37" s="228">
        <v>680</v>
      </c>
      <c r="CT37" s="228">
        <v>568</v>
      </c>
      <c r="CU37" s="228">
        <v>112</v>
      </c>
      <c r="CV37" s="229">
        <v>0.19789999999999999</v>
      </c>
      <c r="CW37" s="230">
        <v>2992</v>
      </c>
      <c r="CX37" s="230">
        <v>2815</v>
      </c>
      <c r="CY37" s="228">
        <v>178</v>
      </c>
      <c r="CZ37" s="229">
        <v>6.3100000000000003E-2</v>
      </c>
      <c r="DA37" s="228">
        <v>42.37</v>
      </c>
      <c r="DB37" s="228">
        <v>43.24</v>
      </c>
      <c r="DC37" s="228">
        <v>-0.87</v>
      </c>
      <c r="DD37" s="228">
        <v>-0.87</v>
      </c>
      <c r="DE37" s="228">
        <v>35.18</v>
      </c>
      <c r="DF37" s="228">
        <v>35.159999999999997</v>
      </c>
      <c r="DG37" s="228">
        <v>7.19</v>
      </c>
      <c r="DH37" s="228">
        <v>0.02</v>
      </c>
      <c r="DI37" s="228">
        <v>41.96</v>
      </c>
      <c r="DJ37" s="228">
        <v>42.98</v>
      </c>
      <c r="DK37" s="228">
        <v>-1.02</v>
      </c>
      <c r="DL37" s="228">
        <v>-1.02</v>
      </c>
      <c r="DM37" s="228">
        <v>43.61</v>
      </c>
      <c r="DN37" s="228">
        <v>44.13</v>
      </c>
      <c r="DO37" s="228">
        <v>-0.52</v>
      </c>
      <c r="DP37" s="228">
        <v>-0.52</v>
      </c>
      <c r="DQ37" s="228">
        <v>0.71</v>
      </c>
      <c r="DR37" s="228">
        <v>0.63</v>
      </c>
      <c r="DS37" s="228">
        <v>0.08</v>
      </c>
      <c r="DT37" s="229">
        <v>0.127</v>
      </c>
      <c r="DU37" s="231">
        <v>40000</v>
      </c>
      <c r="DV37" s="231">
        <v>30000</v>
      </c>
      <c r="DW37" s="228">
        <v>0.33</v>
      </c>
      <c r="DX37" s="228">
        <v>0.28000000000000003</v>
      </c>
      <c r="DY37" s="228">
        <v>0.05</v>
      </c>
      <c r="DZ37" s="229">
        <v>0.17860000000000001</v>
      </c>
      <c r="EA37" s="229">
        <v>2.58E-2</v>
      </c>
      <c r="EB37" s="230">
        <v>6900</v>
      </c>
      <c r="EC37" s="229">
        <v>4.1000000000000003E-3</v>
      </c>
      <c r="ED37" s="229">
        <v>2.58E-2</v>
      </c>
      <c r="EE37" s="228">
        <v>181.7</v>
      </c>
      <c r="EF37" s="229">
        <v>4.8999999999999998E-3</v>
      </c>
      <c r="EG37" s="230">
        <v>74933</v>
      </c>
      <c r="EH37" s="230">
        <v>36752</v>
      </c>
      <c r="EI37" s="229">
        <v>1.0388999999999999</v>
      </c>
      <c r="EJ37" s="229">
        <v>0.27</v>
      </c>
      <c r="EK37" s="231">
        <v>6230.88</v>
      </c>
      <c r="EL37" s="231">
        <v>1802.68</v>
      </c>
      <c r="EM37" s="231">
        <v>1027.1199999999999</v>
      </c>
      <c r="EN37" s="228">
        <v>50.31</v>
      </c>
      <c r="EO37" s="231">
        <v>9060.69</v>
      </c>
      <c r="EP37" s="231">
        <v>4828.9399999999996</v>
      </c>
      <c r="EQ37" s="231">
        <v>4231.75</v>
      </c>
      <c r="ER37" s="229">
        <v>0.87629999999999997</v>
      </c>
      <c r="ES37" s="228">
        <v>969.98</v>
      </c>
      <c r="ET37" s="228">
        <v>593.38</v>
      </c>
      <c r="EU37" s="231">
        <v>1348.12</v>
      </c>
      <c r="EV37" s="231">
        <v>868841</v>
      </c>
      <c r="EW37" s="231">
        <v>2911.48</v>
      </c>
      <c r="EX37" s="231">
        <v>2699.6</v>
      </c>
      <c r="EY37" s="228">
        <v>211.88</v>
      </c>
      <c r="EZ37" s="229">
        <v>7.85E-2</v>
      </c>
      <c r="FA37" s="229">
        <v>0.93479999999999996</v>
      </c>
      <c r="FB37" s="227" t="s">
        <v>555</v>
      </c>
      <c r="FC37">
        <f t="shared" si="0"/>
        <v>35</v>
      </c>
    </row>
    <row r="38" spans="1:159" ht="17.25" thickBot="1" x14ac:dyDescent="0.3">
      <c r="A38" s="226">
        <v>46121</v>
      </c>
      <c r="B38" s="227" t="s">
        <v>193</v>
      </c>
      <c r="C38" s="227" t="s">
        <v>194</v>
      </c>
      <c r="D38" s="228">
        <v>1975</v>
      </c>
      <c r="E38" s="228">
        <v>19</v>
      </c>
      <c r="F38" s="228">
        <v>297.95</v>
      </c>
      <c r="G38" s="228">
        <v>298.64999999999998</v>
      </c>
      <c r="H38" s="228">
        <v>-0.7</v>
      </c>
      <c r="I38" s="229">
        <v>-2.3E-3</v>
      </c>
      <c r="J38" s="228">
        <v>297.35000000000002</v>
      </c>
      <c r="K38" s="228">
        <v>298.10000000000002</v>
      </c>
      <c r="L38" s="228">
        <v>-0.75</v>
      </c>
      <c r="M38" s="229">
        <v>-2.5000000000000001E-3</v>
      </c>
      <c r="N38" s="228">
        <v>297.95</v>
      </c>
      <c r="O38" s="228">
        <v>298.64999999999998</v>
      </c>
      <c r="P38" s="228">
        <v>-0.7</v>
      </c>
      <c r="Q38" s="229">
        <v>-2.3E-3</v>
      </c>
      <c r="R38" s="228">
        <v>299.95</v>
      </c>
      <c r="S38" s="228">
        <v>300.5</v>
      </c>
      <c r="T38" s="228">
        <v>-0.55000000000000004</v>
      </c>
      <c r="U38" s="229">
        <v>-1.8E-3</v>
      </c>
      <c r="V38" s="228">
        <v>301</v>
      </c>
      <c r="W38" s="228">
        <v>302.05</v>
      </c>
      <c r="X38" s="228">
        <v>-1.05</v>
      </c>
      <c r="Y38" s="229">
        <v>-3.5000000000000001E-3</v>
      </c>
      <c r="Z38" s="228">
        <v>0.6</v>
      </c>
      <c r="AA38" s="228">
        <v>0.55000000000000004</v>
      </c>
      <c r="AB38" s="228">
        <v>0.05</v>
      </c>
      <c r="AC38" s="229">
        <v>2E-3</v>
      </c>
      <c r="AD38" s="228">
        <v>0.6</v>
      </c>
      <c r="AE38" s="228">
        <v>0.55000000000000004</v>
      </c>
      <c r="AF38" s="228">
        <v>0.05</v>
      </c>
      <c r="AG38" s="229">
        <v>2E-3</v>
      </c>
      <c r="AH38" s="228">
        <v>2.6</v>
      </c>
      <c r="AI38" s="228">
        <v>2.4</v>
      </c>
      <c r="AJ38" s="228">
        <v>0.2</v>
      </c>
      <c r="AK38" s="229">
        <v>8.6999999999999994E-3</v>
      </c>
      <c r="AL38" s="228">
        <v>3.65</v>
      </c>
      <c r="AM38" s="228">
        <v>3.95</v>
      </c>
      <c r="AN38" s="228">
        <v>-0.3</v>
      </c>
      <c r="AO38" s="229">
        <v>1.23E-2</v>
      </c>
      <c r="AP38" s="228">
        <v>297.27</v>
      </c>
      <c r="AQ38" s="228">
        <v>299.07</v>
      </c>
      <c r="AR38" s="228">
        <v>0</v>
      </c>
      <c r="AS38" s="228">
        <v>360</v>
      </c>
      <c r="AT38" s="228">
        <v>642</v>
      </c>
      <c r="AU38" s="228">
        <v>-281</v>
      </c>
      <c r="AV38" s="229">
        <v>-0.4385</v>
      </c>
      <c r="AW38" s="228">
        <v>341</v>
      </c>
      <c r="AX38" s="228">
        <v>606</v>
      </c>
      <c r="AY38" s="228">
        <v>-265</v>
      </c>
      <c r="AZ38" s="229">
        <v>-0.438</v>
      </c>
      <c r="BA38" s="228">
        <v>17</v>
      </c>
      <c r="BB38" s="228">
        <v>32</v>
      </c>
      <c r="BC38" s="228">
        <v>-15</v>
      </c>
      <c r="BD38" s="229">
        <v>-0.47439999999999999</v>
      </c>
      <c r="BE38" s="228">
        <v>3</v>
      </c>
      <c r="BF38" s="228">
        <v>4</v>
      </c>
      <c r="BG38" s="228">
        <v>-1</v>
      </c>
      <c r="BH38" s="229">
        <v>-0.2097</v>
      </c>
      <c r="BI38" s="228">
        <v>736</v>
      </c>
      <c r="BJ38" s="230">
        <v>1920</v>
      </c>
      <c r="BK38" s="230">
        <v>-1184</v>
      </c>
      <c r="BL38" s="229">
        <v>-0.61660000000000004</v>
      </c>
      <c r="BM38" s="228">
        <v>515</v>
      </c>
      <c r="BN38" s="228">
        <v>842</v>
      </c>
      <c r="BO38" s="228">
        <v>-327</v>
      </c>
      <c r="BP38" s="229">
        <v>-0.3881</v>
      </c>
      <c r="BQ38" s="230">
        <v>1612</v>
      </c>
      <c r="BR38" s="230">
        <v>3403</v>
      </c>
      <c r="BS38" s="230">
        <v>-1792</v>
      </c>
      <c r="BT38" s="229">
        <v>-0.52649999999999997</v>
      </c>
      <c r="BU38" s="230">
        <v>18126431</v>
      </c>
      <c r="BV38" s="230">
        <v>28170202</v>
      </c>
      <c r="BW38" s="230">
        <v>-10043771</v>
      </c>
      <c r="BX38" s="229">
        <v>-0.35649999999999998</v>
      </c>
      <c r="BY38" s="230">
        <v>1554</v>
      </c>
      <c r="BZ38" s="230">
        <v>1545</v>
      </c>
      <c r="CA38" s="228">
        <v>9</v>
      </c>
      <c r="CB38" s="229">
        <v>5.7999999999999996E-3</v>
      </c>
      <c r="CC38" s="230">
        <v>1513</v>
      </c>
      <c r="CD38" s="230">
        <v>1511</v>
      </c>
      <c r="CE38" s="228">
        <v>2</v>
      </c>
      <c r="CF38" s="229">
        <v>1.6000000000000001E-3</v>
      </c>
      <c r="CG38" s="228">
        <v>38</v>
      </c>
      <c r="CH38" s="228">
        <v>32</v>
      </c>
      <c r="CI38" s="228">
        <v>6</v>
      </c>
      <c r="CJ38" s="229">
        <v>0.1837</v>
      </c>
      <c r="CK38" s="228">
        <v>4</v>
      </c>
      <c r="CL38" s="228">
        <v>3</v>
      </c>
      <c r="CM38" s="228">
        <v>1</v>
      </c>
      <c r="CN38" s="229">
        <v>0.24</v>
      </c>
      <c r="CO38" s="228">
        <v>586</v>
      </c>
      <c r="CP38" s="228">
        <v>606</v>
      </c>
      <c r="CQ38" s="228">
        <v>-20</v>
      </c>
      <c r="CR38" s="229">
        <v>-3.3000000000000002E-2</v>
      </c>
      <c r="CS38" s="228">
        <v>483</v>
      </c>
      <c r="CT38" s="228">
        <v>381</v>
      </c>
      <c r="CU38" s="228">
        <v>102</v>
      </c>
      <c r="CV38" s="229">
        <v>0.26889999999999997</v>
      </c>
      <c r="CW38" s="230">
        <v>2623</v>
      </c>
      <c r="CX38" s="230">
        <v>2532</v>
      </c>
      <c r="CY38" s="228">
        <v>91</v>
      </c>
      <c r="CZ38" s="229">
        <v>3.61E-2</v>
      </c>
      <c r="DA38" s="228">
        <v>39.99</v>
      </c>
      <c r="DB38" s="228">
        <v>42.23</v>
      </c>
      <c r="DC38" s="228">
        <v>-2.2400000000000002</v>
      </c>
      <c r="DD38" s="228">
        <v>-2.2400000000000002</v>
      </c>
      <c r="DE38" s="228">
        <v>36.74</v>
      </c>
      <c r="DF38" s="228">
        <v>36.840000000000003</v>
      </c>
      <c r="DG38" s="228">
        <v>3.25</v>
      </c>
      <c r="DH38" s="228">
        <v>-0.1</v>
      </c>
      <c r="DI38" s="228">
        <v>38.31</v>
      </c>
      <c r="DJ38" s="228">
        <v>40.880000000000003</v>
      </c>
      <c r="DK38" s="228">
        <v>-2.57</v>
      </c>
      <c r="DL38" s="228">
        <v>-2.57</v>
      </c>
      <c r="DM38" s="228">
        <v>42.39</v>
      </c>
      <c r="DN38" s="228">
        <v>45.31</v>
      </c>
      <c r="DO38" s="228">
        <v>-2.92</v>
      </c>
      <c r="DP38" s="228">
        <v>-2.92</v>
      </c>
      <c r="DQ38" s="228">
        <v>0.82</v>
      </c>
      <c r="DR38" s="228">
        <v>0.63</v>
      </c>
      <c r="DS38" s="228">
        <v>0.19</v>
      </c>
      <c r="DT38" s="229">
        <v>0.30159999999999998</v>
      </c>
      <c r="DU38" s="228">
        <v>300</v>
      </c>
      <c r="DV38" s="228">
        <v>300</v>
      </c>
      <c r="DW38" s="228">
        <v>0.7</v>
      </c>
      <c r="DX38" s="228">
        <v>0.44</v>
      </c>
      <c r="DY38" s="228">
        <v>0.26</v>
      </c>
      <c r="DZ38" s="229">
        <v>0.59089999999999998</v>
      </c>
      <c r="EA38" s="229">
        <v>2.6499999999999999E-2</v>
      </c>
      <c r="EB38" s="230">
        <v>1163275</v>
      </c>
      <c r="EC38" s="229">
        <v>6.7000000000000002E-3</v>
      </c>
      <c r="ED38" s="229">
        <v>2.6499999999999999E-2</v>
      </c>
      <c r="EE38" s="228">
        <v>1.8</v>
      </c>
      <c r="EF38" s="229">
        <v>6.1000000000000004E-3</v>
      </c>
      <c r="EG38" s="230">
        <v>10894939</v>
      </c>
      <c r="EH38" s="230">
        <v>12347791</v>
      </c>
      <c r="EI38" s="229">
        <v>-0.1177</v>
      </c>
      <c r="EJ38" s="229">
        <v>0.60109999999999997</v>
      </c>
      <c r="EK38" s="228">
        <v>789.63</v>
      </c>
      <c r="EL38" s="228">
        <v>508.4</v>
      </c>
      <c r="EM38" s="228">
        <v>359.74</v>
      </c>
      <c r="EN38" s="228">
        <v>67.37</v>
      </c>
      <c r="EO38" s="231">
        <v>1657.76</v>
      </c>
      <c r="EP38" s="231">
        <v>3503.59</v>
      </c>
      <c r="EQ38" s="231">
        <v>-1845.83</v>
      </c>
      <c r="ER38" s="229">
        <v>-0.52680000000000005</v>
      </c>
      <c r="ES38" s="228">
        <v>619.72</v>
      </c>
      <c r="ET38" s="228">
        <v>457.74</v>
      </c>
      <c r="EU38" s="231">
        <v>1554.62</v>
      </c>
      <c r="EV38" s="231">
        <v>306020745</v>
      </c>
      <c r="EW38" s="231">
        <v>2632.09</v>
      </c>
      <c r="EX38" s="231">
        <v>2547.69</v>
      </c>
      <c r="EY38" s="228">
        <v>84.4</v>
      </c>
      <c r="EZ38" s="229">
        <v>3.3099999999999997E-2</v>
      </c>
      <c r="FA38" s="229">
        <v>0.28770000000000001</v>
      </c>
      <c r="FB38" s="227" t="s">
        <v>566</v>
      </c>
      <c r="FC38">
        <f t="shared" si="0"/>
        <v>41</v>
      </c>
    </row>
    <row r="39" spans="1:159" ht="17.25" thickBot="1" x14ac:dyDescent="0.3">
      <c r="A39" s="226">
        <v>46121</v>
      </c>
      <c r="B39" s="227" t="s">
        <v>168</v>
      </c>
      <c r="C39" s="227" t="s">
        <v>195</v>
      </c>
      <c r="D39" s="228">
        <v>125</v>
      </c>
      <c r="E39" s="228">
        <v>19</v>
      </c>
      <c r="F39" s="231">
        <v>5485</v>
      </c>
      <c r="G39" s="231">
        <v>5617</v>
      </c>
      <c r="H39" s="228">
        <v>-132</v>
      </c>
      <c r="I39" s="229">
        <v>-2.35E-2</v>
      </c>
      <c r="J39" s="231">
        <v>5475</v>
      </c>
      <c r="K39" s="231">
        <v>5594.5</v>
      </c>
      <c r="L39" s="228">
        <v>-119.5</v>
      </c>
      <c r="M39" s="229">
        <v>-2.1399999999999999E-2</v>
      </c>
      <c r="N39" s="231">
        <v>5485</v>
      </c>
      <c r="O39" s="231">
        <v>5617</v>
      </c>
      <c r="P39" s="228">
        <v>-132</v>
      </c>
      <c r="Q39" s="229">
        <v>-2.35E-2</v>
      </c>
      <c r="R39" s="231">
        <v>5516.5</v>
      </c>
      <c r="S39" s="231">
        <v>5651</v>
      </c>
      <c r="T39" s="228">
        <v>-134.5</v>
      </c>
      <c r="U39" s="229">
        <v>-2.3800000000000002E-2</v>
      </c>
      <c r="V39" s="231">
        <v>5549.5</v>
      </c>
      <c r="W39" s="231">
        <v>5670</v>
      </c>
      <c r="X39" s="228">
        <v>-120.5</v>
      </c>
      <c r="Y39" s="229">
        <v>-2.1299999999999999E-2</v>
      </c>
      <c r="Z39" s="228">
        <v>10</v>
      </c>
      <c r="AA39" s="228">
        <v>22.5</v>
      </c>
      <c r="AB39" s="228">
        <v>-12.5</v>
      </c>
      <c r="AC39" s="229">
        <v>1.8E-3</v>
      </c>
      <c r="AD39" s="228">
        <v>10</v>
      </c>
      <c r="AE39" s="228">
        <v>22.5</v>
      </c>
      <c r="AF39" s="228">
        <v>-12.5</v>
      </c>
      <c r="AG39" s="229">
        <v>1.8E-3</v>
      </c>
      <c r="AH39" s="228">
        <v>41.5</v>
      </c>
      <c r="AI39" s="228">
        <v>56.5</v>
      </c>
      <c r="AJ39" s="228">
        <v>-15</v>
      </c>
      <c r="AK39" s="229">
        <v>7.6E-3</v>
      </c>
      <c r="AL39" s="228">
        <v>74.5</v>
      </c>
      <c r="AM39" s="228">
        <v>75.5</v>
      </c>
      <c r="AN39" s="228">
        <v>-1</v>
      </c>
      <c r="AO39" s="229">
        <v>1.3599999999999999E-2</v>
      </c>
      <c r="AP39" s="231">
        <v>5501.88</v>
      </c>
      <c r="AQ39" s="231">
        <v>5542.54</v>
      </c>
      <c r="AR39" s="228">
        <v>0</v>
      </c>
      <c r="AS39" s="228">
        <v>515</v>
      </c>
      <c r="AT39" s="228">
        <v>154</v>
      </c>
      <c r="AU39" s="228">
        <v>360</v>
      </c>
      <c r="AV39" s="229">
        <v>2.3332999999999999</v>
      </c>
      <c r="AW39" s="228">
        <v>497</v>
      </c>
      <c r="AX39" s="228">
        <v>144</v>
      </c>
      <c r="AY39" s="228">
        <v>354</v>
      </c>
      <c r="AZ39" s="229">
        <v>2.4639000000000002</v>
      </c>
      <c r="BA39" s="228">
        <v>17</v>
      </c>
      <c r="BB39" s="228">
        <v>10</v>
      </c>
      <c r="BC39" s="228">
        <v>6</v>
      </c>
      <c r="BD39" s="229">
        <v>0.61439999999999995</v>
      </c>
      <c r="BE39" s="228">
        <v>1</v>
      </c>
      <c r="BF39" s="228">
        <v>0</v>
      </c>
      <c r="BG39" s="228">
        <v>0</v>
      </c>
      <c r="BH39" s="229">
        <v>0.85709999999999997</v>
      </c>
      <c r="BI39" s="228">
        <v>875</v>
      </c>
      <c r="BJ39" s="228">
        <v>421</v>
      </c>
      <c r="BK39" s="228">
        <v>454</v>
      </c>
      <c r="BL39" s="229">
        <v>1.0768</v>
      </c>
      <c r="BM39" s="228">
        <v>596</v>
      </c>
      <c r="BN39" s="228">
        <v>165</v>
      </c>
      <c r="BO39" s="228">
        <v>432</v>
      </c>
      <c r="BP39" s="229">
        <v>2.6204999999999998</v>
      </c>
      <c r="BQ39" s="230">
        <v>1986</v>
      </c>
      <c r="BR39" s="228">
        <v>740</v>
      </c>
      <c r="BS39" s="230">
        <v>1246</v>
      </c>
      <c r="BT39" s="229">
        <v>1.6823999999999999</v>
      </c>
      <c r="BU39" s="230">
        <v>636430</v>
      </c>
      <c r="BV39" s="230">
        <v>496039</v>
      </c>
      <c r="BW39" s="230">
        <v>140391</v>
      </c>
      <c r="BX39" s="229">
        <v>0.28299999999999997</v>
      </c>
      <c r="BY39" s="230">
        <v>1609</v>
      </c>
      <c r="BZ39" s="230">
        <v>1537</v>
      </c>
      <c r="CA39" s="228">
        <v>73</v>
      </c>
      <c r="CB39" s="229">
        <v>4.7300000000000002E-2</v>
      </c>
      <c r="CC39" s="230">
        <v>1577</v>
      </c>
      <c r="CD39" s="230">
        <v>1511</v>
      </c>
      <c r="CE39" s="228">
        <v>66</v>
      </c>
      <c r="CF39" s="229">
        <v>4.3900000000000002E-2</v>
      </c>
      <c r="CG39" s="228">
        <v>31</v>
      </c>
      <c r="CH39" s="228">
        <v>25</v>
      </c>
      <c r="CI39" s="228">
        <v>6</v>
      </c>
      <c r="CJ39" s="229">
        <v>0.22739999999999999</v>
      </c>
      <c r="CK39" s="228">
        <v>2</v>
      </c>
      <c r="CL39" s="228">
        <v>1</v>
      </c>
      <c r="CM39" s="228">
        <v>1</v>
      </c>
      <c r="CN39" s="229">
        <v>0.5333</v>
      </c>
      <c r="CO39" s="228">
        <v>285</v>
      </c>
      <c r="CP39" s="228">
        <v>179</v>
      </c>
      <c r="CQ39" s="228">
        <v>106</v>
      </c>
      <c r="CR39" s="229">
        <v>0.59389999999999998</v>
      </c>
      <c r="CS39" s="228">
        <v>320</v>
      </c>
      <c r="CT39" s="228">
        <v>236</v>
      </c>
      <c r="CU39" s="228">
        <v>84</v>
      </c>
      <c r="CV39" s="229">
        <v>0.35589999999999999</v>
      </c>
      <c r="CW39" s="230">
        <v>2214</v>
      </c>
      <c r="CX39" s="230">
        <v>1951</v>
      </c>
      <c r="CY39" s="228">
        <v>263</v>
      </c>
      <c r="CZ39" s="229">
        <v>0.13469999999999999</v>
      </c>
      <c r="DA39" s="228">
        <v>27.96</v>
      </c>
      <c r="DB39" s="228">
        <v>25.66</v>
      </c>
      <c r="DC39" s="228">
        <v>2.2999999999999998</v>
      </c>
      <c r="DD39" s="228">
        <v>2.2999999999999998</v>
      </c>
      <c r="DE39" s="228">
        <v>24.64</v>
      </c>
      <c r="DF39" s="228">
        <v>24.53</v>
      </c>
      <c r="DG39" s="228">
        <v>3.32</v>
      </c>
      <c r="DH39" s="228">
        <v>0.11</v>
      </c>
      <c r="DI39" s="228">
        <v>27.42</v>
      </c>
      <c r="DJ39" s="228">
        <v>25.03</v>
      </c>
      <c r="DK39" s="228">
        <v>2.39</v>
      </c>
      <c r="DL39" s="228">
        <v>2.39</v>
      </c>
      <c r="DM39" s="228">
        <v>28.75</v>
      </c>
      <c r="DN39" s="228">
        <v>27.28</v>
      </c>
      <c r="DO39" s="228">
        <v>1.47</v>
      </c>
      <c r="DP39" s="228">
        <v>1.47</v>
      </c>
      <c r="DQ39" s="228">
        <v>1.1200000000000001</v>
      </c>
      <c r="DR39" s="228">
        <v>1.32</v>
      </c>
      <c r="DS39" s="228">
        <v>-0.2</v>
      </c>
      <c r="DT39" s="229">
        <v>-0.1515</v>
      </c>
      <c r="DU39" s="231">
        <v>6000</v>
      </c>
      <c r="DV39" s="231">
        <v>5000</v>
      </c>
      <c r="DW39" s="228">
        <v>0.68</v>
      </c>
      <c r="DX39" s="228">
        <v>0.39</v>
      </c>
      <c r="DY39" s="228">
        <v>0.28999999999999998</v>
      </c>
      <c r="DZ39" s="229">
        <v>0.74360000000000004</v>
      </c>
      <c r="EA39" s="229">
        <v>2.01E-2</v>
      </c>
      <c r="EB39" s="230">
        <v>47500</v>
      </c>
      <c r="EC39" s="229">
        <v>5.7000000000000002E-3</v>
      </c>
      <c r="ED39" s="229">
        <v>2.01E-2</v>
      </c>
      <c r="EE39" s="228">
        <v>40.659999999999997</v>
      </c>
      <c r="EF39" s="229">
        <v>7.4000000000000003E-3</v>
      </c>
      <c r="EG39" s="230">
        <v>328907</v>
      </c>
      <c r="EH39" s="230">
        <v>279603</v>
      </c>
      <c r="EI39" s="229">
        <v>0.17630000000000001</v>
      </c>
      <c r="EJ39" s="229">
        <v>0.51680000000000004</v>
      </c>
      <c r="EK39" s="228">
        <v>920.07</v>
      </c>
      <c r="EL39" s="228">
        <v>589.96</v>
      </c>
      <c r="EM39" s="228">
        <v>516.63</v>
      </c>
      <c r="EN39" s="228">
        <v>23.38</v>
      </c>
      <c r="EO39" s="231">
        <v>2026.66</v>
      </c>
      <c r="EP39" s="228">
        <v>772.94</v>
      </c>
      <c r="EQ39" s="231">
        <v>1253.72</v>
      </c>
      <c r="ER39" s="229">
        <v>1.6220000000000001</v>
      </c>
      <c r="ES39" s="228">
        <v>300.51</v>
      </c>
      <c r="ET39" s="228">
        <v>305.55</v>
      </c>
      <c r="EU39" s="231">
        <v>1609.36</v>
      </c>
      <c r="EV39" s="231">
        <v>14553559</v>
      </c>
      <c r="EW39" s="231">
        <v>2215.41</v>
      </c>
      <c r="EX39" s="231">
        <v>1988.39</v>
      </c>
      <c r="EY39" s="228">
        <v>227.02</v>
      </c>
      <c r="EZ39" s="229">
        <v>0.1142</v>
      </c>
      <c r="FA39" s="229">
        <v>0.27739999999999998</v>
      </c>
      <c r="FB39" s="227" t="s">
        <v>566</v>
      </c>
      <c r="FC39">
        <f t="shared" si="0"/>
        <v>32</v>
      </c>
    </row>
    <row r="40" spans="1:159" ht="17.25" thickBot="1" x14ac:dyDescent="0.3">
      <c r="A40" s="226">
        <v>46121</v>
      </c>
      <c r="B40" s="227" t="s">
        <v>175</v>
      </c>
      <c r="C40" s="227" t="s">
        <v>583</v>
      </c>
      <c r="D40" s="228">
        <v>375</v>
      </c>
      <c r="E40" s="228">
        <v>19</v>
      </c>
      <c r="F40" s="231">
        <v>3274.4</v>
      </c>
      <c r="G40" s="231">
        <v>3176.2</v>
      </c>
      <c r="H40" s="228">
        <v>98.2</v>
      </c>
      <c r="I40" s="229">
        <v>3.09E-2</v>
      </c>
      <c r="J40" s="231">
        <v>3257.4</v>
      </c>
      <c r="K40" s="231">
        <v>3163.6</v>
      </c>
      <c r="L40" s="228">
        <v>93.8</v>
      </c>
      <c r="M40" s="229">
        <v>2.9600000000000001E-2</v>
      </c>
      <c r="N40" s="231">
        <v>3274.4</v>
      </c>
      <c r="O40" s="231">
        <v>3176.2</v>
      </c>
      <c r="P40" s="228">
        <v>98.2</v>
      </c>
      <c r="Q40" s="229">
        <v>3.09E-2</v>
      </c>
      <c r="R40" s="231">
        <v>3271.8</v>
      </c>
      <c r="S40" s="231">
        <v>3177.9</v>
      </c>
      <c r="T40" s="228">
        <v>93.9</v>
      </c>
      <c r="U40" s="229">
        <v>2.9499999999999998E-2</v>
      </c>
      <c r="V40" s="231">
        <v>3281.7</v>
      </c>
      <c r="W40" s="231">
        <v>3183.7</v>
      </c>
      <c r="X40" s="228">
        <v>98</v>
      </c>
      <c r="Y40" s="229">
        <v>3.0800000000000001E-2</v>
      </c>
      <c r="Z40" s="228">
        <v>17</v>
      </c>
      <c r="AA40" s="228">
        <v>12.6</v>
      </c>
      <c r="AB40" s="228">
        <v>4.4000000000000004</v>
      </c>
      <c r="AC40" s="229">
        <v>5.1999999999999998E-3</v>
      </c>
      <c r="AD40" s="228">
        <v>17</v>
      </c>
      <c r="AE40" s="228">
        <v>12.6</v>
      </c>
      <c r="AF40" s="228">
        <v>4.4000000000000004</v>
      </c>
      <c r="AG40" s="229">
        <v>5.1999999999999998E-3</v>
      </c>
      <c r="AH40" s="228">
        <v>14.4</v>
      </c>
      <c r="AI40" s="228">
        <v>14.3</v>
      </c>
      <c r="AJ40" s="228">
        <v>0.1</v>
      </c>
      <c r="AK40" s="229">
        <v>4.4000000000000003E-3</v>
      </c>
      <c r="AL40" s="228">
        <v>24.3</v>
      </c>
      <c r="AM40" s="228">
        <v>20.100000000000001</v>
      </c>
      <c r="AN40" s="228">
        <v>4.2</v>
      </c>
      <c r="AO40" s="229">
        <v>7.4999999999999997E-3</v>
      </c>
      <c r="AP40" s="231">
        <v>3240.64</v>
      </c>
      <c r="AQ40" s="231">
        <v>3238.08</v>
      </c>
      <c r="AR40" s="228">
        <v>0</v>
      </c>
      <c r="AS40" s="230">
        <v>1468</v>
      </c>
      <c r="AT40" s="230">
        <v>1841</v>
      </c>
      <c r="AU40" s="228">
        <v>-373</v>
      </c>
      <c r="AV40" s="229">
        <v>-0.20269999999999999</v>
      </c>
      <c r="AW40" s="230">
        <v>1337</v>
      </c>
      <c r="AX40" s="230">
        <v>1697</v>
      </c>
      <c r="AY40" s="228">
        <v>-360</v>
      </c>
      <c r="AZ40" s="229">
        <v>-0.21210000000000001</v>
      </c>
      <c r="BA40" s="228">
        <v>105</v>
      </c>
      <c r="BB40" s="228">
        <v>121</v>
      </c>
      <c r="BC40" s="228">
        <v>-15</v>
      </c>
      <c r="BD40" s="229">
        <v>-0.127</v>
      </c>
      <c r="BE40" s="228">
        <v>26</v>
      </c>
      <c r="BF40" s="228">
        <v>24</v>
      </c>
      <c r="BG40" s="228">
        <v>2</v>
      </c>
      <c r="BH40" s="229">
        <v>8.2900000000000001E-2</v>
      </c>
      <c r="BI40" s="230">
        <v>7610</v>
      </c>
      <c r="BJ40" s="230">
        <v>8731</v>
      </c>
      <c r="BK40" s="230">
        <v>-1121</v>
      </c>
      <c r="BL40" s="229">
        <v>-0.12839999999999999</v>
      </c>
      <c r="BM40" s="230">
        <v>4081</v>
      </c>
      <c r="BN40" s="230">
        <v>4736</v>
      </c>
      <c r="BO40" s="228">
        <v>-655</v>
      </c>
      <c r="BP40" s="229">
        <v>-0.13830000000000001</v>
      </c>
      <c r="BQ40" s="230">
        <v>13159</v>
      </c>
      <c r="BR40" s="230">
        <v>15308</v>
      </c>
      <c r="BS40" s="230">
        <v>-2150</v>
      </c>
      <c r="BT40" s="229">
        <v>-0.1404</v>
      </c>
      <c r="BU40" s="230">
        <v>7362810</v>
      </c>
      <c r="BV40" s="230">
        <v>10418736</v>
      </c>
      <c r="BW40" s="230">
        <v>-3055926</v>
      </c>
      <c r="BX40" s="229">
        <v>-0.29330000000000001</v>
      </c>
      <c r="BY40" s="230">
        <v>2626</v>
      </c>
      <c r="BZ40" s="230">
        <v>2419</v>
      </c>
      <c r="CA40" s="228">
        <v>208</v>
      </c>
      <c r="CB40" s="229">
        <v>8.5800000000000001E-2</v>
      </c>
      <c r="CC40" s="230">
        <v>2453</v>
      </c>
      <c r="CD40" s="230">
        <v>2265</v>
      </c>
      <c r="CE40" s="228">
        <v>188</v>
      </c>
      <c r="CF40" s="229">
        <v>8.3000000000000004E-2</v>
      </c>
      <c r="CG40" s="228">
        <v>155</v>
      </c>
      <c r="CH40" s="228">
        <v>141</v>
      </c>
      <c r="CI40" s="228">
        <v>14</v>
      </c>
      <c r="CJ40" s="229">
        <v>0.1018</v>
      </c>
      <c r="CK40" s="228">
        <v>18</v>
      </c>
      <c r="CL40" s="228">
        <v>13</v>
      </c>
      <c r="CM40" s="228">
        <v>5</v>
      </c>
      <c r="CN40" s="229">
        <v>0.4078</v>
      </c>
      <c r="CO40" s="230">
        <v>1903</v>
      </c>
      <c r="CP40" s="230">
        <v>1627</v>
      </c>
      <c r="CQ40" s="228">
        <v>276</v>
      </c>
      <c r="CR40" s="229">
        <v>0.1694</v>
      </c>
      <c r="CS40" s="230">
        <v>2058</v>
      </c>
      <c r="CT40" s="230">
        <v>1707</v>
      </c>
      <c r="CU40" s="228">
        <v>351</v>
      </c>
      <c r="CV40" s="229">
        <v>0.20580000000000001</v>
      </c>
      <c r="CW40" s="230">
        <v>6588</v>
      </c>
      <c r="CX40" s="230">
        <v>5753</v>
      </c>
      <c r="CY40" s="228">
        <v>834</v>
      </c>
      <c r="CZ40" s="229">
        <v>0.14499999999999999</v>
      </c>
      <c r="DA40" s="228">
        <v>47.85</v>
      </c>
      <c r="DB40" s="228">
        <v>46.47</v>
      </c>
      <c r="DC40" s="228">
        <v>1.38</v>
      </c>
      <c r="DD40" s="228">
        <v>1.38</v>
      </c>
      <c r="DE40" s="228">
        <v>59.71</v>
      </c>
      <c r="DF40" s="228">
        <v>59.73</v>
      </c>
      <c r="DG40" s="228">
        <v>-11.86</v>
      </c>
      <c r="DH40" s="228">
        <v>-0.02</v>
      </c>
      <c r="DI40" s="228">
        <v>45.63</v>
      </c>
      <c r="DJ40" s="228">
        <v>44.79</v>
      </c>
      <c r="DK40" s="228">
        <v>0.84</v>
      </c>
      <c r="DL40" s="228">
        <v>0.84</v>
      </c>
      <c r="DM40" s="228">
        <v>51.98</v>
      </c>
      <c r="DN40" s="228">
        <v>49.55</v>
      </c>
      <c r="DO40" s="228">
        <v>2.4300000000000002</v>
      </c>
      <c r="DP40" s="228">
        <v>2.4300000000000002</v>
      </c>
      <c r="DQ40" s="228">
        <v>1.08</v>
      </c>
      <c r="DR40" s="228">
        <v>1.05</v>
      </c>
      <c r="DS40" s="228">
        <v>0.03</v>
      </c>
      <c r="DT40" s="229">
        <v>2.86E-2</v>
      </c>
      <c r="DU40" s="231">
        <v>3300</v>
      </c>
      <c r="DV40" s="231">
        <v>2800</v>
      </c>
      <c r="DW40" s="228">
        <v>0.54</v>
      </c>
      <c r="DX40" s="228">
        <v>0.54</v>
      </c>
      <c r="DY40" s="228">
        <v>0</v>
      </c>
      <c r="DZ40" s="229">
        <v>0</v>
      </c>
      <c r="EA40" s="229">
        <v>6.6000000000000003E-2</v>
      </c>
      <c r="EB40" s="230">
        <v>469500</v>
      </c>
      <c r="EC40" s="229">
        <v>-8.0000000000000004E-4</v>
      </c>
      <c r="ED40" s="229">
        <v>6.6000000000000003E-2</v>
      </c>
      <c r="EE40" s="228">
        <v>-2.56</v>
      </c>
      <c r="EF40" s="229">
        <v>-8.0000000000000004E-4</v>
      </c>
      <c r="EG40" s="230">
        <v>1672993</v>
      </c>
      <c r="EH40" s="230">
        <v>3272340</v>
      </c>
      <c r="EI40" s="229">
        <v>-0.48870000000000002</v>
      </c>
      <c r="EJ40" s="229">
        <v>0.22720000000000001</v>
      </c>
      <c r="EK40" s="231">
        <v>8006.2</v>
      </c>
      <c r="EL40" s="231">
        <v>3878.11</v>
      </c>
      <c r="EM40" s="231">
        <v>1452.83</v>
      </c>
      <c r="EN40" s="228">
        <v>97.92</v>
      </c>
      <c r="EO40" s="231">
        <v>13337.14</v>
      </c>
      <c r="EP40" s="231">
        <v>15029.39</v>
      </c>
      <c r="EQ40" s="231">
        <v>-1692.25</v>
      </c>
      <c r="ER40" s="229">
        <v>-0.11260000000000001</v>
      </c>
      <c r="ES40" s="231">
        <v>1842.15</v>
      </c>
      <c r="ET40" s="231">
        <v>1797.77</v>
      </c>
      <c r="EU40" s="231">
        <v>2626.03</v>
      </c>
      <c r="EV40" s="231">
        <v>61182611</v>
      </c>
      <c r="EW40" s="231">
        <v>6265.95</v>
      </c>
      <c r="EX40" s="231">
        <v>5353.59</v>
      </c>
      <c r="EY40" s="228">
        <v>912.36</v>
      </c>
      <c r="EZ40" s="229">
        <v>0.1704</v>
      </c>
      <c r="FA40" s="229">
        <v>0.32879999999999998</v>
      </c>
      <c r="FB40" s="227" t="s">
        <v>555</v>
      </c>
      <c r="FC40">
        <f t="shared" si="0"/>
        <v>173</v>
      </c>
    </row>
    <row r="41" spans="1:159" ht="17.25" thickBot="1" x14ac:dyDescent="0.3">
      <c r="A41" s="226">
        <v>46121</v>
      </c>
      <c r="B41" s="227" t="s">
        <v>175</v>
      </c>
      <c r="C41" s="227" t="s">
        <v>610</v>
      </c>
      <c r="D41" s="228">
        <v>750</v>
      </c>
      <c r="E41" s="228">
        <v>19</v>
      </c>
      <c r="F41" s="228">
        <v>698.1</v>
      </c>
      <c r="G41" s="228">
        <v>707.25</v>
      </c>
      <c r="H41" s="228">
        <v>-9.15</v>
      </c>
      <c r="I41" s="229">
        <v>-1.29E-2</v>
      </c>
      <c r="J41" s="228">
        <v>699.05</v>
      </c>
      <c r="K41" s="228">
        <v>704.85</v>
      </c>
      <c r="L41" s="228">
        <v>-5.8</v>
      </c>
      <c r="M41" s="229">
        <v>-8.2000000000000007E-3</v>
      </c>
      <c r="N41" s="228">
        <v>698.1</v>
      </c>
      <c r="O41" s="228">
        <v>707.25</v>
      </c>
      <c r="P41" s="228">
        <v>-9.15</v>
      </c>
      <c r="Q41" s="229">
        <v>-1.29E-2</v>
      </c>
      <c r="R41" s="228">
        <v>694.2</v>
      </c>
      <c r="S41" s="228">
        <v>706.25</v>
      </c>
      <c r="T41" s="228">
        <v>-12.05</v>
      </c>
      <c r="U41" s="229">
        <v>-1.7100000000000001E-2</v>
      </c>
      <c r="V41" s="228">
        <v>692.45</v>
      </c>
      <c r="W41" s="228">
        <v>704</v>
      </c>
      <c r="X41" s="228">
        <v>-11.55</v>
      </c>
      <c r="Y41" s="229">
        <v>-1.6400000000000001E-2</v>
      </c>
      <c r="Z41" s="228">
        <v>-0.95</v>
      </c>
      <c r="AA41" s="228">
        <v>2.4</v>
      </c>
      <c r="AB41" s="228">
        <v>-3.35</v>
      </c>
      <c r="AC41" s="229">
        <v>-1.4E-3</v>
      </c>
      <c r="AD41" s="228">
        <v>-0.95</v>
      </c>
      <c r="AE41" s="228">
        <v>2.4</v>
      </c>
      <c r="AF41" s="228">
        <v>-3.35</v>
      </c>
      <c r="AG41" s="229">
        <v>-1.4E-3</v>
      </c>
      <c r="AH41" s="228">
        <v>-4.8499999999999996</v>
      </c>
      <c r="AI41" s="228">
        <v>1.4</v>
      </c>
      <c r="AJ41" s="228">
        <v>-6.25</v>
      </c>
      <c r="AK41" s="229">
        <v>-6.8999999999999999E-3</v>
      </c>
      <c r="AL41" s="228">
        <v>-6.6</v>
      </c>
      <c r="AM41" s="228">
        <v>-0.85</v>
      </c>
      <c r="AN41" s="228">
        <v>-5.75</v>
      </c>
      <c r="AO41" s="229">
        <v>-9.4000000000000004E-3</v>
      </c>
      <c r="AP41" s="228">
        <v>702.21</v>
      </c>
      <c r="AQ41" s="228">
        <v>696.82</v>
      </c>
      <c r="AR41" s="228">
        <v>0</v>
      </c>
      <c r="AS41" s="228">
        <v>154</v>
      </c>
      <c r="AT41" s="228">
        <v>164</v>
      </c>
      <c r="AU41" s="228">
        <v>-10</v>
      </c>
      <c r="AV41" s="229">
        <v>-6.0600000000000001E-2</v>
      </c>
      <c r="AW41" s="228">
        <v>126</v>
      </c>
      <c r="AX41" s="228">
        <v>154</v>
      </c>
      <c r="AY41" s="228">
        <v>-28</v>
      </c>
      <c r="AZ41" s="229">
        <v>-0.1827</v>
      </c>
      <c r="BA41" s="228">
        <v>27</v>
      </c>
      <c r="BB41" s="228">
        <v>9</v>
      </c>
      <c r="BC41" s="228">
        <v>18</v>
      </c>
      <c r="BD41" s="229">
        <v>2.0476000000000001</v>
      </c>
      <c r="BE41" s="228">
        <v>1</v>
      </c>
      <c r="BF41" s="228">
        <v>1</v>
      </c>
      <c r="BG41" s="228">
        <v>0</v>
      </c>
      <c r="BH41" s="229">
        <v>0.18179999999999999</v>
      </c>
      <c r="BI41" s="228">
        <v>289</v>
      </c>
      <c r="BJ41" s="228">
        <v>226</v>
      </c>
      <c r="BK41" s="228">
        <v>63</v>
      </c>
      <c r="BL41" s="229">
        <v>0.27960000000000002</v>
      </c>
      <c r="BM41" s="228">
        <v>132</v>
      </c>
      <c r="BN41" s="228">
        <v>120</v>
      </c>
      <c r="BO41" s="228">
        <v>12</v>
      </c>
      <c r="BP41" s="229">
        <v>0.10199999999999999</v>
      </c>
      <c r="BQ41" s="228">
        <v>575</v>
      </c>
      <c r="BR41" s="228">
        <v>510</v>
      </c>
      <c r="BS41" s="228">
        <v>65</v>
      </c>
      <c r="BT41" s="229">
        <v>0.12820000000000001</v>
      </c>
      <c r="BU41" s="230">
        <v>1570924</v>
      </c>
      <c r="BV41" s="230">
        <v>1457706</v>
      </c>
      <c r="BW41" s="230">
        <v>113218</v>
      </c>
      <c r="BX41" s="229">
        <v>7.7700000000000005E-2</v>
      </c>
      <c r="BY41" s="228">
        <v>471</v>
      </c>
      <c r="BZ41" s="228">
        <v>453</v>
      </c>
      <c r="CA41" s="228">
        <v>19</v>
      </c>
      <c r="CB41" s="229">
        <v>4.1399999999999999E-2</v>
      </c>
      <c r="CC41" s="228">
        <v>434</v>
      </c>
      <c r="CD41" s="228">
        <v>431</v>
      </c>
      <c r="CE41" s="228">
        <v>3</v>
      </c>
      <c r="CF41" s="229">
        <v>7.4999999999999997E-3</v>
      </c>
      <c r="CG41" s="228">
        <v>35</v>
      </c>
      <c r="CH41" s="228">
        <v>20</v>
      </c>
      <c r="CI41" s="228">
        <v>15</v>
      </c>
      <c r="CJ41" s="229">
        <v>0.72489999999999999</v>
      </c>
      <c r="CK41" s="228">
        <v>2</v>
      </c>
      <c r="CL41" s="228">
        <v>2</v>
      </c>
      <c r="CM41" s="228">
        <v>1</v>
      </c>
      <c r="CN41" s="229">
        <v>0.4516</v>
      </c>
      <c r="CO41" s="228">
        <v>148</v>
      </c>
      <c r="CP41" s="228">
        <v>133</v>
      </c>
      <c r="CQ41" s="228">
        <v>15</v>
      </c>
      <c r="CR41" s="229">
        <v>0.1094</v>
      </c>
      <c r="CS41" s="228">
        <v>116</v>
      </c>
      <c r="CT41" s="228">
        <v>92</v>
      </c>
      <c r="CU41" s="228">
        <v>24</v>
      </c>
      <c r="CV41" s="229">
        <v>0.26600000000000001</v>
      </c>
      <c r="CW41" s="228">
        <v>735</v>
      </c>
      <c r="CX41" s="228">
        <v>677</v>
      </c>
      <c r="CY41" s="228">
        <v>58</v>
      </c>
      <c r="CZ41" s="229">
        <v>8.5199999999999998E-2</v>
      </c>
      <c r="DA41" s="228">
        <v>34.51</v>
      </c>
      <c r="DB41" s="228">
        <v>34.950000000000003</v>
      </c>
      <c r="DC41" s="228">
        <v>-0.44</v>
      </c>
      <c r="DD41" s="228">
        <v>-0.44</v>
      </c>
      <c r="DE41" s="228">
        <v>40.86</v>
      </c>
      <c r="DF41" s="228">
        <v>40.93</v>
      </c>
      <c r="DG41" s="228">
        <v>-6.35</v>
      </c>
      <c r="DH41" s="228">
        <v>-7.0000000000000007E-2</v>
      </c>
      <c r="DI41" s="228">
        <v>33.840000000000003</v>
      </c>
      <c r="DJ41" s="228">
        <v>33.729999999999997</v>
      </c>
      <c r="DK41" s="228">
        <v>0.11</v>
      </c>
      <c r="DL41" s="228">
        <v>0.11</v>
      </c>
      <c r="DM41" s="228">
        <v>35.97</v>
      </c>
      <c r="DN41" s="228">
        <v>37.24</v>
      </c>
      <c r="DO41" s="228">
        <v>-1.27</v>
      </c>
      <c r="DP41" s="228">
        <v>-1.27</v>
      </c>
      <c r="DQ41" s="228">
        <v>0.79</v>
      </c>
      <c r="DR41" s="228">
        <v>0.69</v>
      </c>
      <c r="DS41" s="228">
        <v>0.1</v>
      </c>
      <c r="DT41" s="229">
        <v>0.1449</v>
      </c>
      <c r="DU41" s="228">
        <v>710</v>
      </c>
      <c r="DV41" s="228">
        <v>700</v>
      </c>
      <c r="DW41" s="228">
        <v>0.46</v>
      </c>
      <c r="DX41" s="228">
        <v>0.53</v>
      </c>
      <c r="DY41" s="228">
        <v>-7.0000000000000007E-2</v>
      </c>
      <c r="DZ41" s="229">
        <v>-0.1321</v>
      </c>
      <c r="EA41" s="229">
        <v>7.9500000000000001E-2</v>
      </c>
      <c r="EB41" s="230">
        <v>315000</v>
      </c>
      <c r="EC41" s="229">
        <v>-5.5999999999999999E-3</v>
      </c>
      <c r="ED41" s="229">
        <v>7.9500000000000001E-2</v>
      </c>
      <c r="EE41" s="228">
        <v>-5.39</v>
      </c>
      <c r="EF41" s="229">
        <v>-7.7000000000000002E-3</v>
      </c>
      <c r="EG41" s="230">
        <v>604070</v>
      </c>
      <c r="EH41" s="230">
        <v>680917</v>
      </c>
      <c r="EI41" s="229">
        <v>-0.1129</v>
      </c>
      <c r="EJ41" s="229">
        <v>0.38450000000000001</v>
      </c>
      <c r="EK41" s="228">
        <v>308.57</v>
      </c>
      <c r="EL41" s="228">
        <v>131.03</v>
      </c>
      <c r="EM41" s="228">
        <v>154.88999999999999</v>
      </c>
      <c r="EN41" s="228">
        <v>23.47</v>
      </c>
      <c r="EO41" s="228">
        <v>594.48</v>
      </c>
      <c r="EP41" s="228">
        <v>522.75</v>
      </c>
      <c r="EQ41" s="228">
        <v>71.739999999999995</v>
      </c>
      <c r="ER41" s="229">
        <v>0.13719999999999999</v>
      </c>
      <c r="ES41" s="228">
        <v>150.74</v>
      </c>
      <c r="ET41" s="228">
        <v>111.36</v>
      </c>
      <c r="EU41" s="228">
        <v>471.11</v>
      </c>
      <c r="EV41" s="231">
        <v>37147595</v>
      </c>
      <c r="EW41" s="228">
        <v>733.21</v>
      </c>
      <c r="EX41" s="228">
        <v>682.32</v>
      </c>
      <c r="EY41" s="228">
        <v>50.89</v>
      </c>
      <c r="EZ41" s="229">
        <v>7.46E-2</v>
      </c>
      <c r="FA41" s="229">
        <v>0.28339999999999999</v>
      </c>
      <c r="FB41" s="227" t="s">
        <v>566</v>
      </c>
      <c r="FC41">
        <f t="shared" si="0"/>
        <v>37</v>
      </c>
    </row>
    <row r="42" spans="1:159" ht="17.25" thickBot="1" x14ac:dyDescent="0.3">
      <c r="A42" s="226">
        <v>46121</v>
      </c>
      <c r="B42" s="227" t="s">
        <v>172</v>
      </c>
      <c r="C42" s="227" t="s">
        <v>196</v>
      </c>
      <c r="D42" s="228">
        <v>6750</v>
      </c>
      <c r="E42" s="228">
        <v>19</v>
      </c>
      <c r="F42" s="228">
        <v>138.13999999999999</v>
      </c>
      <c r="G42" s="228">
        <v>139.83000000000001</v>
      </c>
      <c r="H42" s="228">
        <v>-1.69</v>
      </c>
      <c r="I42" s="229">
        <v>-1.21E-2</v>
      </c>
      <c r="J42" s="228">
        <v>137.91</v>
      </c>
      <c r="K42" s="228">
        <v>139.19</v>
      </c>
      <c r="L42" s="228">
        <v>-1.28</v>
      </c>
      <c r="M42" s="229">
        <v>-9.1999999999999998E-3</v>
      </c>
      <c r="N42" s="228">
        <v>138.13999999999999</v>
      </c>
      <c r="O42" s="228">
        <v>139.83000000000001</v>
      </c>
      <c r="P42" s="228">
        <v>-1.69</v>
      </c>
      <c r="Q42" s="229">
        <v>-1.21E-2</v>
      </c>
      <c r="R42" s="228">
        <v>139.02000000000001</v>
      </c>
      <c r="S42" s="228">
        <v>140.49</v>
      </c>
      <c r="T42" s="228">
        <v>-1.47</v>
      </c>
      <c r="U42" s="229">
        <v>-1.0500000000000001E-2</v>
      </c>
      <c r="V42" s="228">
        <v>139.91999999999999</v>
      </c>
      <c r="W42" s="228">
        <v>141.30000000000001</v>
      </c>
      <c r="X42" s="228">
        <v>-1.38</v>
      </c>
      <c r="Y42" s="229">
        <v>-9.7999999999999997E-3</v>
      </c>
      <c r="Z42" s="228">
        <v>0.23</v>
      </c>
      <c r="AA42" s="228">
        <v>0.64</v>
      </c>
      <c r="AB42" s="228">
        <v>-0.41</v>
      </c>
      <c r="AC42" s="229">
        <v>1.6999999999999999E-3</v>
      </c>
      <c r="AD42" s="228">
        <v>0.23</v>
      </c>
      <c r="AE42" s="228">
        <v>0.64</v>
      </c>
      <c r="AF42" s="228">
        <v>-0.41</v>
      </c>
      <c r="AG42" s="229">
        <v>1.6999999999999999E-3</v>
      </c>
      <c r="AH42" s="228">
        <v>1.1100000000000001</v>
      </c>
      <c r="AI42" s="228">
        <v>1.3</v>
      </c>
      <c r="AJ42" s="228">
        <v>-0.19</v>
      </c>
      <c r="AK42" s="229">
        <v>8.0000000000000002E-3</v>
      </c>
      <c r="AL42" s="228">
        <v>2.0099999999999998</v>
      </c>
      <c r="AM42" s="228">
        <v>2.11</v>
      </c>
      <c r="AN42" s="228">
        <v>-0.1</v>
      </c>
      <c r="AO42" s="229">
        <v>1.46E-2</v>
      </c>
      <c r="AP42" s="228">
        <v>139.04</v>
      </c>
      <c r="AQ42" s="228">
        <v>139.99</v>
      </c>
      <c r="AR42" s="228">
        <v>0</v>
      </c>
      <c r="AS42" s="228">
        <v>537</v>
      </c>
      <c r="AT42" s="228">
        <v>923</v>
      </c>
      <c r="AU42" s="228">
        <v>-386</v>
      </c>
      <c r="AV42" s="229">
        <v>-0.41839999999999999</v>
      </c>
      <c r="AW42" s="228">
        <v>476</v>
      </c>
      <c r="AX42" s="228">
        <v>851</v>
      </c>
      <c r="AY42" s="228">
        <v>-376</v>
      </c>
      <c r="AZ42" s="229">
        <v>-0.4415</v>
      </c>
      <c r="BA42" s="228">
        <v>53</v>
      </c>
      <c r="BB42" s="228">
        <v>61</v>
      </c>
      <c r="BC42" s="228">
        <v>-8</v>
      </c>
      <c r="BD42" s="229">
        <v>-0.1346</v>
      </c>
      <c r="BE42" s="228">
        <v>8</v>
      </c>
      <c r="BF42" s="228">
        <v>10</v>
      </c>
      <c r="BG42" s="228">
        <v>-2</v>
      </c>
      <c r="BH42" s="229">
        <v>-0.19639999999999999</v>
      </c>
      <c r="BI42" s="228">
        <v>941</v>
      </c>
      <c r="BJ42" s="230">
        <v>1736</v>
      </c>
      <c r="BK42" s="228">
        <v>-794</v>
      </c>
      <c r="BL42" s="229">
        <v>-0.4577</v>
      </c>
      <c r="BM42" s="228">
        <v>561</v>
      </c>
      <c r="BN42" s="230">
        <v>1077</v>
      </c>
      <c r="BO42" s="228">
        <v>-516</v>
      </c>
      <c r="BP42" s="229">
        <v>-0.47910000000000003</v>
      </c>
      <c r="BQ42" s="230">
        <v>2039</v>
      </c>
      <c r="BR42" s="230">
        <v>3735</v>
      </c>
      <c r="BS42" s="230">
        <v>-1696</v>
      </c>
      <c r="BT42" s="229">
        <v>-0.45419999999999999</v>
      </c>
      <c r="BU42" s="230">
        <v>23782106</v>
      </c>
      <c r="BV42" s="230">
        <v>35344628</v>
      </c>
      <c r="BW42" s="230">
        <v>-11562522</v>
      </c>
      <c r="BX42" s="229">
        <v>-0.3271</v>
      </c>
      <c r="BY42" s="230">
        <v>2819</v>
      </c>
      <c r="BZ42" s="230">
        <v>2795</v>
      </c>
      <c r="CA42" s="228">
        <v>24</v>
      </c>
      <c r="CB42" s="229">
        <v>8.5000000000000006E-3</v>
      </c>
      <c r="CC42" s="230">
        <v>2696</v>
      </c>
      <c r="CD42" s="230">
        <v>2690</v>
      </c>
      <c r="CE42" s="228">
        <v>5</v>
      </c>
      <c r="CF42" s="229">
        <v>1.9E-3</v>
      </c>
      <c r="CG42" s="228">
        <v>110</v>
      </c>
      <c r="CH42" s="228">
        <v>94</v>
      </c>
      <c r="CI42" s="228">
        <v>16</v>
      </c>
      <c r="CJ42" s="229">
        <v>0.1721</v>
      </c>
      <c r="CK42" s="228">
        <v>13</v>
      </c>
      <c r="CL42" s="228">
        <v>11</v>
      </c>
      <c r="CM42" s="228">
        <v>2</v>
      </c>
      <c r="CN42" s="229">
        <v>0.2203</v>
      </c>
      <c r="CO42" s="228">
        <v>901</v>
      </c>
      <c r="CP42" s="228">
        <v>816</v>
      </c>
      <c r="CQ42" s="228">
        <v>85</v>
      </c>
      <c r="CR42" s="229">
        <v>0.104</v>
      </c>
      <c r="CS42" s="228">
        <v>813</v>
      </c>
      <c r="CT42" s="228">
        <v>771</v>
      </c>
      <c r="CU42" s="228">
        <v>42</v>
      </c>
      <c r="CV42" s="229">
        <v>5.4600000000000003E-2</v>
      </c>
      <c r="CW42" s="230">
        <v>4533</v>
      </c>
      <c r="CX42" s="230">
        <v>4382</v>
      </c>
      <c r="CY42" s="228">
        <v>151</v>
      </c>
      <c r="CZ42" s="229">
        <v>3.44E-2</v>
      </c>
      <c r="DA42" s="228">
        <v>37.28</v>
      </c>
      <c r="DB42" s="228">
        <v>37.76</v>
      </c>
      <c r="DC42" s="228">
        <v>-0.48</v>
      </c>
      <c r="DD42" s="228">
        <v>-0.48</v>
      </c>
      <c r="DE42" s="228">
        <v>39.42</v>
      </c>
      <c r="DF42" s="228">
        <v>39.479999999999997</v>
      </c>
      <c r="DG42" s="228">
        <v>-2.14</v>
      </c>
      <c r="DH42" s="228">
        <v>-0.06</v>
      </c>
      <c r="DI42" s="228">
        <v>36.61</v>
      </c>
      <c r="DJ42" s="228">
        <v>36.29</v>
      </c>
      <c r="DK42" s="228">
        <v>0.32</v>
      </c>
      <c r="DL42" s="228">
        <v>0.32</v>
      </c>
      <c r="DM42" s="228">
        <v>38.39</v>
      </c>
      <c r="DN42" s="228">
        <v>40.130000000000003</v>
      </c>
      <c r="DO42" s="228">
        <v>-1.74</v>
      </c>
      <c r="DP42" s="228">
        <v>-1.74</v>
      </c>
      <c r="DQ42" s="228">
        <v>0.9</v>
      </c>
      <c r="DR42" s="228">
        <v>0.94</v>
      </c>
      <c r="DS42" s="228">
        <v>-0.04</v>
      </c>
      <c r="DT42" s="229">
        <v>-4.2599999999999999E-2</v>
      </c>
      <c r="DU42" s="228">
        <v>140</v>
      </c>
      <c r="DV42" s="228">
        <v>140</v>
      </c>
      <c r="DW42" s="228">
        <v>0.6</v>
      </c>
      <c r="DX42" s="228">
        <v>0.62</v>
      </c>
      <c r="DY42" s="228">
        <v>-0.02</v>
      </c>
      <c r="DZ42" s="229">
        <v>-3.2300000000000002E-2</v>
      </c>
      <c r="EA42" s="229">
        <v>4.3700000000000003E-2</v>
      </c>
      <c r="EB42" s="230">
        <v>7580250</v>
      </c>
      <c r="EC42" s="229">
        <v>6.4000000000000003E-3</v>
      </c>
      <c r="ED42" s="229">
        <v>4.3700000000000003E-2</v>
      </c>
      <c r="EE42" s="228">
        <v>0.95</v>
      </c>
      <c r="EF42" s="229">
        <v>6.7999999999999996E-3</v>
      </c>
      <c r="EG42" s="230">
        <v>8599998</v>
      </c>
      <c r="EH42" s="230">
        <v>12509969</v>
      </c>
      <c r="EI42" s="229">
        <v>-0.3125</v>
      </c>
      <c r="EJ42" s="229">
        <v>0.36159999999999998</v>
      </c>
      <c r="EK42" s="231">
        <v>1000.55</v>
      </c>
      <c r="EL42" s="228">
        <v>560.15</v>
      </c>
      <c r="EM42" s="228">
        <v>540.69000000000005</v>
      </c>
      <c r="EN42" s="228">
        <v>66.67</v>
      </c>
      <c r="EO42" s="231">
        <v>2101.39</v>
      </c>
      <c r="EP42" s="231">
        <v>3806.7</v>
      </c>
      <c r="EQ42" s="231">
        <v>-1705.32</v>
      </c>
      <c r="ER42" s="229">
        <v>-0.44800000000000001</v>
      </c>
      <c r="ES42" s="228">
        <v>922.3</v>
      </c>
      <c r="ET42" s="228">
        <v>792.36</v>
      </c>
      <c r="EU42" s="231">
        <v>2819.65</v>
      </c>
      <c r="EV42" s="231">
        <v>504315430</v>
      </c>
      <c r="EW42" s="231">
        <v>4534.3100000000004</v>
      </c>
      <c r="EX42" s="231">
        <v>4413.1099999999997</v>
      </c>
      <c r="EY42" s="228">
        <v>121.2</v>
      </c>
      <c r="EZ42" s="229">
        <v>2.75E-2</v>
      </c>
      <c r="FA42" s="229">
        <v>0.65059999999999996</v>
      </c>
      <c r="FB42" s="227" t="s">
        <v>566</v>
      </c>
      <c r="FC42">
        <f t="shared" si="0"/>
        <v>123</v>
      </c>
    </row>
    <row r="43" spans="1:159" ht="17.25" thickBot="1" x14ac:dyDescent="0.3">
      <c r="A43" s="226">
        <v>46121</v>
      </c>
      <c r="B43" s="227" t="s">
        <v>175</v>
      </c>
      <c r="C43" s="227" t="s">
        <v>596</v>
      </c>
      <c r="D43" s="228">
        <v>475</v>
      </c>
      <c r="E43" s="228">
        <v>19</v>
      </c>
      <c r="F43" s="231">
        <v>1277.5999999999999</v>
      </c>
      <c r="G43" s="231">
        <v>1278.8</v>
      </c>
      <c r="H43" s="228">
        <v>-1.2</v>
      </c>
      <c r="I43" s="229">
        <v>-8.9999999999999998E-4</v>
      </c>
      <c r="J43" s="231">
        <v>1279.3</v>
      </c>
      <c r="K43" s="231">
        <v>1287.4000000000001</v>
      </c>
      <c r="L43" s="228">
        <v>-8.1</v>
      </c>
      <c r="M43" s="229">
        <v>-6.3E-3</v>
      </c>
      <c r="N43" s="231">
        <v>1277.5999999999999</v>
      </c>
      <c r="O43" s="231">
        <v>1278.8</v>
      </c>
      <c r="P43" s="228">
        <v>-1.2</v>
      </c>
      <c r="Q43" s="229">
        <v>-8.9999999999999998E-4</v>
      </c>
      <c r="R43" s="231">
        <v>1269.5999999999999</v>
      </c>
      <c r="S43" s="231">
        <v>1271.9000000000001</v>
      </c>
      <c r="T43" s="228">
        <v>-2.2999999999999998</v>
      </c>
      <c r="U43" s="229">
        <v>-1.8E-3</v>
      </c>
      <c r="V43" s="231">
        <v>1263</v>
      </c>
      <c r="W43" s="231">
        <v>1268.5</v>
      </c>
      <c r="X43" s="228">
        <v>-5.5</v>
      </c>
      <c r="Y43" s="229">
        <v>-4.3E-3</v>
      </c>
      <c r="Z43" s="228">
        <v>-1.7</v>
      </c>
      <c r="AA43" s="228">
        <v>-8.6</v>
      </c>
      <c r="AB43" s="228">
        <v>6.9</v>
      </c>
      <c r="AC43" s="229">
        <v>-1.2999999999999999E-3</v>
      </c>
      <c r="AD43" s="228">
        <v>-1.7</v>
      </c>
      <c r="AE43" s="228">
        <v>-8.6</v>
      </c>
      <c r="AF43" s="228">
        <v>6.9</v>
      </c>
      <c r="AG43" s="229">
        <v>-1.2999999999999999E-3</v>
      </c>
      <c r="AH43" s="228">
        <v>-9.6999999999999993</v>
      </c>
      <c r="AI43" s="228">
        <v>-15.5</v>
      </c>
      <c r="AJ43" s="228">
        <v>5.8</v>
      </c>
      <c r="AK43" s="229">
        <v>-7.6E-3</v>
      </c>
      <c r="AL43" s="228">
        <v>-16.3</v>
      </c>
      <c r="AM43" s="228">
        <v>-18.899999999999999</v>
      </c>
      <c r="AN43" s="228">
        <v>2.6</v>
      </c>
      <c r="AO43" s="229">
        <v>-1.2699999999999999E-2</v>
      </c>
      <c r="AP43" s="231">
        <v>1270.79</v>
      </c>
      <c r="AQ43" s="231">
        <v>1257.8499999999999</v>
      </c>
      <c r="AR43" s="228">
        <v>0</v>
      </c>
      <c r="AS43" s="228">
        <v>483</v>
      </c>
      <c r="AT43" s="228">
        <v>609</v>
      </c>
      <c r="AU43" s="228">
        <v>-126</v>
      </c>
      <c r="AV43" s="229">
        <v>-0.20699999999999999</v>
      </c>
      <c r="AW43" s="228">
        <v>343</v>
      </c>
      <c r="AX43" s="228">
        <v>439</v>
      </c>
      <c r="AY43" s="228">
        <v>-96</v>
      </c>
      <c r="AZ43" s="229">
        <v>-0.21940000000000001</v>
      </c>
      <c r="BA43" s="228">
        <v>121</v>
      </c>
      <c r="BB43" s="228">
        <v>153</v>
      </c>
      <c r="BC43" s="228">
        <v>-31</v>
      </c>
      <c r="BD43" s="229">
        <v>-0.20619999999999999</v>
      </c>
      <c r="BE43" s="228">
        <v>19</v>
      </c>
      <c r="BF43" s="228">
        <v>18</v>
      </c>
      <c r="BG43" s="228">
        <v>2</v>
      </c>
      <c r="BH43" s="229">
        <v>9.2799999999999994E-2</v>
      </c>
      <c r="BI43" s="230">
        <v>1256</v>
      </c>
      <c r="BJ43" s="230">
        <v>1621</v>
      </c>
      <c r="BK43" s="228">
        <v>-365</v>
      </c>
      <c r="BL43" s="229">
        <v>-0.22509999999999999</v>
      </c>
      <c r="BM43" s="228">
        <v>475</v>
      </c>
      <c r="BN43" s="228">
        <v>690</v>
      </c>
      <c r="BO43" s="228">
        <v>-215</v>
      </c>
      <c r="BP43" s="229">
        <v>-0.31119999999999998</v>
      </c>
      <c r="BQ43" s="230">
        <v>2214</v>
      </c>
      <c r="BR43" s="230">
        <v>2920</v>
      </c>
      <c r="BS43" s="228">
        <v>-706</v>
      </c>
      <c r="BT43" s="229">
        <v>-0.2417</v>
      </c>
      <c r="BU43" s="230">
        <v>2724972</v>
      </c>
      <c r="BV43" s="230">
        <v>4449476</v>
      </c>
      <c r="BW43" s="230">
        <v>-1724504</v>
      </c>
      <c r="BX43" s="229">
        <v>-0.3876</v>
      </c>
      <c r="BY43" s="230">
        <v>1538</v>
      </c>
      <c r="BZ43" s="230">
        <v>1485</v>
      </c>
      <c r="CA43" s="228">
        <v>52</v>
      </c>
      <c r="CB43" s="229">
        <v>3.5200000000000002E-2</v>
      </c>
      <c r="CC43" s="230">
        <v>1248</v>
      </c>
      <c r="CD43" s="230">
        <v>1248</v>
      </c>
      <c r="CE43" s="228">
        <v>0</v>
      </c>
      <c r="CF43" s="229">
        <v>0</v>
      </c>
      <c r="CG43" s="228">
        <v>257</v>
      </c>
      <c r="CH43" s="228">
        <v>213</v>
      </c>
      <c r="CI43" s="228">
        <v>45</v>
      </c>
      <c r="CJ43" s="229">
        <v>0.21060000000000001</v>
      </c>
      <c r="CK43" s="228">
        <v>32</v>
      </c>
      <c r="CL43" s="228">
        <v>24</v>
      </c>
      <c r="CM43" s="228">
        <v>8</v>
      </c>
      <c r="CN43" s="229">
        <v>0.31</v>
      </c>
      <c r="CO43" s="228">
        <v>556</v>
      </c>
      <c r="CP43" s="228">
        <v>523</v>
      </c>
      <c r="CQ43" s="228">
        <v>33</v>
      </c>
      <c r="CR43" s="229">
        <v>6.2799999999999995E-2</v>
      </c>
      <c r="CS43" s="228">
        <v>447</v>
      </c>
      <c r="CT43" s="228">
        <v>434</v>
      </c>
      <c r="CU43" s="228">
        <v>13</v>
      </c>
      <c r="CV43" s="229">
        <v>2.92E-2</v>
      </c>
      <c r="CW43" s="230">
        <v>2540</v>
      </c>
      <c r="CX43" s="230">
        <v>2442</v>
      </c>
      <c r="CY43" s="228">
        <v>98</v>
      </c>
      <c r="CZ43" s="229">
        <v>4.0099999999999997E-2</v>
      </c>
      <c r="DA43" s="228">
        <v>37.82</v>
      </c>
      <c r="DB43" s="228">
        <v>37.61</v>
      </c>
      <c r="DC43" s="228">
        <v>0.21</v>
      </c>
      <c r="DD43" s="228">
        <v>0.21</v>
      </c>
      <c r="DE43" s="228">
        <v>46.85</v>
      </c>
      <c r="DF43" s="228">
        <v>46.97</v>
      </c>
      <c r="DG43" s="228">
        <v>-9.0299999999999994</v>
      </c>
      <c r="DH43" s="228">
        <v>-0.12</v>
      </c>
      <c r="DI43" s="228">
        <v>36.9</v>
      </c>
      <c r="DJ43" s="228">
        <v>36.17</v>
      </c>
      <c r="DK43" s="228">
        <v>0.73</v>
      </c>
      <c r="DL43" s="228">
        <v>0.73</v>
      </c>
      <c r="DM43" s="228">
        <v>40.25</v>
      </c>
      <c r="DN43" s="228">
        <v>40.97</v>
      </c>
      <c r="DO43" s="228">
        <v>-0.72</v>
      </c>
      <c r="DP43" s="228">
        <v>-0.72</v>
      </c>
      <c r="DQ43" s="228">
        <v>0.8</v>
      </c>
      <c r="DR43" s="228">
        <v>0.83</v>
      </c>
      <c r="DS43" s="228">
        <v>-0.03</v>
      </c>
      <c r="DT43" s="229">
        <v>-3.61E-2</v>
      </c>
      <c r="DU43" s="231">
        <v>1300</v>
      </c>
      <c r="DV43" s="231">
        <v>1200</v>
      </c>
      <c r="DW43" s="228">
        <v>0.38</v>
      </c>
      <c r="DX43" s="228">
        <v>0.43</v>
      </c>
      <c r="DY43" s="228">
        <v>-0.05</v>
      </c>
      <c r="DZ43" s="229">
        <v>-0.1163</v>
      </c>
      <c r="EA43" s="229">
        <v>0.18809999999999999</v>
      </c>
      <c r="EB43" s="230">
        <v>1854875</v>
      </c>
      <c r="EC43" s="229">
        <v>-6.3E-3</v>
      </c>
      <c r="ED43" s="229">
        <v>0.18809999999999999</v>
      </c>
      <c r="EE43" s="228">
        <v>-12.94</v>
      </c>
      <c r="EF43" s="229">
        <v>-1.0200000000000001E-2</v>
      </c>
      <c r="EG43" s="230">
        <v>697936</v>
      </c>
      <c r="EH43" s="230">
        <v>1684760</v>
      </c>
      <c r="EI43" s="229">
        <v>-0.5857</v>
      </c>
      <c r="EJ43" s="229">
        <v>0.25609999999999999</v>
      </c>
      <c r="EK43" s="231">
        <v>1334.8</v>
      </c>
      <c r="EL43" s="228">
        <v>472.81</v>
      </c>
      <c r="EM43" s="228">
        <v>479.01</v>
      </c>
      <c r="EN43" s="228">
        <v>53.15</v>
      </c>
      <c r="EO43" s="231">
        <v>2286.62</v>
      </c>
      <c r="EP43" s="231">
        <v>2970.53</v>
      </c>
      <c r="EQ43" s="228">
        <v>-683.91</v>
      </c>
      <c r="ER43" s="229">
        <v>-0.23019999999999999</v>
      </c>
      <c r="ES43" s="228">
        <v>558.35</v>
      </c>
      <c r="ET43" s="228">
        <v>425.82</v>
      </c>
      <c r="EU43" s="231">
        <v>1535.69</v>
      </c>
      <c r="EV43" s="231">
        <v>26647500</v>
      </c>
      <c r="EW43" s="231">
        <v>2519.86</v>
      </c>
      <c r="EX43" s="231">
        <v>2418.5700000000002</v>
      </c>
      <c r="EY43" s="228">
        <v>101.29</v>
      </c>
      <c r="EZ43" s="229">
        <v>4.19E-2</v>
      </c>
      <c r="FA43" s="229">
        <v>0.74609999999999999</v>
      </c>
      <c r="FB43" s="227" t="s">
        <v>566</v>
      </c>
      <c r="FC43">
        <f t="shared" si="0"/>
        <v>290</v>
      </c>
    </row>
    <row r="44" spans="1:159" ht="17.25" thickBot="1" x14ac:dyDescent="0.3">
      <c r="A44" s="226">
        <v>46121</v>
      </c>
      <c r="B44" s="227" t="s">
        <v>161</v>
      </c>
      <c r="C44" s="227" t="s">
        <v>611</v>
      </c>
      <c r="D44" s="228">
        <v>850</v>
      </c>
      <c r="E44" s="228">
        <v>19</v>
      </c>
      <c r="F44" s="228">
        <v>723.9</v>
      </c>
      <c r="G44" s="228">
        <v>727.95</v>
      </c>
      <c r="H44" s="228">
        <v>-4.05</v>
      </c>
      <c r="I44" s="229">
        <v>-5.5999999999999999E-3</v>
      </c>
      <c r="J44" s="228">
        <v>720.6</v>
      </c>
      <c r="K44" s="228">
        <v>726.3</v>
      </c>
      <c r="L44" s="228">
        <v>-5.7</v>
      </c>
      <c r="M44" s="229">
        <v>-7.7999999999999996E-3</v>
      </c>
      <c r="N44" s="228">
        <v>723.9</v>
      </c>
      <c r="O44" s="228">
        <v>727.95</v>
      </c>
      <c r="P44" s="228">
        <v>-4.05</v>
      </c>
      <c r="Q44" s="229">
        <v>-5.5999999999999999E-3</v>
      </c>
      <c r="R44" s="228">
        <v>727</v>
      </c>
      <c r="S44" s="228">
        <v>733.05</v>
      </c>
      <c r="T44" s="228">
        <v>-6.05</v>
      </c>
      <c r="U44" s="229">
        <v>-8.3000000000000001E-3</v>
      </c>
      <c r="V44" s="228">
        <v>730</v>
      </c>
      <c r="W44" s="228">
        <v>735.3</v>
      </c>
      <c r="X44" s="228">
        <v>-5.3</v>
      </c>
      <c r="Y44" s="229">
        <v>-7.1999999999999998E-3</v>
      </c>
      <c r="Z44" s="228">
        <v>3.3</v>
      </c>
      <c r="AA44" s="228">
        <v>1.65</v>
      </c>
      <c r="AB44" s="228">
        <v>1.65</v>
      </c>
      <c r="AC44" s="229">
        <v>4.5999999999999999E-3</v>
      </c>
      <c r="AD44" s="228">
        <v>3.3</v>
      </c>
      <c r="AE44" s="228">
        <v>1.65</v>
      </c>
      <c r="AF44" s="228">
        <v>1.65</v>
      </c>
      <c r="AG44" s="229">
        <v>4.5999999999999999E-3</v>
      </c>
      <c r="AH44" s="228">
        <v>6.4</v>
      </c>
      <c r="AI44" s="228">
        <v>6.75</v>
      </c>
      <c r="AJ44" s="228">
        <v>-0.35</v>
      </c>
      <c r="AK44" s="229">
        <v>8.8999999999999999E-3</v>
      </c>
      <c r="AL44" s="228">
        <v>9.4</v>
      </c>
      <c r="AM44" s="228">
        <v>9</v>
      </c>
      <c r="AN44" s="228">
        <v>0.4</v>
      </c>
      <c r="AO44" s="229">
        <v>1.2999999999999999E-2</v>
      </c>
      <c r="AP44" s="228">
        <v>726.56</v>
      </c>
      <c r="AQ44" s="228">
        <v>731.17</v>
      </c>
      <c r="AR44" s="228">
        <v>0</v>
      </c>
      <c r="AS44" s="228">
        <v>200</v>
      </c>
      <c r="AT44" s="228">
        <v>245</v>
      </c>
      <c r="AU44" s="228">
        <v>-45</v>
      </c>
      <c r="AV44" s="229">
        <v>-0.1837</v>
      </c>
      <c r="AW44" s="228">
        <v>195</v>
      </c>
      <c r="AX44" s="228">
        <v>237</v>
      </c>
      <c r="AY44" s="228">
        <v>-42</v>
      </c>
      <c r="AZ44" s="229">
        <v>-0.17560000000000001</v>
      </c>
      <c r="BA44" s="228">
        <v>4</v>
      </c>
      <c r="BB44" s="228">
        <v>7</v>
      </c>
      <c r="BC44" s="228">
        <v>-3</v>
      </c>
      <c r="BD44" s="229">
        <v>-0.4274</v>
      </c>
      <c r="BE44" s="228">
        <v>1</v>
      </c>
      <c r="BF44" s="228">
        <v>1</v>
      </c>
      <c r="BG44" s="228">
        <v>0</v>
      </c>
      <c r="BH44" s="229">
        <v>-0.33329999999999999</v>
      </c>
      <c r="BI44" s="228">
        <v>245</v>
      </c>
      <c r="BJ44" s="228">
        <v>393</v>
      </c>
      <c r="BK44" s="228">
        <v>-148</v>
      </c>
      <c r="BL44" s="229">
        <v>-0.37719999999999998</v>
      </c>
      <c r="BM44" s="228">
        <v>144</v>
      </c>
      <c r="BN44" s="228">
        <v>258</v>
      </c>
      <c r="BO44" s="228">
        <v>-114</v>
      </c>
      <c r="BP44" s="229">
        <v>-0.44090000000000001</v>
      </c>
      <c r="BQ44" s="228">
        <v>589</v>
      </c>
      <c r="BR44" s="228">
        <v>895</v>
      </c>
      <c r="BS44" s="228">
        <v>-307</v>
      </c>
      <c r="BT44" s="229">
        <v>-0.34250000000000003</v>
      </c>
      <c r="BU44" s="230">
        <v>2779559</v>
      </c>
      <c r="BV44" s="230">
        <v>3050971</v>
      </c>
      <c r="BW44" s="230">
        <v>-271412</v>
      </c>
      <c r="BX44" s="229">
        <v>-8.8999999999999996E-2</v>
      </c>
      <c r="BY44" s="230">
        <v>1380</v>
      </c>
      <c r="BZ44" s="230">
        <v>1360</v>
      </c>
      <c r="CA44" s="228">
        <v>20</v>
      </c>
      <c r="CB44" s="229">
        <v>1.4500000000000001E-2</v>
      </c>
      <c r="CC44" s="230">
        <v>1366</v>
      </c>
      <c r="CD44" s="230">
        <v>1348</v>
      </c>
      <c r="CE44" s="228">
        <v>19</v>
      </c>
      <c r="CF44" s="229">
        <v>1.4E-2</v>
      </c>
      <c r="CG44" s="228">
        <v>12</v>
      </c>
      <c r="CH44" s="228">
        <v>11</v>
      </c>
      <c r="CI44" s="228">
        <v>1</v>
      </c>
      <c r="CJ44" s="229">
        <v>5.91E-2</v>
      </c>
      <c r="CK44" s="228">
        <v>1</v>
      </c>
      <c r="CL44" s="228">
        <v>1</v>
      </c>
      <c r="CM44" s="228">
        <v>0</v>
      </c>
      <c r="CN44" s="229">
        <v>0.15</v>
      </c>
      <c r="CO44" s="228">
        <v>201</v>
      </c>
      <c r="CP44" s="228">
        <v>178</v>
      </c>
      <c r="CQ44" s="228">
        <v>23</v>
      </c>
      <c r="CR44" s="229">
        <v>0.1283</v>
      </c>
      <c r="CS44" s="228">
        <v>142</v>
      </c>
      <c r="CT44" s="228">
        <v>134</v>
      </c>
      <c r="CU44" s="228">
        <v>9</v>
      </c>
      <c r="CV44" s="229">
        <v>6.5299999999999997E-2</v>
      </c>
      <c r="CW44" s="230">
        <v>1724</v>
      </c>
      <c r="CX44" s="230">
        <v>1672</v>
      </c>
      <c r="CY44" s="228">
        <v>51</v>
      </c>
      <c r="CZ44" s="229">
        <v>3.0700000000000002E-2</v>
      </c>
      <c r="DA44" s="228">
        <v>37.25</v>
      </c>
      <c r="DB44" s="228">
        <v>37.56</v>
      </c>
      <c r="DC44" s="228">
        <v>-0.31</v>
      </c>
      <c r="DD44" s="228">
        <v>-0.31</v>
      </c>
      <c r="DE44" s="228">
        <v>42.31</v>
      </c>
      <c r="DF44" s="228">
        <v>42.41</v>
      </c>
      <c r="DG44" s="228">
        <v>-5.0599999999999996</v>
      </c>
      <c r="DH44" s="228">
        <v>-0.1</v>
      </c>
      <c r="DI44" s="228">
        <v>36.69</v>
      </c>
      <c r="DJ44" s="228">
        <v>37.39</v>
      </c>
      <c r="DK44" s="228">
        <v>-0.7</v>
      </c>
      <c r="DL44" s="228">
        <v>-0.7</v>
      </c>
      <c r="DM44" s="228">
        <v>38.200000000000003</v>
      </c>
      <c r="DN44" s="228">
        <v>37.83</v>
      </c>
      <c r="DO44" s="228">
        <v>0.37</v>
      </c>
      <c r="DP44" s="228">
        <v>0.37</v>
      </c>
      <c r="DQ44" s="228">
        <v>0.71</v>
      </c>
      <c r="DR44" s="228">
        <v>0.75</v>
      </c>
      <c r="DS44" s="228">
        <v>-0.04</v>
      </c>
      <c r="DT44" s="229">
        <v>-5.33E-2</v>
      </c>
      <c r="DU44" s="228">
        <v>800</v>
      </c>
      <c r="DV44" s="228">
        <v>700</v>
      </c>
      <c r="DW44" s="228">
        <v>0.59</v>
      </c>
      <c r="DX44" s="228">
        <v>0.66</v>
      </c>
      <c r="DY44" s="228">
        <v>-7.0000000000000007E-2</v>
      </c>
      <c r="DZ44" s="229">
        <v>-0.1061</v>
      </c>
      <c r="EA44" s="229">
        <v>9.7999999999999997E-3</v>
      </c>
      <c r="EB44" s="230">
        <v>175100</v>
      </c>
      <c r="EC44" s="229">
        <v>4.3E-3</v>
      </c>
      <c r="ED44" s="229">
        <v>9.7999999999999997E-3</v>
      </c>
      <c r="EE44" s="228">
        <v>4.6100000000000003</v>
      </c>
      <c r="EF44" s="229">
        <v>6.3E-3</v>
      </c>
      <c r="EG44" s="230">
        <v>1185919</v>
      </c>
      <c r="EH44" s="230">
        <v>1271500</v>
      </c>
      <c r="EI44" s="229">
        <v>-6.7299999999999999E-2</v>
      </c>
      <c r="EJ44" s="229">
        <v>0.42670000000000002</v>
      </c>
      <c r="EK44" s="228">
        <v>259.55</v>
      </c>
      <c r="EL44" s="228">
        <v>142.91999999999999</v>
      </c>
      <c r="EM44" s="228">
        <v>200.87</v>
      </c>
      <c r="EN44" s="228">
        <v>24.28</v>
      </c>
      <c r="EO44" s="228">
        <v>603.34</v>
      </c>
      <c r="EP44" s="228">
        <v>918.4</v>
      </c>
      <c r="EQ44" s="228">
        <v>-315.06</v>
      </c>
      <c r="ER44" s="229">
        <v>-0.34310000000000002</v>
      </c>
      <c r="ES44" s="228">
        <v>204.94</v>
      </c>
      <c r="ET44" s="228">
        <v>133.69</v>
      </c>
      <c r="EU44" s="231">
        <v>1380.09</v>
      </c>
      <c r="EV44" s="231">
        <v>103080397</v>
      </c>
      <c r="EW44" s="231">
        <v>1718.72</v>
      </c>
      <c r="EX44" s="231">
        <v>1673.74</v>
      </c>
      <c r="EY44" s="228">
        <v>44.98</v>
      </c>
      <c r="EZ44" s="229">
        <v>2.69E-2</v>
      </c>
      <c r="FA44" s="229">
        <v>0.23100000000000001</v>
      </c>
      <c r="FB44" s="227" t="s">
        <v>566</v>
      </c>
      <c r="FC44">
        <f t="shared" si="0"/>
        <v>14</v>
      </c>
    </row>
    <row r="45" spans="1:159" ht="17.25" thickBot="1" x14ac:dyDescent="0.3">
      <c r="A45" s="226">
        <v>46121</v>
      </c>
      <c r="B45" s="227" t="s">
        <v>175</v>
      </c>
      <c r="C45" s="227" t="s">
        <v>198</v>
      </c>
      <c r="D45" s="228">
        <v>625</v>
      </c>
      <c r="E45" s="228">
        <v>19</v>
      </c>
      <c r="F45" s="231">
        <v>1535.8</v>
      </c>
      <c r="G45" s="231">
        <v>1558.1</v>
      </c>
      <c r="H45" s="228">
        <v>-22.3</v>
      </c>
      <c r="I45" s="229">
        <v>-1.43E-2</v>
      </c>
      <c r="J45" s="231">
        <v>1533.1</v>
      </c>
      <c r="K45" s="231">
        <v>1554.3</v>
      </c>
      <c r="L45" s="228">
        <v>-21.2</v>
      </c>
      <c r="M45" s="229">
        <v>-1.3599999999999999E-2</v>
      </c>
      <c r="N45" s="231">
        <v>1535.8</v>
      </c>
      <c r="O45" s="231">
        <v>1558.1</v>
      </c>
      <c r="P45" s="228">
        <v>-22.3</v>
      </c>
      <c r="Q45" s="229">
        <v>-1.43E-2</v>
      </c>
      <c r="R45" s="231">
        <v>1544.5</v>
      </c>
      <c r="S45" s="231">
        <v>1568.9</v>
      </c>
      <c r="T45" s="228">
        <v>-24.4</v>
      </c>
      <c r="U45" s="229">
        <v>-1.5599999999999999E-2</v>
      </c>
      <c r="V45" s="231">
        <v>1545</v>
      </c>
      <c r="W45" s="231">
        <v>1574.2</v>
      </c>
      <c r="X45" s="228">
        <v>-29.2</v>
      </c>
      <c r="Y45" s="229">
        <v>-1.8499999999999999E-2</v>
      </c>
      <c r="Z45" s="228">
        <v>2.7</v>
      </c>
      <c r="AA45" s="228">
        <v>3.8</v>
      </c>
      <c r="AB45" s="228">
        <v>-1.1000000000000001</v>
      </c>
      <c r="AC45" s="229">
        <v>1.8E-3</v>
      </c>
      <c r="AD45" s="228">
        <v>2.7</v>
      </c>
      <c r="AE45" s="228">
        <v>3.8</v>
      </c>
      <c r="AF45" s="228">
        <v>-1.1000000000000001</v>
      </c>
      <c r="AG45" s="229">
        <v>1.8E-3</v>
      </c>
      <c r="AH45" s="228">
        <v>11.4</v>
      </c>
      <c r="AI45" s="228">
        <v>14.6</v>
      </c>
      <c r="AJ45" s="228">
        <v>-3.2</v>
      </c>
      <c r="AK45" s="229">
        <v>7.4000000000000003E-3</v>
      </c>
      <c r="AL45" s="228">
        <v>11.9</v>
      </c>
      <c r="AM45" s="228">
        <v>19.899999999999999</v>
      </c>
      <c r="AN45" s="228">
        <v>-8</v>
      </c>
      <c r="AO45" s="229">
        <v>7.7999999999999996E-3</v>
      </c>
      <c r="AP45" s="231">
        <v>1535.77</v>
      </c>
      <c r="AQ45" s="231">
        <v>1544.18</v>
      </c>
      <c r="AR45" s="228">
        <v>0</v>
      </c>
      <c r="AS45" s="228">
        <v>410</v>
      </c>
      <c r="AT45" s="228">
        <v>695</v>
      </c>
      <c r="AU45" s="228">
        <v>-285</v>
      </c>
      <c r="AV45" s="229">
        <v>-0.40970000000000001</v>
      </c>
      <c r="AW45" s="228">
        <v>394</v>
      </c>
      <c r="AX45" s="228">
        <v>672</v>
      </c>
      <c r="AY45" s="228">
        <v>-278</v>
      </c>
      <c r="AZ45" s="229">
        <v>-0.41399999999999998</v>
      </c>
      <c r="BA45" s="228">
        <v>16</v>
      </c>
      <c r="BB45" s="228">
        <v>22</v>
      </c>
      <c r="BC45" s="228">
        <v>-6</v>
      </c>
      <c r="BD45" s="229">
        <v>-0.2838</v>
      </c>
      <c r="BE45" s="228">
        <v>1</v>
      </c>
      <c r="BF45" s="228">
        <v>2</v>
      </c>
      <c r="BG45" s="228">
        <v>-1</v>
      </c>
      <c r="BH45" s="229">
        <v>-0.35289999999999999</v>
      </c>
      <c r="BI45" s="228">
        <v>645</v>
      </c>
      <c r="BJ45" s="230">
        <v>1521</v>
      </c>
      <c r="BK45" s="228">
        <v>-876</v>
      </c>
      <c r="BL45" s="229">
        <v>-0.57589999999999997</v>
      </c>
      <c r="BM45" s="228">
        <v>648</v>
      </c>
      <c r="BN45" s="228">
        <v>945</v>
      </c>
      <c r="BO45" s="228">
        <v>-297</v>
      </c>
      <c r="BP45" s="229">
        <v>-0.31409999999999999</v>
      </c>
      <c r="BQ45" s="230">
        <v>1704</v>
      </c>
      <c r="BR45" s="230">
        <v>3162</v>
      </c>
      <c r="BS45" s="230">
        <v>-1458</v>
      </c>
      <c r="BT45" s="229">
        <v>-0.46110000000000001</v>
      </c>
      <c r="BU45" s="230">
        <v>2761875</v>
      </c>
      <c r="BV45" s="230">
        <v>4448774</v>
      </c>
      <c r="BW45" s="230">
        <v>-1686899</v>
      </c>
      <c r="BX45" s="229">
        <v>-0.37919999999999998</v>
      </c>
      <c r="BY45" s="230">
        <v>2977</v>
      </c>
      <c r="BZ45" s="230">
        <v>3089</v>
      </c>
      <c r="CA45" s="228">
        <v>-112</v>
      </c>
      <c r="CB45" s="229">
        <v>-3.6200000000000003E-2</v>
      </c>
      <c r="CC45" s="230">
        <v>2902</v>
      </c>
      <c r="CD45" s="230">
        <v>3016</v>
      </c>
      <c r="CE45" s="228">
        <v>-114</v>
      </c>
      <c r="CF45" s="229">
        <v>-3.7699999999999997E-2</v>
      </c>
      <c r="CG45" s="228">
        <v>73</v>
      </c>
      <c r="CH45" s="228">
        <v>72</v>
      </c>
      <c r="CI45" s="228">
        <v>1</v>
      </c>
      <c r="CJ45" s="229">
        <v>1.47E-2</v>
      </c>
      <c r="CK45" s="228">
        <v>3</v>
      </c>
      <c r="CL45" s="228">
        <v>2</v>
      </c>
      <c r="CM45" s="228">
        <v>1</v>
      </c>
      <c r="CN45" s="229">
        <v>0.35</v>
      </c>
      <c r="CO45" s="228">
        <v>534</v>
      </c>
      <c r="CP45" s="228">
        <v>487</v>
      </c>
      <c r="CQ45" s="228">
        <v>47</v>
      </c>
      <c r="CR45" s="229">
        <v>9.6299999999999997E-2</v>
      </c>
      <c r="CS45" s="228">
        <v>454</v>
      </c>
      <c r="CT45" s="228">
        <v>403</v>
      </c>
      <c r="CU45" s="228">
        <v>52</v>
      </c>
      <c r="CV45" s="229">
        <v>0.12820000000000001</v>
      </c>
      <c r="CW45" s="230">
        <v>3966</v>
      </c>
      <c r="CX45" s="230">
        <v>3980</v>
      </c>
      <c r="CY45" s="228">
        <v>-13</v>
      </c>
      <c r="CZ45" s="229">
        <v>-3.3999999999999998E-3</v>
      </c>
      <c r="DA45" s="228">
        <v>35.270000000000003</v>
      </c>
      <c r="DB45" s="228">
        <v>35.69</v>
      </c>
      <c r="DC45" s="228">
        <v>-0.42</v>
      </c>
      <c r="DD45" s="228">
        <v>-0.42</v>
      </c>
      <c r="DE45" s="228">
        <v>40.58</v>
      </c>
      <c r="DF45" s="228">
        <v>40.64</v>
      </c>
      <c r="DG45" s="228">
        <v>-5.31</v>
      </c>
      <c r="DH45" s="228">
        <v>-0.06</v>
      </c>
      <c r="DI45" s="228">
        <v>33.85</v>
      </c>
      <c r="DJ45" s="228">
        <v>33.770000000000003</v>
      </c>
      <c r="DK45" s="228">
        <v>0.08</v>
      </c>
      <c r="DL45" s="228">
        <v>0.08</v>
      </c>
      <c r="DM45" s="228">
        <v>36.68</v>
      </c>
      <c r="DN45" s="228">
        <v>38.79</v>
      </c>
      <c r="DO45" s="228">
        <v>-2.11</v>
      </c>
      <c r="DP45" s="228">
        <v>-2.11</v>
      </c>
      <c r="DQ45" s="228">
        <v>0.85</v>
      </c>
      <c r="DR45" s="228">
        <v>0.83</v>
      </c>
      <c r="DS45" s="228">
        <v>0.02</v>
      </c>
      <c r="DT45" s="229">
        <v>2.41E-2</v>
      </c>
      <c r="DU45" s="231">
        <v>1600</v>
      </c>
      <c r="DV45" s="231">
        <v>1400</v>
      </c>
      <c r="DW45" s="228">
        <v>1</v>
      </c>
      <c r="DX45" s="228">
        <v>0.62</v>
      </c>
      <c r="DY45" s="228">
        <v>0.38</v>
      </c>
      <c r="DZ45" s="229">
        <v>0.6129</v>
      </c>
      <c r="EA45" s="229">
        <v>2.53E-2</v>
      </c>
      <c r="EB45" s="230">
        <v>479375</v>
      </c>
      <c r="EC45" s="229">
        <v>5.7000000000000002E-3</v>
      </c>
      <c r="ED45" s="229">
        <v>2.53E-2</v>
      </c>
      <c r="EE45" s="228">
        <v>8.41</v>
      </c>
      <c r="EF45" s="229">
        <v>5.4999999999999997E-3</v>
      </c>
      <c r="EG45" s="230">
        <v>1838257</v>
      </c>
      <c r="EH45" s="230">
        <v>2531571</v>
      </c>
      <c r="EI45" s="229">
        <v>-0.27389999999999998</v>
      </c>
      <c r="EJ45" s="229">
        <v>0.66559999999999997</v>
      </c>
      <c r="EK45" s="228">
        <v>678.52</v>
      </c>
      <c r="EL45" s="228">
        <v>638.44000000000005</v>
      </c>
      <c r="EM45" s="228">
        <v>410.53</v>
      </c>
      <c r="EN45" s="228">
        <v>49.31</v>
      </c>
      <c r="EO45" s="231">
        <v>1727.49</v>
      </c>
      <c r="EP45" s="231">
        <v>3206.3</v>
      </c>
      <c r="EQ45" s="231">
        <v>-1478.81</v>
      </c>
      <c r="ER45" s="229">
        <v>-0.4612</v>
      </c>
      <c r="ES45" s="228">
        <v>532.37</v>
      </c>
      <c r="ET45" s="228">
        <v>428.91</v>
      </c>
      <c r="EU45" s="231">
        <v>2977.86</v>
      </c>
      <c r="EV45" s="231">
        <v>63646863</v>
      </c>
      <c r="EW45" s="231">
        <v>3939.14</v>
      </c>
      <c r="EX45" s="231">
        <v>3995.59</v>
      </c>
      <c r="EY45" s="228">
        <v>-56.45</v>
      </c>
      <c r="EZ45" s="229">
        <v>-1.41E-2</v>
      </c>
      <c r="FA45" s="229">
        <v>0.40579999999999999</v>
      </c>
      <c r="FB45" s="227" t="s">
        <v>567</v>
      </c>
      <c r="FC45">
        <f t="shared" si="0"/>
        <v>75</v>
      </c>
    </row>
    <row r="46" spans="1:159" ht="17.25" thickBot="1" x14ac:dyDescent="0.3">
      <c r="A46" s="226">
        <v>46121</v>
      </c>
      <c r="B46" s="227" t="s">
        <v>170</v>
      </c>
      <c r="C46" s="227" t="s">
        <v>199</v>
      </c>
      <c r="D46" s="228">
        <v>375</v>
      </c>
      <c r="E46" s="228">
        <v>19</v>
      </c>
      <c r="F46" s="231">
        <v>1227.2</v>
      </c>
      <c r="G46" s="231">
        <v>1221.8</v>
      </c>
      <c r="H46" s="228">
        <v>5.4</v>
      </c>
      <c r="I46" s="229">
        <v>4.4000000000000003E-3</v>
      </c>
      <c r="J46" s="231">
        <v>1224.4000000000001</v>
      </c>
      <c r="K46" s="231">
        <v>1215.9000000000001</v>
      </c>
      <c r="L46" s="228">
        <v>8.5</v>
      </c>
      <c r="M46" s="229">
        <v>7.0000000000000001E-3</v>
      </c>
      <c r="N46" s="231">
        <v>1227.2</v>
      </c>
      <c r="O46" s="231">
        <v>1221.8</v>
      </c>
      <c r="P46" s="228">
        <v>5.4</v>
      </c>
      <c r="Q46" s="229">
        <v>4.4000000000000003E-3</v>
      </c>
      <c r="R46" s="231">
        <v>1235</v>
      </c>
      <c r="S46" s="231">
        <v>1229</v>
      </c>
      <c r="T46" s="228">
        <v>6</v>
      </c>
      <c r="U46" s="229">
        <v>4.8999999999999998E-3</v>
      </c>
      <c r="V46" s="231">
        <v>1238.2</v>
      </c>
      <c r="W46" s="231">
        <v>1234.5999999999999</v>
      </c>
      <c r="X46" s="228">
        <v>3.6</v>
      </c>
      <c r="Y46" s="229">
        <v>2.8999999999999998E-3</v>
      </c>
      <c r="Z46" s="228">
        <v>2.8</v>
      </c>
      <c r="AA46" s="228">
        <v>5.9</v>
      </c>
      <c r="AB46" s="228">
        <v>-3.1</v>
      </c>
      <c r="AC46" s="229">
        <v>2.3E-3</v>
      </c>
      <c r="AD46" s="228">
        <v>2.8</v>
      </c>
      <c r="AE46" s="228">
        <v>5.9</v>
      </c>
      <c r="AF46" s="228">
        <v>-3.1</v>
      </c>
      <c r="AG46" s="229">
        <v>2.3E-3</v>
      </c>
      <c r="AH46" s="228">
        <v>10.6</v>
      </c>
      <c r="AI46" s="228">
        <v>13.1</v>
      </c>
      <c r="AJ46" s="228">
        <v>-2.5</v>
      </c>
      <c r="AK46" s="229">
        <v>8.6999999999999994E-3</v>
      </c>
      <c r="AL46" s="228">
        <v>13.8</v>
      </c>
      <c r="AM46" s="228">
        <v>18.7</v>
      </c>
      <c r="AN46" s="228">
        <v>-4.9000000000000004</v>
      </c>
      <c r="AO46" s="229">
        <v>1.1299999999999999E-2</v>
      </c>
      <c r="AP46" s="231">
        <v>1228.23</v>
      </c>
      <c r="AQ46" s="231">
        <v>1235.67</v>
      </c>
      <c r="AR46" s="228">
        <v>0</v>
      </c>
      <c r="AS46" s="228">
        <v>139</v>
      </c>
      <c r="AT46" s="228">
        <v>221</v>
      </c>
      <c r="AU46" s="228">
        <v>-82</v>
      </c>
      <c r="AV46" s="229">
        <v>-0.36980000000000002</v>
      </c>
      <c r="AW46" s="228">
        <v>129</v>
      </c>
      <c r="AX46" s="228">
        <v>187</v>
      </c>
      <c r="AY46" s="228">
        <v>-58</v>
      </c>
      <c r="AZ46" s="229">
        <v>-0.30980000000000002</v>
      </c>
      <c r="BA46" s="228">
        <v>9</v>
      </c>
      <c r="BB46" s="228">
        <v>31</v>
      </c>
      <c r="BC46" s="228">
        <v>-22</v>
      </c>
      <c r="BD46" s="229">
        <v>-0.71940000000000004</v>
      </c>
      <c r="BE46" s="228">
        <v>1</v>
      </c>
      <c r="BF46" s="228">
        <v>3</v>
      </c>
      <c r="BG46" s="228">
        <v>-2</v>
      </c>
      <c r="BH46" s="229">
        <v>-0.51559999999999995</v>
      </c>
      <c r="BI46" s="228">
        <v>667</v>
      </c>
      <c r="BJ46" s="228">
        <v>815</v>
      </c>
      <c r="BK46" s="228">
        <v>-148</v>
      </c>
      <c r="BL46" s="229">
        <v>-0.18140000000000001</v>
      </c>
      <c r="BM46" s="228">
        <v>174</v>
      </c>
      <c r="BN46" s="228">
        <v>231</v>
      </c>
      <c r="BO46" s="228">
        <v>-57</v>
      </c>
      <c r="BP46" s="229">
        <v>-0.24529999999999999</v>
      </c>
      <c r="BQ46" s="228">
        <v>980</v>
      </c>
      <c r="BR46" s="230">
        <v>1266</v>
      </c>
      <c r="BS46" s="228">
        <v>-286</v>
      </c>
      <c r="BT46" s="229">
        <v>-0.22589999999999999</v>
      </c>
      <c r="BU46" s="230">
        <v>2591554</v>
      </c>
      <c r="BV46" s="230">
        <v>2608638</v>
      </c>
      <c r="BW46" s="230">
        <v>-17084</v>
      </c>
      <c r="BX46" s="229">
        <v>-6.4999999999999997E-3</v>
      </c>
      <c r="BY46" s="230">
        <v>1829</v>
      </c>
      <c r="BZ46" s="230">
        <v>1834</v>
      </c>
      <c r="CA46" s="228">
        <v>-5</v>
      </c>
      <c r="CB46" s="229">
        <v>-2.7000000000000001E-3</v>
      </c>
      <c r="CC46" s="230">
        <v>1675</v>
      </c>
      <c r="CD46" s="230">
        <v>1682</v>
      </c>
      <c r="CE46" s="228">
        <v>-8</v>
      </c>
      <c r="CF46" s="229">
        <v>-4.5999999999999999E-3</v>
      </c>
      <c r="CG46" s="228">
        <v>144</v>
      </c>
      <c r="CH46" s="228">
        <v>142</v>
      </c>
      <c r="CI46" s="228">
        <v>3</v>
      </c>
      <c r="CJ46" s="229">
        <v>1.78E-2</v>
      </c>
      <c r="CK46" s="228">
        <v>10</v>
      </c>
      <c r="CL46" s="228">
        <v>10</v>
      </c>
      <c r="CM46" s="228">
        <v>0</v>
      </c>
      <c r="CN46" s="229">
        <v>1.8100000000000002E-2</v>
      </c>
      <c r="CO46" s="228">
        <v>550</v>
      </c>
      <c r="CP46" s="228">
        <v>512</v>
      </c>
      <c r="CQ46" s="228">
        <v>38</v>
      </c>
      <c r="CR46" s="229">
        <v>7.4399999999999994E-2</v>
      </c>
      <c r="CS46" s="228">
        <v>428</v>
      </c>
      <c r="CT46" s="228">
        <v>421</v>
      </c>
      <c r="CU46" s="228">
        <v>7</v>
      </c>
      <c r="CV46" s="229">
        <v>1.7000000000000001E-2</v>
      </c>
      <c r="CW46" s="230">
        <v>2808</v>
      </c>
      <c r="CX46" s="230">
        <v>2768</v>
      </c>
      <c r="CY46" s="228">
        <v>40</v>
      </c>
      <c r="CZ46" s="229">
        <v>1.4500000000000001E-2</v>
      </c>
      <c r="DA46" s="228">
        <v>25.1</v>
      </c>
      <c r="DB46" s="228">
        <v>25.68</v>
      </c>
      <c r="DC46" s="228">
        <v>-0.57999999999999996</v>
      </c>
      <c r="DD46" s="228">
        <v>-0.57999999999999996</v>
      </c>
      <c r="DE46" s="228">
        <v>25.15</v>
      </c>
      <c r="DF46" s="228">
        <v>25.2</v>
      </c>
      <c r="DG46" s="228">
        <v>-0.05</v>
      </c>
      <c r="DH46" s="228">
        <v>-0.05</v>
      </c>
      <c r="DI46" s="228">
        <v>24.85</v>
      </c>
      <c r="DJ46" s="228">
        <v>25.39</v>
      </c>
      <c r="DK46" s="228">
        <v>-0.54</v>
      </c>
      <c r="DL46" s="228">
        <v>-0.54</v>
      </c>
      <c r="DM46" s="228">
        <v>26.05</v>
      </c>
      <c r="DN46" s="228">
        <v>26.71</v>
      </c>
      <c r="DO46" s="228">
        <v>-0.66</v>
      </c>
      <c r="DP46" s="228">
        <v>-0.66</v>
      </c>
      <c r="DQ46" s="228">
        <v>0.78</v>
      </c>
      <c r="DR46" s="228">
        <v>0.82</v>
      </c>
      <c r="DS46" s="228">
        <v>-0.04</v>
      </c>
      <c r="DT46" s="229">
        <v>-4.8800000000000003E-2</v>
      </c>
      <c r="DU46" s="231">
        <v>1300</v>
      </c>
      <c r="DV46" s="231">
        <v>1160</v>
      </c>
      <c r="DW46" s="228">
        <v>0.26</v>
      </c>
      <c r="DX46" s="228">
        <v>0.28000000000000003</v>
      </c>
      <c r="DY46" s="228">
        <v>-0.02</v>
      </c>
      <c r="DZ46" s="229">
        <v>-7.1400000000000005E-2</v>
      </c>
      <c r="EA46" s="229">
        <v>8.4599999999999995E-2</v>
      </c>
      <c r="EB46" s="230">
        <v>1239000</v>
      </c>
      <c r="EC46" s="229">
        <v>6.4000000000000003E-3</v>
      </c>
      <c r="ED46" s="229">
        <v>8.4599999999999995E-2</v>
      </c>
      <c r="EE46" s="228">
        <v>7.44</v>
      </c>
      <c r="EF46" s="229">
        <v>6.1000000000000004E-3</v>
      </c>
      <c r="EG46" s="230">
        <v>1702405</v>
      </c>
      <c r="EH46" s="230">
        <v>1499339</v>
      </c>
      <c r="EI46" s="229">
        <v>0.13539999999999999</v>
      </c>
      <c r="EJ46" s="229">
        <v>0.65690000000000004</v>
      </c>
      <c r="EK46" s="228">
        <v>692.09</v>
      </c>
      <c r="EL46" s="228">
        <v>171.54</v>
      </c>
      <c r="EM46" s="228">
        <v>139.26</v>
      </c>
      <c r="EN46" s="228">
        <v>49.48</v>
      </c>
      <c r="EO46" s="231">
        <v>1002.9</v>
      </c>
      <c r="EP46" s="231">
        <v>1286.73</v>
      </c>
      <c r="EQ46" s="228">
        <v>-283.83</v>
      </c>
      <c r="ER46" s="229">
        <v>-0.22059999999999999</v>
      </c>
      <c r="ES46" s="228">
        <v>575.46</v>
      </c>
      <c r="ET46" s="228">
        <v>410.56</v>
      </c>
      <c r="EU46" s="231">
        <v>1830.31</v>
      </c>
      <c r="EV46" s="231">
        <v>76385219</v>
      </c>
      <c r="EW46" s="231">
        <v>2816.32</v>
      </c>
      <c r="EX46" s="231">
        <v>2765.49</v>
      </c>
      <c r="EY46" s="228">
        <v>50.83</v>
      </c>
      <c r="EZ46" s="229">
        <v>1.84E-2</v>
      </c>
      <c r="FA46" s="229">
        <v>0.29949999999999999</v>
      </c>
      <c r="FB46" s="227" t="s">
        <v>694</v>
      </c>
      <c r="FC46">
        <f t="shared" si="0"/>
        <v>154</v>
      </c>
    </row>
    <row r="47" spans="1:159" ht="17.25" thickBot="1" x14ac:dyDescent="0.3">
      <c r="A47" s="226">
        <v>46121</v>
      </c>
      <c r="B47" s="227" t="s">
        <v>227</v>
      </c>
      <c r="C47" s="227" t="s">
        <v>200</v>
      </c>
      <c r="D47" s="228">
        <v>1350</v>
      </c>
      <c r="E47" s="228">
        <v>19</v>
      </c>
      <c r="F47" s="228">
        <v>452.9</v>
      </c>
      <c r="G47" s="228">
        <v>445.65</v>
      </c>
      <c r="H47" s="228">
        <v>7.25</v>
      </c>
      <c r="I47" s="229">
        <v>1.6299999999999999E-2</v>
      </c>
      <c r="J47" s="228">
        <v>454.1</v>
      </c>
      <c r="K47" s="228">
        <v>449.25</v>
      </c>
      <c r="L47" s="228">
        <v>4.8499999999999996</v>
      </c>
      <c r="M47" s="229">
        <v>1.0800000000000001E-2</v>
      </c>
      <c r="N47" s="228">
        <v>452.9</v>
      </c>
      <c r="O47" s="228">
        <v>445.65</v>
      </c>
      <c r="P47" s="228">
        <v>7.25</v>
      </c>
      <c r="Q47" s="229">
        <v>1.6299999999999999E-2</v>
      </c>
      <c r="R47" s="228">
        <v>452.4</v>
      </c>
      <c r="S47" s="228">
        <v>445.4</v>
      </c>
      <c r="T47" s="228">
        <v>7</v>
      </c>
      <c r="U47" s="229">
        <v>1.5699999999999999E-2</v>
      </c>
      <c r="V47" s="228">
        <v>453.6</v>
      </c>
      <c r="W47" s="228">
        <v>446.3</v>
      </c>
      <c r="X47" s="228">
        <v>7.3</v>
      </c>
      <c r="Y47" s="229">
        <v>1.6400000000000001E-2</v>
      </c>
      <c r="Z47" s="228">
        <v>-1.2</v>
      </c>
      <c r="AA47" s="228">
        <v>-3.6</v>
      </c>
      <c r="AB47" s="228">
        <v>2.4</v>
      </c>
      <c r="AC47" s="229">
        <v>-2.5999999999999999E-3</v>
      </c>
      <c r="AD47" s="228">
        <v>-1.2</v>
      </c>
      <c r="AE47" s="228">
        <v>-3.6</v>
      </c>
      <c r="AF47" s="228">
        <v>2.4</v>
      </c>
      <c r="AG47" s="229">
        <v>-2.5999999999999999E-3</v>
      </c>
      <c r="AH47" s="228">
        <v>-1.7</v>
      </c>
      <c r="AI47" s="228">
        <v>-3.85</v>
      </c>
      <c r="AJ47" s="228">
        <v>2.15</v>
      </c>
      <c r="AK47" s="229">
        <v>-3.7000000000000002E-3</v>
      </c>
      <c r="AL47" s="228">
        <v>-0.5</v>
      </c>
      <c r="AM47" s="228">
        <v>-2.95</v>
      </c>
      <c r="AN47" s="228">
        <v>2.4500000000000002</v>
      </c>
      <c r="AO47" s="229">
        <v>-1.1000000000000001E-3</v>
      </c>
      <c r="AP47" s="228">
        <v>451.97</v>
      </c>
      <c r="AQ47" s="228">
        <v>450.75</v>
      </c>
      <c r="AR47" s="228">
        <v>0</v>
      </c>
      <c r="AS47" s="228">
        <v>496</v>
      </c>
      <c r="AT47" s="228">
        <v>851</v>
      </c>
      <c r="AU47" s="228">
        <v>-356</v>
      </c>
      <c r="AV47" s="229">
        <v>-0.4178</v>
      </c>
      <c r="AW47" s="228">
        <v>441</v>
      </c>
      <c r="AX47" s="228">
        <v>779</v>
      </c>
      <c r="AY47" s="228">
        <v>-338</v>
      </c>
      <c r="AZ47" s="229">
        <v>-0.43359999999999999</v>
      </c>
      <c r="BA47" s="228">
        <v>45</v>
      </c>
      <c r="BB47" s="228">
        <v>62</v>
      </c>
      <c r="BC47" s="228">
        <v>-17</v>
      </c>
      <c r="BD47" s="229">
        <v>-0.27839999999999998</v>
      </c>
      <c r="BE47" s="228">
        <v>10</v>
      </c>
      <c r="BF47" s="228">
        <v>10</v>
      </c>
      <c r="BG47" s="228">
        <v>-1</v>
      </c>
      <c r="BH47" s="229">
        <v>-6.5100000000000005E-2</v>
      </c>
      <c r="BI47" s="230">
        <v>1795</v>
      </c>
      <c r="BJ47" s="230">
        <v>2313</v>
      </c>
      <c r="BK47" s="228">
        <v>-518</v>
      </c>
      <c r="BL47" s="229">
        <v>-0.22409999999999999</v>
      </c>
      <c r="BM47" s="228">
        <v>670</v>
      </c>
      <c r="BN47" s="230">
        <v>1056</v>
      </c>
      <c r="BO47" s="228">
        <v>-387</v>
      </c>
      <c r="BP47" s="229">
        <v>-0.3659</v>
      </c>
      <c r="BQ47" s="230">
        <v>2960</v>
      </c>
      <c r="BR47" s="230">
        <v>4221</v>
      </c>
      <c r="BS47" s="230">
        <v>-1260</v>
      </c>
      <c r="BT47" s="229">
        <v>-0.29859999999999998</v>
      </c>
      <c r="BU47" s="230">
        <v>9973506</v>
      </c>
      <c r="BV47" s="230">
        <v>21201541</v>
      </c>
      <c r="BW47" s="230">
        <v>-11228035</v>
      </c>
      <c r="BX47" s="229">
        <v>-0.52959999999999996</v>
      </c>
      <c r="BY47" s="230">
        <v>2721</v>
      </c>
      <c r="BZ47" s="230">
        <v>2766</v>
      </c>
      <c r="CA47" s="228">
        <v>-46</v>
      </c>
      <c r="CB47" s="229">
        <v>-1.6500000000000001E-2</v>
      </c>
      <c r="CC47" s="230">
        <v>2625</v>
      </c>
      <c r="CD47" s="230">
        <v>2680</v>
      </c>
      <c r="CE47" s="228">
        <v>-55</v>
      </c>
      <c r="CF47" s="229">
        <v>-2.0400000000000001E-2</v>
      </c>
      <c r="CG47" s="228">
        <v>78</v>
      </c>
      <c r="CH47" s="228">
        <v>72</v>
      </c>
      <c r="CI47" s="228">
        <v>6</v>
      </c>
      <c r="CJ47" s="229">
        <v>8.1900000000000001E-2</v>
      </c>
      <c r="CK47" s="228">
        <v>18</v>
      </c>
      <c r="CL47" s="228">
        <v>15</v>
      </c>
      <c r="CM47" s="228">
        <v>3</v>
      </c>
      <c r="CN47" s="229">
        <v>0.2107</v>
      </c>
      <c r="CO47" s="230">
        <v>1263</v>
      </c>
      <c r="CP47" s="230">
        <v>1340</v>
      </c>
      <c r="CQ47" s="228">
        <v>-77</v>
      </c>
      <c r="CR47" s="229">
        <v>-5.7599999999999998E-2</v>
      </c>
      <c r="CS47" s="228">
        <v>808</v>
      </c>
      <c r="CT47" s="228">
        <v>735</v>
      </c>
      <c r="CU47" s="228">
        <v>73</v>
      </c>
      <c r="CV47" s="229">
        <v>9.9000000000000005E-2</v>
      </c>
      <c r="CW47" s="230">
        <v>4791</v>
      </c>
      <c r="CX47" s="230">
        <v>4841</v>
      </c>
      <c r="CY47" s="228">
        <v>-50</v>
      </c>
      <c r="CZ47" s="229">
        <v>-1.03E-2</v>
      </c>
      <c r="DA47" s="228">
        <v>28.22</v>
      </c>
      <c r="DB47" s="228">
        <v>30.21</v>
      </c>
      <c r="DC47" s="228">
        <v>-1.99</v>
      </c>
      <c r="DD47" s="228">
        <v>-1.99</v>
      </c>
      <c r="DE47" s="228">
        <v>30.71</v>
      </c>
      <c r="DF47" s="228">
        <v>30.71</v>
      </c>
      <c r="DG47" s="228">
        <v>-2.4900000000000002</v>
      </c>
      <c r="DH47" s="228">
        <v>0</v>
      </c>
      <c r="DI47" s="228">
        <v>28.1</v>
      </c>
      <c r="DJ47" s="228">
        <v>30.46</v>
      </c>
      <c r="DK47" s="228">
        <v>-2.36</v>
      </c>
      <c r="DL47" s="228">
        <v>-2.36</v>
      </c>
      <c r="DM47" s="228">
        <v>28.53</v>
      </c>
      <c r="DN47" s="228">
        <v>29.66</v>
      </c>
      <c r="DO47" s="228">
        <v>-1.1299999999999999</v>
      </c>
      <c r="DP47" s="228">
        <v>-1.1299999999999999</v>
      </c>
      <c r="DQ47" s="228">
        <v>0.64</v>
      </c>
      <c r="DR47" s="228">
        <v>0.55000000000000004</v>
      </c>
      <c r="DS47" s="228">
        <v>0.09</v>
      </c>
      <c r="DT47" s="229">
        <v>0.1636</v>
      </c>
      <c r="DU47" s="228">
        <v>500</v>
      </c>
      <c r="DV47" s="228">
        <v>450</v>
      </c>
      <c r="DW47" s="228">
        <v>0.37</v>
      </c>
      <c r="DX47" s="228">
        <v>0.46</v>
      </c>
      <c r="DY47" s="228">
        <v>-0.09</v>
      </c>
      <c r="DZ47" s="229">
        <v>-0.19570000000000001</v>
      </c>
      <c r="EA47" s="229">
        <v>3.5099999999999999E-2</v>
      </c>
      <c r="EB47" s="230">
        <v>1908900</v>
      </c>
      <c r="EC47" s="229">
        <v>-1.1000000000000001E-3</v>
      </c>
      <c r="ED47" s="229">
        <v>3.5099999999999999E-2</v>
      </c>
      <c r="EE47" s="228">
        <v>-1.22</v>
      </c>
      <c r="EF47" s="229">
        <v>-2.7000000000000001E-3</v>
      </c>
      <c r="EG47" s="230">
        <v>4169022</v>
      </c>
      <c r="EH47" s="230">
        <v>11338256</v>
      </c>
      <c r="EI47" s="229">
        <v>-0.63229999999999997</v>
      </c>
      <c r="EJ47" s="229">
        <v>0.41799999999999998</v>
      </c>
      <c r="EK47" s="231">
        <v>1871.58</v>
      </c>
      <c r="EL47" s="228">
        <v>667.64</v>
      </c>
      <c r="EM47" s="228">
        <v>494.58</v>
      </c>
      <c r="EN47" s="228">
        <v>86.14</v>
      </c>
      <c r="EO47" s="231">
        <v>3033.8</v>
      </c>
      <c r="EP47" s="231">
        <v>4312.1499999999996</v>
      </c>
      <c r="EQ47" s="231">
        <v>-1278.3499999999999</v>
      </c>
      <c r="ER47" s="229">
        <v>-0.29649999999999999</v>
      </c>
      <c r="ES47" s="231">
        <v>1324.65</v>
      </c>
      <c r="ET47" s="228">
        <v>770.13</v>
      </c>
      <c r="EU47" s="231">
        <v>2720.49</v>
      </c>
      <c r="EV47" s="231">
        <v>320531323</v>
      </c>
      <c r="EW47" s="231">
        <v>4815.28</v>
      </c>
      <c r="EX47" s="231">
        <v>4820.8100000000004</v>
      </c>
      <c r="EY47" s="228">
        <v>-5.53</v>
      </c>
      <c r="EZ47" s="229">
        <v>-1.1000000000000001E-3</v>
      </c>
      <c r="FA47" s="229">
        <v>0.33</v>
      </c>
      <c r="FB47" s="227" t="s">
        <v>694</v>
      </c>
      <c r="FC47">
        <f t="shared" si="0"/>
        <v>96</v>
      </c>
    </row>
    <row r="48" spans="1:159" ht="17.25" thickBot="1" x14ac:dyDescent="0.3">
      <c r="A48" s="226">
        <v>46121</v>
      </c>
      <c r="B48" s="227" t="s">
        <v>702</v>
      </c>
      <c r="C48" s="227" t="s">
        <v>697</v>
      </c>
      <c r="D48" s="228">
        <v>400</v>
      </c>
      <c r="E48" s="228">
        <v>19</v>
      </c>
      <c r="F48" s="231">
        <v>1430.3</v>
      </c>
      <c r="G48" s="231">
        <v>1376.6</v>
      </c>
      <c r="H48" s="228">
        <v>53.7</v>
      </c>
      <c r="I48" s="229">
        <v>3.9E-2</v>
      </c>
      <c r="J48" s="231">
        <v>1423.9</v>
      </c>
      <c r="K48" s="231">
        <v>1379.8</v>
      </c>
      <c r="L48" s="228">
        <v>44.1</v>
      </c>
      <c r="M48" s="229">
        <v>3.2000000000000001E-2</v>
      </c>
      <c r="N48" s="231">
        <v>1430.3</v>
      </c>
      <c r="O48" s="231">
        <v>1376.6</v>
      </c>
      <c r="P48" s="228">
        <v>53.7</v>
      </c>
      <c r="Q48" s="229">
        <v>3.9E-2</v>
      </c>
      <c r="R48" s="231">
        <v>1430.1</v>
      </c>
      <c r="S48" s="231">
        <v>1375.6</v>
      </c>
      <c r="T48" s="228">
        <v>54.5</v>
      </c>
      <c r="U48" s="229">
        <v>3.9600000000000003E-2</v>
      </c>
      <c r="V48" s="231">
        <v>1436.5</v>
      </c>
      <c r="W48" s="231">
        <v>1380.2</v>
      </c>
      <c r="X48" s="228">
        <v>56.3</v>
      </c>
      <c r="Y48" s="229">
        <v>4.0800000000000003E-2</v>
      </c>
      <c r="Z48" s="228">
        <v>6.4</v>
      </c>
      <c r="AA48" s="228">
        <v>-3.2</v>
      </c>
      <c r="AB48" s="228">
        <v>9.6</v>
      </c>
      <c r="AC48" s="229">
        <v>4.4999999999999997E-3</v>
      </c>
      <c r="AD48" s="228">
        <v>6.4</v>
      </c>
      <c r="AE48" s="228">
        <v>-3.2</v>
      </c>
      <c r="AF48" s="228">
        <v>9.6</v>
      </c>
      <c r="AG48" s="229">
        <v>4.4999999999999997E-3</v>
      </c>
      <c r="AH48" s="228">
        <v>6.2</v>
      </c>
      <c r="AI48" s="228">
        <v>-4.2</v>
      </c>
      <c r="AJ48" s="228">
        <v>10.4</v>
      </c>
      <c r="AK48" s="229">
        <v>4.4000000000000003E-3</v>
      </c>
      <c r="AL48" s="228">
        <v>12.6</v>
      </c>
      <c r="AM48" s="228">
        <v>0.4</v>
      </c>
      <c r="AN48" s="228">
        <v>12.2</v>
      </c>
      <c r="AO48" s="229">
        <v>8.8000000000000005E-3</v>
      </c>
      <c r="AP48" s="231">
        <v>1429.04</v>
      </c>
      <c r="AQ48" s="231">
        <v>1428.67</v>
      </c>
      <c r="AR48" s="228">
        <v>0</v>
      </c>
      <c r="AS48" s="228">
        <v>206</v>
      </c>
      <c r="AT48" s="228">
        <v>60</v>
      </c>
      <c r="AU48" s="228">
        <v>146</v>
      </c>
      <c r="AV48" s="229">
        <v>2.4491000000000001</v>
      </c>
      <c r="AW48" s="228">
        <v>175</v>
      </c>
      <c r="AX48" s="228">
        <v>50</v>
      </c>
      <c r="AY48" s="228">
        <v>124</v>
      </c>
      <c r="AZ48" s="229">
        <v>2.4687999999999999</v>
      </c>
      <c r="BA48" s="228">
        <v>29</v>
      </c>
      <c r="BB48" s="228">
        <v>9</v>
      </c>
      <c r="BC48" s="228">
        <v>20</v>
      </c>
      <c r="BD48" s="229">
        <v>2.351</v>
      </c>
      <c r="BE48" s="228">
        <v>2</v>
      </c>
      <c r="BF48" s="228">
        <v>1</v>
      </c>
      <c r="BG48" s="228">
        <v>1</v>
      </c>
      <c r="BH48" s="229">
        <v>2.2000000000000002</v>
      </c>
      <c r="BI48" s="228">
        <v>869</v>
      </c>
      <c r="BJ48" s="228">
        <v>105</v>
      </c>
      <c r="BK48" s="228">
        <v>764</v>
      </c>
      <c r="BL48" s="229">
        <v>7.2401999999999997</v>
      </c>
      <c r="BM48" s="228">
        <v>242</v>
      </c>
      <c r="BN48" s="228">
        <v>39</v>
      </c>
      <c r="BO48" s="228">
        <v>202</v>
      </c>
      <c r="BP48" s="229">
        <v>5.165</v>
      </c>
      <c r="BQ48" s="230">
        <v>1317</v>
      </c>
      <c r="BR48" s="228">
        <v>204</v>
      </c>
      <c r="BS48" s="230">
        <v>1112</v>
      </c>
      <c r="BT48" s="229">
        <v>5.4440999999999997</v>
      </c>
      <c r="BU48" s="230">
        <v>3979014</v>
      </c>
      <c r="BV48" s="230">
        <v>1845971</v>
      </c>
      <c r="BW48" s="230">
        <v>2133043</v>
      </c>
      <c r="BX48" s="229">
        <v>1.1555</v>
      </c>
      <c r="BY48" s="228">
        <v>161</v>
      </c>
      <c r="BZ48" s="228">
        <v>133</v>
      </c>
      <c r="CA48" s="228">
        <v>28</v>
      </c>
      <c r="CB48" s="229">
        <v>0.2094</v>
      </c>
      <c r="CC48" s="228">
        <v>128</v>
      </c>
      <c r="CD48" s="228">
        <v>110</v>
      </c>
      <c r="CE48" s="228">
        <v>18</v>
      </c>
      <c r="CF48" s="229">
        <v>0.16200000000000001</v>
      </c>
      <c r="CG48" s="228">
        <v>32</v>
      </c>
      <c r="CH48" s="228">
        <v>22</v>
      </c>
      <c r="CI48" s="228">
        <v>10</v>
      </c>
      <c r="CJ48" s="229">
        <v>0.45169999999999999</v>
      </c>
      <c r="CK48" s="228">
        <v>1</v>
      </c>
      <c r="CL48" s="228">
        <v>1</v>
      </c>
      <c r="CM48" s="228">
        <v>0</v>
      </c>
      <c r="CN48" s="229">
        <v>0.13639999999999999</v>
      </c>
      <c r="CO48" s="228">
        <v>100</v>
      </c>
      <c r="CP48" s="228">
        <v>60</v>
      </c>
      <c r="CQ48" s="228">
        <v>40</v>
      </c>
      <c r="CR48" s="229">
        <v>0.6613</v>
      </c>
      <c r="CS48" s="228">
        <v>61</v>
      </c>
      <c r="CT48" s="228">
        <v>39</v>
      </c>
      <c r="CU48" s="228">
        <v>22</v>
      </c>
      <c r="CV48" s="229">
        <v>0.56759999999999999</v>
      </c>
      <c r="CW48" s="228">
        <v>323</v>
      </c>
      <c r="CX48" s="228">
        <v>233</v>
      </c>
      <c r="CY48" s="228">
        <v>90</v>
      </c>
      <c r="CZ48" s="229">
        <v>0.38669999999999999</v>
      </c>
      <c r="DA48" s="228">
        <v>55.06</v>
      </c>
      <c r="DB48" s="228">
        <v>49.87</v>
      </c>
      <c r="DC48" s="228">
        <v>5.19</v>
      </c>
      <c r="DD48" s="228">
        <v>5.19</v>
      </c>
      <c r="DE48" s="228">
        <v>54.93</v>
      </c>
      <c r="DF48" s="228">
        <v>54.91</v>
      </c>
      <c r="DG48" s="228">
        <v>0.13</v>
      </c>
      <c r="DH48" s="228">
        <v>0.02</v>
      </c>
      <c r="DI48" s="228">
        <v>54.34</v>
      </c>
      <c r="DJ48" s="228">
        <v>48.74</v>
      </c>
      <c r="DK48" s="228">
        <v>5.6</v>
      </c>
      <c r="DL48" s="228">
        <v>5.6</v>
      </c>
      <c r="DM48" s="228">
        <v>57.64</v>
      </c>
      <c r="DN48" s="228">
        <v>52.93</v>
      </c>
      <c r="DO48" s="228">
        <v>4.71</v>
      </c>
      <c r="DP48" s="228">
        <v>4.71</v>
      </c>
      <c r="DQ48" s="228">
        <v>0.61</v>
      </c>
      <c r="DR48" s="228">
        <v>0.64</v>
      </c>
      <c r="DS48" s="228">
        <v>-0.03</v>
      </c>
      <c r="DT48" s="229">
        <v>-4.6899999999999997E-2</v>
      </c>
      <c r="DU48" s="231">
        <v>1500</v>
      </c>
      <c r="DV48" s="231">
        <v>1300</v>
      </c>
      <c r="DW48" s="228">
        <v>0.28000000000000003</v>
      </c>
      <c r="DX48" s="228">
        <v>0.37</v>
      </c>
      <c r="DY48" s="228">
        <v>-0.09</v>
      </c>
      <c r="DZ48" s="229">
        <v>-0.2432</v>
      </c>
      <c r="EA48" s="229">
        <v>0.20610000000000001</v>
      </c>
      <c r="EB48" s="230">
        <v>162000</v>
      </c>
      <c r="EC48" s="229">
        <v>-1E-4</v>
      </c>
      <c r="ED48" s="229">
        <v>0.20610000000000001</v>
      </c>
      <c r="EE48" s="228">
        <v>-0.37</v>
      </c>
      <c r="EF48" s="229">
        <v>-2.9999999999999997E-4</v>
      </c>
      <c r="EG48" s="230">
        <v>741961</v>
      </c>
      <c r="EH48" s="230">
        <v>597109</v>
      </c>
      <c r="EI48" s="229">
        <v>0.24260000000000001</v>
      </c>
      <c r="EJ48" s="229">
        <v>0.1865</v>
      </c>
      <c r="EK48" s="228">
        <v>929.05</v>
      </c>
      <c r="EL48" s="228">
        <v>228.24</v>
      </c>
      <c r="EM48" s="228">
        <v>205.43</v>
      </c>
      <c r="EN48" s="228">
        <v>13.74</v>
      </c>
      <c r="EO48" s="231">
        <v>1362.71</v>
      </c>
      <c r="EP48" s="228">
        <v>201.62</v>
      </c>
      <c r="EQ48" s="231">
        <v>1161.0899999999999</v>
      </c>
      <c r="ER48" s="229">
        <v>5.7587999999999999</v>
      </c>
      <c r="ES48" s="228">
        <v>102.71</v>
      </c>
      <c r="ET48" s="228">
        <v>55.81</v>
      </c>
      <c r="EU48" s="228">
        <v>161.28</v>
      </c>
      <c r="EV48" s="231">
        <v>12661431</v>
      </c>
      <c r="EW48" s="228">
        <v>319.81</v>
      </c>
      <c r="EX48" s="228">
        <v>222.18</v>
      </c>
      <c r="EY48" s="228">
        <v>97.63</v>
      </c>
      <c r="EZ48" s="229">
        <v>0.43940000000000001</v>
      </c>
      <c r="FA48" s="229">
        <v>0.1782</v>
      </c>
      <c r="FB48" s="227" t="s">
        <v>555</v>
      </c>
      <c r="FC48">
        <f t="shared" si="0"/>
        <v>33</v>
      </c>
    </row>
    <row r="49" spans="1:159" ht="17.25" thickBot="1" x14ac:dyDescent="0.3">
      <c r="A49" s="226">
        <v>46121</v>
      </c>
      <c r="B49" s="227" t="s">
        <v>221</v>
      </c>
      <c r="C49" s="227" t="s">
        <v>470</v>
      </c>
      <c r="D49" s="228">
        <v>375</v>
      </c>
      <c r="E49" s="228">
        <v>19</v>
      </c>
      <c r="F49" s="231">
        <v>1270.2</v>
      </c>
      <c r="G49" s="231">
        <v>1273</v>
      </c>
      <c r="H49" s="228">
        <v>-2.8</v>
      </c>
      <c r="I49" s="229">
        <v>-2.2000000000000001E-3</v>
      </c>
      <c r="J49" s="231">
        <v>1264.9000000000001</v>
      </c>
      <c r="K49" s="231">
        <v>1270.4000000000001</v>
      </c>
      <c r="L49" s="228">
        <v>-5.5</v>
      </c>
      <c r="M49" s="229">
        <v>-4.3E-3</v>
      </c>
      <c r="N49" s="231">
        <v>1270.2</v>
      </c>
      <c r="O49" s="231">
        <v>1273</v>
      </c>
      <c r="P49" s="228">
        <v>-2.8</v>
      </c>
      <c r="Q49" s="229">
        <v>-2.2000000000000001E-3</v>
      </c>
      <c r="R49" s="231">
        <v>1273.9000000000001</v>
      </c>
      <c r="S49" s="231">
        <v>1277.0999999999999</v>
      </c>
      <c r="T49" s="228">
        <v>-3.2</v>
      </c>
      <c r="U49" s="229">
        <v>-2.5000000000000001E-3</v>
      </c>
      <c r="V49" s="231">
        <v>1281.2</v>
      </c>
      <c r="W49" s="231">
        <v>1282.5</v>
      </c>
      <c r="X49" s="228">
        <v>-1.3</v>
      </c>
      <c r="Y49" s="229">
        <v>-1E-3</v>
      </c>
      <c r="Z49" s="228">
        <v>5.3</v>
      </c>
      <c r="AA49" s="228">
        <v>2.6</v>
      </c>
      <c r="AB49" s="228">
        <v>2.7</v>
      </c>
      <c r="AC49" s="229">
        <v>4.1999999999999997E-3</v>
      </c>
      <c r="AD49" s="228">
        <v>5.3</v>
      </c>
      <c r="AE49" s="228">
        <v>2.6</v>
      </c>
      <c r="AF49" s="228">
        <v>2.7</v>
      </c>
      <c r="AG49" s="229">
        <v>4.1999999999999997E-3</v>
      </c>
      <c r="AH49" s="228">
        <v>9</v>
      </c>
      <c r="AI49" s="228">
        <v>6.7</v>
      </c>
      <c r="AJ49" s="228">
        <v>2.2999999999999998</v>
      </c>
      <c r="AK49" s="229">
        <v>7.1000000000000004E-3</v>
      </c>
      <c r="AL49" s="228">
        <v>16.3</v>
      </c>
      <c r="AM49" s="228">
        <v>12.1</v>
      </c>
      <c r="AN49" s="228">
        <v>4.2</v>
      </c>
      <c r="AO49" s="229">
        <v>1.29E-2</v>
      </c>
      <c r="AP49" s="231">
        <v>1260.67</v>
      </c>
      <c r="AQ49" s="231">
        <v>1264.28</v>
      </c>
      <c r="AR49" s="228">
        <v>0</v>
      </c>
      <c r="AS49" s="228">
        <v>413</v>
      </c>
      <c r="AT49" s="228">
        <v>494</v>
      </c>
      <c r="AU49" s="228">
        <v>-81</v>
      </c>
      <c r="AV49" s="229">
        <v>-0.16350000000000001</v>
      </c>
      <c r="AW49" s="228">
        <v>385</v>
      </c>
      <c r="AX49" s="228">
        <v>456</v>
      </c>
      <c r="AY49" s="228">
        <v>-71</v>
      </c>
      <c r="AZ49" s="229">
        <v>-0.15659999999999999</v>
      </c>
      <c r="BA49" s="228">
        <v>23</v>
      </c>
      <c r="BB49" s="228">
        <v>31</v>
      </c>
      <c r="BC49" s="228">
        <v>-8</v>
      </c>
      <c r="BD49" s="229">
        <v>-0.26869999999999999</v>
      </c>
      <c r="BE49" s="228">
        <v>5</v>
      </c>
      <c r="BF49" s="228">
        <v>6</v>
      </c>
      <c r="BG49" s="228">
        <v>-1</v>
      </c>
      <c r="BH49" s="229">
        <v>-0.14180000000000001</v>
      </c>
      <c r="BI49" s="230">
        <v>1189</v>
      </c>
      <c r="BJ49" s="230">
        <v>1546</v>
      </c>
      <c r="BK49" s="228">
        <v>-357</v>
      </c>
      <c r="BL49" s="229">
        <v>-0.23089999999999999</v>
      </c>
      <c r="BM49" s="228">
        <v>586</v>
      </c>
      <c r="BN49" s="228">
        <v>595</v>
      </c>
      <c r="BO49" s="228">
        <v>-8</v>
      </c>
      <c r="BP49" s="229">
        <v>-1.3899999999999999E-2</v>
      </c>
      <c r="BQ49" s="230">
        <v>2188</v>
      </c>
      <c r="BR49" s="230">
        <v>2634</v>
      </c>
      <c r="BS49" s="228">
        <v>-446</v>
      </c>
      <c r="BT49" s="229">
        <v>-0.16930000000000001</v>
      </c>
      <c r="BU49" s="230">
        <v>4508741</v>
      </c>
      <c r="BV49" s="230">
        <v>4921434</v>
      </c>
      <c r="BW49" s="230">
        <v>-412693</v>
      </c>
      <c r="BX49" s="229">
        <v>-8.3900000000000002E-2</v>
      </c>
      <c r="BY49" s="230">
        <v>2261</v>
      </c>
      <c r="BZ49" s="230">
        <v>2270</v>
      </c>
      <c r="CA49" s="228">
        <v>-9</v>
      </c>
      <c r="CB49" s="229">
        <v>-3.8E-3</v>
      </c>
      <c r="CC49" s="230">
        <v>2168</v>
      </c>
      <c r="CD49" s="230">
        <v>2180</v>
      </c>
      <c r="CE49" s="228">
        <v>-12</v>
      </c>
      <c r="CF49" s="229">
        <v>-5.4999999999999997E-3</v>
      </c>
      <c r="CG49" s="228">
        <v>89</v>
      </c>
      <c r="CH49" s="228">
        <v>85</v>
      </c>
      <c r="CI49" s="228">
        <v>3</v>
      </c>
      <c r="CJ49" s="229">
        <v>3.9100000000000003E-2</v>
      </c>
      <c r="CK49" s="228">
        <v>4</v>
      </c>
      <c r="CL49" s="228">
        <v>4</v>
      </c>
      <c r="CM49" s="228">
        <v>0</v>
      </c>
      <c r="CN49" s="229">
        <v>4.4900000000000002E-2</v>
      </c>
      <c r="CO49" s="228">
        <v>820</v>
      </c>
      <c r="CP49" s="228">
        <v>786</v>
      </c>
      <c r="CQ49" s="228">
        <v>35</v>
      </c>
      <c r="CR49" s="229">
        <v>4.4299999999999999E-2</v>
      </c>
      <c r="CS49" s="228">
        <v>534</v>
      </c>
      <c r="CT49" s="228">
        <v>486</v>
      </c>
      <c r="CU49" s="228">
        <v>48</v>
      </c>
      <c r="CV49" s="229">
        <v>9.8900000000000002E-2</v>
      </c>
      <c r="CW49" s="230">
        <v>3616</v>
      </c>
      <c r="CX49" s="230">
        <v>3541</v>
      </c>
      <c r="CY49" s="228">
        <v>74</v>
      </c>
      <c r="CZ49" s="229">
        <v>2.1000000000000001E-2</v>
      </c>
      <c r="DA49" s="228">
        <v>42.9</v>
      </c>
      <c r="DB49" s="228">
        <v>42.88</v>
      </c>
      <c r="DC49" s="228">
        <v>0.02</v>
      </c>
      <c r="DD49" s="228">
        <v>0.02</v>
      </c>
      <c r="DE49" s="228">
        <v>43.04</v>
      </c>
      <c r="DF49" s="228">
        <v>43.14</v>
      </c>
      <c r="DG49" s="228">
        <v>-0.14000000000000001</v>
      </c>
      <c r="DH49" s="228">
        <v>-0.1</v>
      </c>
      <c r="DI49" s="228">
        <v>41.87</v>
      </c>
      <c r="DJ49" s="228">
        <v>41.91</v>
      </c>
      <c r="DK49" s="228">
        <v>-0.04</v>
      </c>
      <c r="DL49" s="228">
        <v>-0.04</v>
      </c>
      <c r="DM49" s="228">
        <v>45</v>
      </c>
      <c r="DN49" s="228">
        <v>45.42</v>
      </c>
      <c r="DO49" s="228">
        <v>-0.42</v>
      </c>
      <c r="DP49" s="228">
        <v>-0.42</v>
      </c>
      <c r="DQ49" s="228">
        <v>0.65</v>
      </c>
      <c r="DR49" s="228">
        <v>0.62</v>
      </c>
      <c r="DS49" s="228">
        <v>0.03</v>
      </c>
      <c r="DT49" s="229">
        <v>4.8399999999999999E-2</v>
      </c>
      <c r="DU49" s="231">
        <v>1400</v>
      </c>
      <c r="DV49" s="231">
        <v>1100</v>
      </c>
      <c r="DW49" s="228">
        <v>0.49</v>
      </c>
      <c r="DX49" s="228">
        <v>0.38</v>
      </c>
      <c r="DY49" s="228">
        <v>0.11</v>
      </c>
      <c r="DZ49" s="229">
        <v>0.28949999999999998</v>
      </c>
      <c r="EA49" s="229">
        <v>4.1099999999999998E-2</v>
      </c>
      <c r="EB49" s="230">
        <v>703875</v>
      </c>
      <c r="EC49" s="229">
        <v>2.8999999999999998E-3</v>
      </c>
      <c r="ED49" s="229">
        <v>4.1099999999999998E-2</v>
      </c>
      <c r="EE49" s="228">
        <v>3.61</v>
      </c>
      <c r="EF49" s="229">
        <v>2.8999999999999998E-3</v>
      </c>
      <c r="EG49" s="230">
        <v>2073974</v>
      </c>
      <c r="EH49" s="230">
        <v>2179657</v>
      </c>
      <c r="EI49" s="229">
        <v>-4.8500000000000001E-2</v>
      </c>
      <c r="EJ49" s="229">
        <v>0.46</v>
      </c>
      <c r="EK49" s="231">
        <v>1250.06</v>
      </c>
      <c r="EL49" s="228">
        <v>572.16</v>
      </c>
      <c r="EM49" s="228">
        <v>410.08</v>
      </c>
      <c r="EN49" s="228">
        <v>109.2</v>
      </c>
      <c r="EO49" s="231">
        <v>2232.3000000000002</v>
      </c>
      <c r="EP49" s="231">
        <v>2678.81</v>
      </c>
      <c r="EQ49" s="228">
        <v>-446.51</v>
      </c>
      <c r="ER49" s="229">
        <v>-0.16669999999999999</v>
      </c>
      <c r="ES49" s="228">
        <v>807.86</v>
      </c>
      <c r="ET49" s="228">
        <v>493.81</v>
      </c>
      <c r="EU49" s="231">
        <v>2261.27</v>
      </c>
      <c r="EV49" s="231">
        <v>50256271</v>
      </c>
      <c r="EW49" s="231">
        <v>3562.94</v>
      </c>
      <c r="EX49" s="231">
        <v>3489.64</v>
      </c>
      <c r="EY49" s="228">
        <v>73.3</v>
      </c>
      <c r="EZ49" s="229">
        <v>2.1000000000000001E-2</v>
      </c>
      <c r="FA49" s="229">
        <v>0.56640000000000001</v>
      </c>
      <c r="FB49" s="227" t="s">
        <v>567</v>
      </c>
      <c r="FC49">
        <f t="shared" si="0"/>
        <v>93</v>
      </c>
    </row>
    <row r="50" spans="1:159" ht="17.25" thickBot="1" x14ac:dyDescent="0.3">
      <c r="A50" s="226">
        <v>46121</v>
      </c>
      <c r="B50" s="227" t="s">
        <v>168</v>
      </c>
      <c r="C50" s="227" t="s">
        <v>201</v>
      </c>
      <c r="D50" s="228">
        <v>225</v>
      </c>
      <c r="E50" s="228">
        <v>19</v>
      </c>
      <c r="F50" s="231">
        <v>1916.3</v>
      </c>
      <c r="G50" s="231">
        <v>1908.9</v>
      </c>
      <c r="H50" s="228">
        <v>7.4</v>
      </c>
      <c r="I50" s="229">
        <v>3.8999999999999998E-3</v>
      </c>
      <c r="J50" s="231">
        <v>1906.7</v>
      </c>
      <c r="K50" s="231">
        <v>1907</v>
      </c>
      <c r="L50" s="228">
        <v>-0.3</v>
      </c>
      <c r="M50" s="229">
        <v>-2.0000000000000001E-4</v>
      </c>
      <c r="N50" s="231">
        <v>1916.3</v>
      </c>
      <c r="O50" s="231">
        <v>1908.9</v>
      </c>
      <c r="P50" s="228">
        <v>7.4</v>
      </c>
      <c r="Q50" s="229">
        <v>3.8999999999999998E-3</v>
      </c>
      <c r="R50" s="231">
        <v>1912.3</v>
      </c>
      <c r="S50" s="231">
        <v>1907.2</v>
      </c>
      <c r="T50" s="228">
        <v>5.0999999999999996</v>
      </c>
      <c r="U50" s="229">
        <v>2.7000000000000001E-3</v>
      </c>
      <c r="V50" s="231">
        <v>1919</v>
      </c>
      <c r="W50" s="231">
        <v>1906</v>
      </c>
      <c r="X50" s="228">
        <v>13</v>
      </c>
      <c r="Y50" s="229">
        <v>6.7999999999999996E-3</v>
      </c>
      <c r="Z50" s="228">
        <v>9.6</v>
      </c>
      <c r="AA50" s="228">
        <v>1.9</v>
      </c>
      <c r="AB50" s="228">
        <v>7.7</v>
      </c>
      <c r="AC50" s="229">
        <v>5.0000000000000001E-3</v>
      </c>
      <c r="AD50" s="228">
        <v>9.6</v>
      </c>
      <c r="AE50" s="228">
        <v>1.9</v>
      </c>
      <c r="AF50" s="228">
        <v>7.7</v>
      </c>
      <c r="AG50" s="229">
        <v>5.0000000000000001E-3</v>
      </c>
      <c r="AH50" s="228">
        <v>5.6</v>
      </c>
      <c r="AI50" s="228">
        <v>0.2</v>
      </c>
      <c r="AJ50" s="228">
        <v>5.4</v>
      </c>
      <c r="AK50" s="229">
        <v>2.8999999999999998E-3</v>
      </c>
      <c r="AL50" s="228">
        <v>12.3</v>
      </c>
      <c r="AM50" s="228">
        <v>-1</v>
      </c>
      <c r="AN50" s="228">
        <v>13.3</v>
      </c>
      <c r="AO50" s="229">
        <v>6.4999999999999997E-3</v>
      </c>
      <c r="AP50" s="231">
        <v>1913.28</v>
      </c>
      <c r="AQ50" s="231">
        <v>1909.18</v>
      </c>
      <c r="AR50" s="228">
        <v>0</v>
      </c>
      <c r="AS50" s="228">
        <v>133</v>
      </c>
      <c r="AT50" s="228">
        <v>152</v>
      </c>
      <c r="AU50" s="228">
        <v>-18</v>
      </c>
      <c r="AV50" s="229">
        <v>-0.12139999999999999</v>
      </c>
      <c r="AW50" s="228">
        <v>124</v>
      </c>
      <c r="AX50" s="228">
        <v>139</v>
      </c>
      <c r="AY50" s="228">
        <v>-14</v>
      </c>
      <c r="AZ50" s="229">
        <v>-0.1032</v>
      </c>
      <c r="BA50" s="228">
        <v>8</v>
      </c>
      <c r="BB50" s="228">
        <v>9</v>
      </c>
      <c r="BC50" s="228">
        <v>-1</v>
      </c>
      <c r="BD50" s="229">
        <v>-0.12379999999999999</v>
      </c>
      <c r="BE50" s="228">
        <v>1</v>
      </c>
      <c r="BF50" s="228">
        <v>4</v>
      </c>
      <c r="BG50" s="228">
        <v>-3</v>
      </c>
      <c r="BH50" s="229">
        <v>-0.75819999999999999</v>
      </c>
      <c r="BI50" s="228">
        <v>421</v>
      </c>
      <c r="BJ50" s="228">
        <v>647</v>
      </c>
      <c r="BK50" s="228">
        <v>-226</v>
      </c>
      <c r="BL50" s="229">
        <v>-0.34899999999999998</v>
      </c>
      <c r="BM50" s="228">
        <v>131</v>
      </c>
      <c r="BN50" s="228">
        <v>188</v>
      </c>
      <c r="BO50" s="228">
        <v>-57</v>
      </c>
      <c r="BP50" s="229">
        <v>-0.30299999999999999</v>
      </c>
      <c r="BQ50" s="228">
        <v>685</v>
      </c>
      <c r="BR50" s="228">
        <v>987</v>
      </c>
      <c r="BS50" s="228">
        <v>-301</v>
      </c>
      <c r="BT50" s="229">
        <v>-0.30520000000000003</v>
      </c>
      <c r="BU50" s="230">
        <v>615761</v>
      </c>
      <c r="BV50" s="230">
        <v>480480</v>
      </c>
      <c r="BW50" s="230">
        <v>135281</v>
      </c>
      <c r="BX50" s="229">
        <v>0.28160000000000002</v>
      </c>
      <c r="BY50" s="230">
        <v>1273</v>
      </c>
      <c r="BZ50" s="230">
        <v>1255</v>
      </c>
      <c r="CA50" s="228">
        <v>18</v>
      </c>
      <c r="CB50" s="229">
        <v>1.46E-2</v>
      </c>
      <c r="CC50" s="230">
        <v>1215</v>
      </c>
      <c r="CD50" s="230">
        <v>1199</v>
      </c>
      <c r="CE50" s="228">
        <v>17</v>
      </c>
      <c r="CF50" s="229">
        <v>1.38E-2</v>
      </c>
      <c r="CG50" s="228">
        <v>53</v>
      </c>
      <c r="CH50" s="228">
        <v>51</v>
      </c>
      <c r="CI50" s="228">
        <v>2</v>
      </c>
      <c r="CJ50" s="229">
        <v>3.0200000000000001E-2</v>
      </c>
      <c r="CK50" s="228">
        <v>5</v>
      </c>
      <c r="CL50" s="228">
        <v>5</v>
      </c>
      <c r="CM50" s="228">
        <v>0</v>
      </c>
      <c r="CN50" s="229">
        <v>4.4600000000000001E-2</v>
      </c>
      <c r="CO50" s="228">
        <v>309</v>
      </c>
      <c r="CP50" s="228">
        <v>327</v>
      </c>
      <c r="CQ50" s="228">
        <v>-18</v>
      </c>
      <c r="CR50" s="229">
        <v>-5.6500000000000002E-2</v>
      </c>
      <c r="CS50" s="228">
        <v>213</v>
      </c>
      <c r="CT50" s="228">
        <v>207</v>
      </c>
      <c r="CU50" s="228">
        <v>5</v>
      </c>
      <c r="CV50" s="229">
        <v>2.6200000000000001E-2</v>
      </c>
      <c r="CW50" s="230">
        <v>1794</v>
      </c>
      <c r="CX50" s="230">
        <v>1789</v>
      </c>
      <c r="CY50" s="228">
        <v>5</v>
      </c>
      <c r="CZ50" s="229">
        <v>2.8999999999999998E-3</v>
      </c>
      <c r="DA50" s="228">
        <v>29.71</v>
      </c>
      <c r="DB50" s="228">
        <v>31.04</v>
      </c>
      <c r="DC50" s="228">
        <v>-1.33</v>
      </c>
      <c r="DD50" s="228">
        <v>-1.33</v>
      </c>
      <c r="DE50" s="228">
        <v>29.67</v>
      </c>
      <c r="DF50" s="228">
        <v>29.74</v>
      </c>
      <c r="DG50" s="228">
        <v>0.04</v>
      </c>
      <c r="DH50" s="228">
        <v>-7.0000000000000007E-2</v>
      </c>
      <c r="DI50" s="228">
        <v>29.12</v>
      </c>
      <c r="DJ50" s="228">
        <v>30.4</v>
      </c>
      <c r="DK50" s="228">
        <v>-1.28</v>
      </c>
      <c r="DL50" s="228">
        <v>-1.28</v>
      </c>
      <c r="DM50" s="228">
        <v>31.61</v>
      </c>
      <c r="DN50" s="228">
        <v>33.22</v>
      </c>
      <c r="DO50" s="228">
        <v>-1.61</v>
      </c>
      <c r="DP50" s="228">
        <v>-1.61</v>
      </c>
      <c r="DQ50" s="228">
        <v>0.69</v>
      </c>
      <c r="DR50" s="228">
        <v>0.63</v>
      </c>
      <c r="DS50" s="228">
        <v>0.06</v>
      </c>
      <c r="DT50" s="229">
        <v>9.5200000000000007E-2</v>
      </c>
      <c r="DU50" s="231">
        <v>2000</v>
      </c>
      <c r="DV50" s="231">
        <v>1800</v>
      </c>
      <c r="DW50" s="228">
        <v>0.31</v>
      </c>
      <c r="DX50" s="228">
        <v>0.28999999999999998</v>
      </c>
      <c r="DY50" s="228">
        <v>0.02</v>
      </c>
      <c r="DZ50" s="229">
        <v>6.9000000000000006E-2</v>
      </c>
      <c r="EA50" s="229">
        <v>4.5600000000000002E-2</v>
      </c>
      <c r="EB50" s="230">
        <v>293850</v>
      </c>
      <c r="EC50" s="229">
        <v>-2.0999999999999999E-3</v>
      </c>
      <c r="ED50" s="229">
        <v>4.5600000000000002E-2</v>
      </c>
      <c r="EE50" s="228">
        <v>-4.0999999999999996</v>
      </c>
      <c r="EF50" s="229">
        <v>-2.0999999999999999E-3</v>
      </c>
      <c r="EG50" s="230">
        <v>321013</v>
      </c>
      <c r="EH50" s="230">
        <v>241004</v>
      </c>
      <c r="EI50" s="229">
        <v>0.33200000000000002</v>
      </c>
      <c r="EJ50" s="229">
        <v>0.52129999999999999</v>
      </c>
      <c r="EK50" s="228">
        <v>439.24</v>
      </c>
      <c r="EL50" s="228">
        <v>128.09</v>
      </c>
      <c r="EM50" s="228">
        <v>133.05000000000001</v>
      </c>
      <c r="EN50" s="228">
        <v>23.33</v>
      </c>
      <c r="EO50" s="228">
        <v>700.38</v>
      </c>
      <c r="EP50" s="231">
        <v>1003.13</v>
      </c>
      <c r="EQ50" s="228">
        <v>-302.75</v>
      </c>
      <c r="ER50" s="229">
        <v>-0.30180000000000001</v>
      </c>
      <c r="ES50" s="228">
        <v>320.91000000000003</v>
      </c>
      <c r="ET50" s="228">
        <v>210.43</v>
      </c>
      <c r="EU50" s="231">
        <v>1273</v>
      </c>
      <c r="EV50" s="231">
        <v>19054573</v>
      </c>
      <c r="EW50" s="231">
        <v>1804.34</v>
      </c>
      <c r="EX50" s="231">
        <v>1793.48</v>
      </c>
      <c r="EY50" s="228">
        <v>10.86</v>
      </c>
      <c r="EZ50" s="229">
        <v>6.1000000000000004E-3</v>
      </c>
      <c r="FA50" s="229">
        <v>0.4914</v>
      </c>
      <c r="FB50" s="227" t="s">
        <v>555</v>
      </c>
      <c r="FC50">
        <f t="shared" si="0"/>
        <v>58</v>
      </c>
    </row>
    <row r="51" spans="1:159" ht="17.25" thickBot="1" x14ac:dyDescent="0.3">
      <c r="A51" s="226">
        <v>46121</v>
      </c>
      <c r="B51" s="227" t="s">
        <v>215</v>
      </c>
      <c r="C51" s="227" t="s">
        <v>202</v>
      </c>
      <c r="D51" s="228">
        <v>1250</v>
      </c>
      <c r="E51" s="228">
        <v>19</v>
      </c>
      <c r="F51" s="228">
        <v>483.15</v>
      </c>
      <c r="G51" s="228">
        <v>475.05</v>
      </c>
      <c r="H51" s="228">
        <v>8.1</v>
      </c>
      <c r="I51" s="229">
        <v>1.7100000000000001E-2</v>
      </c>
      <c r="J51" s="228">
        <v>482.25</v>
      </c>
      <c r="K51" s="228">
        <v>473.7</v>
      </c>
      <c r="L51" s="228">
        <v>8.5500000000000007</v>
      </c>
      <c r="M51" s="229">
        <v>1.7999999999999999E-2</v>
      </c>
      <c r="N51" s="228">
        <v>483.15</v>
      </c>
      <c r="O51" s="228">
        <v>475.05</v>
      </c>
      <c r="P51" s="228">
        <v>8.1</v>
      </c>
      <c r="Q51" s="229">
        <v>1.7100000000000001E-2</v>
      </c>
      <c r="R51" s="228">
        <v>485.5</v>
      </c>
      <c r="S51" s="228">
        <v>477.55</v>
      </c>
      <c r="T51" s="228">
        <v>7.95</v>
      </c>
      <c r="U51" s="229">
        <v>1.66E-2</v>
      </c>
      <c r="V51" s="228">
        <v>488.45</v>
      </c>
      <c r="W51" s="228">
        <v>476.4</v>
      </c>
      <c r="X51" s="228">
        <v>12.05</v>
      </c>
      <c r="Y51" s="229">
        <v>2.53E-2</v>
      </c>
      <c r="Z51" s="228">
        <v>0.9</v>
      </c>
      <c r="AA51" s="228">
        <v>1.35</v>
      </c>
      <c r="AB51" s="228">
        <v>-0.45</v>
      </c>
      <c r="AC51" s="229">
        <v>1.9E-3</v>
      </c>
      <c r="AD51" s="228">
        <v>0.9</v>
      </c>
      <c r="AE51" s="228">
        <v>1.35</v>
      </c>
      <c r="AF51" s="228">
        <v>-0.45</v>
      </c>
      <c r="AG51" s="229">
        <v>1.9E-3</v>
      </c>
      <c r="AH51" s="228">
        <v>3.25</v>
      </c>
      <c r="AI51" s="228">
        <v>3.85</v>
      </c>
      <c r="AJ51" s="228">
        <v>-0.6</v>
      </c>
      <c r="AK51" s="229">
        <v>6.7000000000000002E-3</v>
      </c>
      <c r="AL51" s="228">
        <v>6.2</v>
      </c>
      <c r="AM51" s="228">
        <v>2.7</v>
      </c>
      <c r="AN51" s="228">
        <v>3.5</v>
      </c>
      <c r="AO51" s="229">
        <v>1.29E-2</v>
      </c>
      <c r="AP51" s="228">
        <v>479.25</v>
      </c>
      <c r="AQ51" s="228">
        <v>480.45</v>
      </c>
      <c r="AR51" s="228">
        <v>0</v>
      </c>
      <c r="AS51" s="228">
        <v>192</v>
      </c>
      <c r="AT51" s="228">
        <v>152</v>
      </c>
      <c r="AU51" s="228">
        <v>40</v>
      </c>
      <c r="AV51" s="229">
        <v>0.26440000000000002</v>
      </c>
      <c r="AW51" s="228">
        <v>182</v>
      </c>
      <c r="AX51" s="228">
        <v>145</v>
      </c>
      <c r="AY51" s="228">
        <v>36</v>
      </c>
      <c r="AZ51" s="229">
        <v>0.25090000000000001</v>
      </c>
      <c r="BA51" s="228">
        <v>10</v>
      </c>
      <c r="BB51" s="228">
        <v>6</v>
      </c>
      <c r="BC51" s="228">
        <v>4</v>
      </c>
      <c r="BD51" s="229">
        <v>0.63</v>
      </c>
      <c r="BE51" s="228">
        <v>1</v>
      </c>
      <c r="BF51" s="228">
        <v>1</v>
      </c>
      <c r="BG51" s="228">
        <v>0</v>
      </c>
      <c r="BH51" s="229">
        <v>-8.3299999999999999E-2</v>
      </c>
      <c r="BI51" s="228">
        <v>694</v>
      </c>
      <c r="BJ51" s="228">
        <v>381</v>
      </c>
      <c r="BK51" s="228">
        <v>313</v>
      </c>
      <c r="BL51" s="229">
        <v>0.82110000000000005</v>
      </c>
      <c r="BM51" s="228">
        <v>146</v>
      </c>
      <c r="BN51" s="228">
        <v>110</v>
      </c>
      <c r="BO51" s="228">
        <v>36</v>
      </c>
      <c r="BP51" s="229">
        <v>0.33239999999999997</v>
      </c>
      <c r="BQ51" s="230">
        <v>1032</v>
      </c>
      <c r="BR51" s="228">
        <v>643</v>
      </c>
      <c r="BS51" s="228">
        <v>389</v>
      </c>
      <c r="BT51" s="229">
        <v>0.60589999999999999</v>
      </c>
      <c r="BU51" s="230">
        <v>1952703</v>
      </c>
      <c r="BV51" s="230">
        <v>1481854</v>
      </c>
      <c r="BW51" s="230">
        <v>470849</v>
      </c>
      <c r="BX51" s="229">
        <v>0.31769999999999998</v>
      </c>
      <c r="BY51" s="230">
        <v>1263</v>
      </c>
      <c r="BZ51" s="230">
        <v>1259</v>
      </c>
      <c r="CA51" s="228">
        <v>5</v>
      </c>
      <c r="CB51" s="229">
        <v>3.7000000000000002E-3</v>
      </c>
      <c r="CC51" s="230">
        <v>1223</v>
      </c>
      <c r="CD51" s="230">
        <v>1218</v>
      </c>
      <c r="CE51" s="228">
        <v>5</v>
      </c>
      <c r="CF51" s="229">
        <v>3.8E-3</v>
      </c>
      <c r="CG51" s="228">
        <v>39</v>
      </c>
      <c r="CH51" s="228">
        <v>39</v>
      </c>
      <c r="CI51" s="228">
        <v>0</v>
      </c>
      <c r="CJ51" s="229">
        <v>9.4000000000000004E-3</v>
      </c>
      <c r="CK51" s="228">
        <v>1</v>
      </c>
      <c r="CL51" s="228">
        <v>1</v>
      </c>
      <c r="CM51" s="228">
        <v>0</v>
      </c>
      <c r="CN51" s="229">
        <v>-0.16669999999999999</v>
      </c>
      <c r="CO51" s="228">
        <v>271</v>
      </c>
      <c r="CP51" s="228">
        <v>247</v>
      </c>
      <c r="CQ51" s="228">
        <v>24</v>
      </c>
      <c r="CR51" s="229">
        <v>9.6600000000000005E-2</v>
      </c>
      <c r="CS51" s="228">
        <v>212</v>
      </c>
      <c r="CT51" s="228">
        <v>213</v>
      </c>
      <c r="CU51" s="228">
        <v>-2</v>
      </c>
      <c r="CV51" s="229">
        <v>-7.9000000000000008E-3</v>
      </c>
      <c r="CW51" s="230">
        <v>1746</v>
      </c>
      <c r="CX51" s="230">
        <v>1720</v>
      </c>
      <c r="CY51" s="228">
        <v>27</v>
      </c>
      <c r="CZ51" s="229">
        <v>1.5699999999999999E-2</v>
      </c>
      <c r="DA51" s="228">
        <v>32.69</v>
      </c>
      <c r="DB51" s="228">
        <v>32.81</v>
      </c>
      <c r="DC51" s="228">
        <v>-0.12</v>
      </c>
      <c r="DD51" s="228">
        <v>-0.12</v>
      </c>
      <c r="DE51" s="228">
        <v>35.22</v>
      </c>
      <c r="DF51" s="228">
        <v>35.229999999999997</v>
      </c>
      <c r="DG51" s="228">
        <v>-2.5299999999999998</v>
      </c>
      <c r="DH51" s="228">
        <v>-0.01</v>
      </c>
      <c r="DI51" s="228">
        <v>32.22</v>
      </c>
      <c r="DJ51" s="228">
        <v>32.21</v>
      </c>
      <c r="DK51" s="228">
        <v>0.01</v>
      </c>
      <c r="DL51" s="228">
        <v>0.01</v>
      </c>
      <c r="DM51" s="228">
        <v>34.93</v>
      </c>
      <c r="DN51" s="228">
        <v>34.909999999999997</v>
      </c>
      <c r="DO51" s="228">
        <v>0.02</v>
      </c>
      <c r="DP51" s="228">
        <v>0.02</v>
      </c>
      <c r="DQ51" s="228">
        <v>0.78</v>
      </c>
      <c r="DR51" s="228">
        <v>0.86</v>
      </c>
      <c r="DS51" s="228">
        <v>-0.08</v>
      </c>
      <c r="DT51" s="229">
        <v>-9.2999999999999999E-2</v>
      </c>
      <c r="DU51" s="228">
        <v>500</v>
      </c>
      <c r="DV51" s="228">
        <v>500</v>
      </c>
      <c r="DW51" s="228">
        <v>0.21</v>
      </c>
      <c r="DX51" s="228">
        <v>0.28999999999999998</v>
      </c>
      <c r="DY51" s="228">
        <v>-0.08</v>
      </c>
      <c r="DZ51" s="229">
        <v>-0.27589999999999998</v>
      </c>
      <c r="EA51" s="229">
        <v>3.1899999999999998E-2</v>
      </c>
      <c r="EB51" s="230">
        <v>831250</v>
      </c>
      <c r="EC51" s="229">
        <v>4.8999999999999998E-3</v>
      </c>
      <c r="ED51" s="229">
        <v>3.1899999999999998E-2</v>
      </c>
      <c r="EE51" s="228">
        <v>1.2</v>
      </c>
      <c r="EF51" s="229">
        <v>2.5000000000000001E-3</v>
      </c>
      <c r="EG51" s="230">
        <v>720796</v>
      </c>
      <c r="EH51" s="230">
        <v>718277</v>
      </c>
      <c r="EI51" s="229">
        <v>3.5000000000000001E-3</v>
      </c>
      <c r="EJ51" s="229">
        <v>0.36909999999999998</v>
      </c>
      <c r="EK51" s="228">
        <v>728.67</v>
      </c>
      <c r="EL51" s="228">
        <v>141.25</v>
      </c>
      <c r="EM51" s="228">
        <v>190.83</v>
      </c>
      <c r="EN51" s="228">
        <v>22.25</v>
      </c>
      <c r="EO51" s="231">
        <v>1060.76</v>
      </c>
      <c r="EP51" s="228">
        <v>648.41999999999996</v>
      </c>
      <c r="EQ51" s="228">
        <v>412.33</v>
      </c>
      <c r="ER51" s="229">
        <v>0.63590000000000002</v>
      </c>
      <c r="ES51" s="228">
        <v>272.33999999999997</v>
      </c>
      <c r="ET51" s="228">
        <v>206.87</v>
      </c>
      <c r="EU51" s="231">
        <v>1263.46</v>
      </c>
      <c r="EV51" s="231">
        <v>51639257</v>
      </c>
      <c r="EW51" s="231">
        <v>1742.68</v>
      </c>
      <c r="EX51" s="231">
        <v>1692.91</v>
      </c>
      <c r="EY51" s="228">
        <v>49.77</v>
      </c>
      <c r="EZ51" s="229">
        <v>2.9399999999999999E-2</v>
      </c>
      <c r="FA51" s="229">
        <v>0.7</v>
      </c>
      <c r="FB51" s="227" t="s">
        <v>555</v>
      </c>
      <c r="FC51">
        <f t="shared" si="0"/>
        <v>40</v>
      </c>
    </row>
    <row r="52" spans="1:159" ht="17.25" thickBot="1" x14ac:dyDescent="0.3">
      <c r="A52" s="226">
        <v>46121</v>
      </c>
      <c r="B52" s="227" t="s">
        <v>184</v>
      </c>
      <c r="C52" s="227" t="s">
        <v>523</v>
      </c>
      <c r="D52" s="228">
        <v>1800</v>
      </c>
      <c r="E52" s="228">
        <v>19</v>
      </c>
      <c r="F52" s="228">
        <v>238.37</v>
      </c>
      <c r="G52" s="228">
        <v>247.24</v>
      </c>
      <c r="H52" s="228">
        <v>-8.8699999999999992</v>
      </c>
      <c r="I52" s="229">
        <v>-3.5900000000000001E-2</v>
      </c>
      <c r="J52" s="228">
        <v>237.9</v>
      </c>
      <c r="K52" s="228">
        <v>246.05</v>
      </c>
      <c r="L52" s="228">
        <v>-8.15</v>
      </c>
      <c r="M52" s="229">
        <v>-3.3099999999999997E-2</v>
      </c>
      <c r="N52" s="228">
        <v>238.37</v>
      </c>
      <c r="O52" s="228">
        <v>247.24</v>
      </c>
      <c r="P52" s="228">
        <v>-8.8699999999999992</v>
      </c>
      <c r="Q52" s="229">
        <v>-3.5900000000000001E-2</v>
      </c>
      <c r="R52" s="228">
        <v>240</v>
      </c>
      <c r="S52" s="228">
        <v>248.35</v>
      </c>
      <c r="T52" s="228">
        <v>-8.35</v>
      </c>
      <c r="U52" s="229">
        <v>-3.3599999999999998E-2</v>
      </c>
      <c r="V52" s="228">
        <v>241.59</v>
      </c>
      <c r="W52" s="228">
        <v>249.46</v>
      </c>
      <c r="X52" s="228">
        <v>-7.87</v>
      </c>
      <c r="Y52" s="229">
        <v>-3.15E-2</v>
      </c>
      <c r="Z52" s="228">
        <v>0.47</v>
      </c>
      <c r="AA52" s="228">
        <v>1.19</v>
      </c>
      <c r="AB52" s="228">
        <v>-0.72</v>
      </c>
      <c r="AC52" s="229">
        <v>2E-3</v>
      </c>
      <c r="AD52" s="228">
        <v>0.47</v>
      </c>
      <c r="AE52" s="228">
        <v>1.19</v>
      </c>
      <c r="AF52" s="228">
        <v>-0.72</v>
      </c>
      <c r="AG52" s="229">
        <v>2E-3</v>
      </c>
      <c r="AH52" s="228">
        <v>2.1</v>
      </c>
      <c r="AI52" s="228">
        <v>2.2999999999999998</v>
      </c>
      <c r="AJ52" s="228">
        <v>-0.2</v>
      </c>
      <c r="AK52" s="229">
        <v>8.8000000000000005E-3</v>
      </c>
      <c r="AL52" s="228">
        <v>3.69</v>
      </c>
      <c r="AM52" s="228">
        <v>3.41</v>
      </c>
      <c r="AN52" s="228">
        <v>0.28000000000000003</v>
      </c>
      <c r="AO52" s="229">
        <v>1.55E-2</v>
      </c>
      <c r="AP52" s="228">
        <v>240.21</v>
      </c>
      <c r="AQ52" s="228">
        <v>242.4</v>
      </c>
      <c r="AR52" s="228">
        <v>0</v>
      </c>
      <c r="AS52" s="228">
        <v>136</v>
      </c>
      <c r="AT52" s="228">
        <v>125</v>
      </c>
      <c r="AU52" s="228">
        <v>10</v>
      </c>
      <c r="AV52" s="229">
        <v>8.2900000000000001E-2</v>
      </c>
      <c r="AW52" s="228">
        <v>126</v>
      </c>
      <c r="AX52" s="228">
        <v>117</v>
      </c>
      <c r="AY52" s="228">
        <v>9</v>
      </c>
      <c r="AZ52" s="229">
        <v>7.8299999999999995E-2</v>
      </c>
      <c r="BA52" s="228">
        <v>8</v>
      </c>
      <c r="BB52" s="228">
        <v>7</v>
      </c>
      <c r="BC52" s="228">
        <v>1</v>
      </c>
      <c r="BD52" s="229">
        <v>0.1623</v>
      </c>
      <c r="BE52" s="228">
        <v>2</v>
      </c>
      <c r="BF52" s="228">
        <v>1</v>
      </c>
      <c r="BG52" s="228">
        <v>0</v>
      </c>
      <c r="BH52" s="229">
        <v>9.0899999999999995E-2</v>
      </c>
      <c r="BI52" s="228">
        <v>207</v>
      </c>
      <c r="BJ52" s="228">
        <v>220</v>
      </c>
      <c r="BK52" s="228">
        <v>-13</v>
      </c>
      <c r="BL52" s="229">
        <v>-5.8799999999999998E-2</v>
      </c>
      <c r="BM52" s="228">
        <v>115</v>
      </c>
      <c r="BN52" s="228">
        <v>106</v>
      </c>
      <c r="BO52" s="228">
        <v>9</v>
      </c>
      <c r="BP52" s="229">
        <v>8.6900000000000005E-2</v>
      </c>
      <c r="BQ52" s="228">
        <v>458</v>
      </c>
      <c r="BR52" s="228">
        <v>452</v>
      </c>
      <c r="BS52" s="228">
        <v>7</v>
      </c>
      <c r="BT52" s="229">
        <v>1.47E-2</v>
      </c>
      <c r="BU52" s="230">
        <v>4888179</v>
      </c>
      <c r="BV52" s="230">
        <v>3959577</v>
      </c>
      <c r="BW52" s="230">
        <v>928602</v>
      </c>
      <c r="BX52" s="229">
        <v>0.23449999999999999</v>
      </c>
      <c r="BY52" s="230">
        <v>1112</v>
      </c>
      <c r="BZ52" s="230">
        <v>1127</v>
      </c>
      <c r="CA52" s="228">
        <v>-15</v>
      </c>
      <c r="CB52" s="229">
        <v>-1.3100000000000001E-2</v>
      </c>
      <c r="CC52" s="230">
        <v>1089</v>
      </c>
      <c r="CD52" s="230">
        <v>1107</v>
      </c>
      <c r="CE52" s="228">
        <v>-18</v>
      </c>
      <c r="CF52" s="229">
        <v>-1.66E-2</v>
      </c>
      <c r="CG52" s="228">
        <v>21</v>
      </c>
      <c r="CH52" s="228">
        <v>18</v>
      </c>
      <c r="CI52" s="228">
        <v>3</v>
      </c>
      <c r="CJ52" s="229">
        <v>0.16109999999999999</v>
      </c>
      <c r="CK52" s="228">
        <v>2</v>
      </c>
      <c r="CL52" s="228">
        <v>1</v>
      </c>
      <c r="CM52" s="228">
        <v>1</v>
      </c>
      <c r="CN52" s="229">
        <v>0.47060000000000002</v>
      </c>
      <c r="CO52" s="228">
        <v>177</v>
      </c>
      <c r="CP52" s="228">
        <v>141</v>
      </c>
      <c r="CQ52" s="228">
        <v>36</v>
      </c>
      <c r="CR52" s="229">
        <v>0.25409999999999999</v>
      </c>
      <c r="CS52" s="228">
        <v>133</v>
      </c>
      <c r="CT52" s="228">
        <v>127</v>
      </c>
      <c r="CU52" s="228">
        <v>6</v>
      </c>
      <c r="CV52" s="229">
        <v>4.5499999999999999E-2</v>
      </c>
      <c r="CW52" s="230">
        <v>1422</v>
      </c>
      <c r="CX52" s="230">
        <v>1395</v>
      </c>
      <c r="CY52" s="228">
        <v>27</v>
      </c>
      <c r="CZ52" s="229">
        <v>1.9199999999999998E-2</v>
      </c>
      <c r="DA52" s="228">
        <v>40.39</v>
      </c>
      <c r="DB52" s="228">
        <v>39.92</v>
      </c>
      <c r="DC52" s="228">
        <v>0.47</v>
      </c>
      <c r="DD52" s="228">
        <v>0.47</v>
      </c>
      <c r="DE52" s="228">
        <v>34.64</v>
      </c>
      <c r="DF52" s="228">
        <v>34.369999999999997</v>
      </c>
      <c r="DG52" s="228">
        <v>5.75</v>
      </c>
      <c r="DH52" s="228">
        <v>0.27</v>
      </c>
      <c r="DI52" s="228">
        <v>39.22</v>
      </c>
      <c r="DJ52" s="228">
        <v>38.19</v>
      </c>
      <c r="DK52" s="228">
        <v>1.03</v>
      </c>
      <c r="DL52" s="228">
        <v>1.03</v>
      </c>
      <c r="DM52" s="228">
        <v>42.49</v>
      </c>
      <c r="DN52" s="228">
        <v>43.51</v>
      </c>
      <c r="DO52" s="228">
        <v>-1.02</v>
      </c>
      <c r="DP52" s="228">
        <v>-1.02</v>
      </c>
      <c r="DQ52" s="228">
        <v>0.75</v>
      </c>
      <c r="DR52" s="228">
        <v>0.9</v>
      </c>
      <c r="DS52" s="228">
        <v>-0.15</v>
      </c>
      <c r="DT52" s="229">
        <v>-0.16669999999999999</v>
      </c>
      <c r="DU52" s="228">
        <v>260</v>
      </c>
      <c r="DV52" s="228">
        <v>220</v>
      </c>
      <c r="DW52" s="228">
        <v>0.56000000000000005</v>
      </c>
      <c r="DX52" s="228">
        <v>0.48</v>
      </c>
      <c r="DY52" s="228">
        <v>0.08</v>
      </c>
      <c r="DZ52" s="229">
        <v>0.16669999999999999</v>
      </c>
      <c r="EA52" s="229">
        <v>2.0799999999999999E-2</v>
      </c>
      <c r="EB52" s="230">
        <v>820800</v>
      </c>
      <c r="EC52" s="229">
        <v>6.7999999999999996E-3</v>
      </c>
      <c r="ED52" s="229">
        <v>2.0799999999999999E-2</v>
      </c>
      <c r="EE52" s="228">
        <v>2.19</v>
      </c>
      <c r="EF52" s="229">
        <v>9.1000000000000004E-3</v>
      </c>
      <c r="EG52" s="230">
        <v>2278701</v>
      </c>
      <c r="EH52" s="230">
        <v>1856985</v>
      </c>
      <c r="EI52" s="229">
        <v>0.2271</v>
      </c>
      <c r="EJ52" s="229">
        <v>0.4662</v>
      </c>
      <c r="EK52" s="228">
        <v>224.11</v>
      </c>
      <c r="EL52" s="228">
        <v>115.26</v>
      </c>
      <c r="EM52" s="228">
        <v>136.82</v>
      </c>
      <c r="EN52" s="228">
        <v>20.04</v>
      </c>
      <c r="EO52" s="228">
        <v>476.19</v>
      </c>
      <c r="EP52" s="228">
        <v>476.04</v>
      </c>
      <c r="EQ52" s="228">
        <v>0.15</v>
      </c>
      <c r="ER52" s="229">
        <v>2.9999999999999997E-4</v>
      </c>
      <c r="ES52" s="228">
        <v>187.93</v>
      </c>
      <c r="ET52" s="228">
        <v>131.26</v>
      </c>
      <c r="EU52" s="231">
        <v>1112.4000000000001</v>
      </c>
      <c r="EV52" s="231">
        <v>96587231</v>
      </c>
      <c r="EW52" s="231">
        <v>1431.59</v>
      </c>
      <c r="EX52" s="231">
        <v>1444.3</v>
      </c>
      <c r="EY52" s="228">
        <v>-12.71</v>
      </c>
      <c r="EZ52" s="229">
        <v>-8.8000000000000005E-3</v>
      </c>
      <c r="FA52" s="229">
        <v>0.61770000000000003</v>
      </c>
      <c r="FB52" s="227" t="s">
        <v>567</v>
      </c>
      <c r="FC52">
        <f t="shared" si="0"/>
        <v>23</v>
      </c>
    </row>
    <row r="53" spans="1:159" ht="17.25" thickBot="1" x14ac:dyDescent="0.3">
      <c r="A53" s="226">
        <v>46121</v>
      </c>
      <c r="B53" s="227" t="s">
        <v>184</v>
      </c>
      <c r="C53" s="227" t="s">
        <v>203</v>
      </c>
      <c r="D53" s="228">
        <v>200</v>
      </c>
      <c r="E53" s="228">
        <v>19</v>
      </c>
      <c r="F53" s="231">
        <v>4914.6000000000004</v>
      </c>
      <c r="G53" s="231">
        <v>4822.1000000000004</v>
      </c>
      <c r="H53" s="228">
        <v>92.5</v>
      </c>
      <c r="I53" s="229">
        <v>1.9199999999999998E-2</v>
      </c>
      <c r="J53" s="231">
        <v>4907.3999999999996</v>
      </c>
      <c r="K53" s="231">
        <v>4796.3</v>
      </c>
      <c r="L53" s="228">
        <v>111.1</v>
      </c>
      <c r="M53" s="229">
        <v>2.3199999999999998E-2</v>
      </c>
      <c r="N53" s="231">
        <v>4914.6000000000004</v>
      </c>
      <c r="O53" s="231">
        <v>4822.1000000000004</v>
      </c>
      <c r="P53" s="228">
        <v>92.5</v>
      </c>
      <c r="Q53" s="229">
        <v>1.9199999999999998E-2</v>
      </c>
      <c r="R53" s="231">
        <v>4932.7</v>
      </c>
      <c r="S53" s="231">
        <v>4849.8</v>
      </c>
      <c r="T53" s="228">
        <v>82.9</v>
      </c>
      <c r="U53" s="229">
        <v>1.7100000000000001E-2</v>
      </c>
      <c r="V53" s="231">
        <v>4951.2</v>
      </c>
      <c r="W53" s="231">
        <v>4861.8</v>
      </c>
      <c r="X53" s="228">
        <v>89.4</v>
      </c>
      <c r="Y53" s="229">
        <v>1.84E-2</v>
      </c>
      <c r="Z53" s="228">
        <v>7.2</v>
      </c>
      <c r="AA53" s="228">
        <v>25.8</v>
      </c>
      <c r="AB53" s="228">
        <v>-18.600000000000001</v>
      </c>
      <c r="AC53" s="229">
        <v>1.5E-3</v>
      </c>
      <c r="AD53" s="228">
        <v>7.2</v>
      </c>
      <c r="AE53" s="228">
        <v>25.8</v>
      </c>
      <c r="AF53" s="228">
        <v>-18.600000000000001</v>
      </c>
      <c r="AG53" s="229">
        <v>1.5E-3</v>
      </c>
      <c r="AH53" s="228">
        <v>25.3</v>
      </c>
      <c r="AI53" s="228">
        <v>53.5</v>
      </c>
      <c r="AJ53" s="228">
        <v>-28.2</v>
      </c>
      <c r="AK53" s="229">
        <v>5.1999999999999998E-3</v>
      </c>
      <c r="AL53" s="228">
        <v>43.8</v>
      </c>
      <c r="AM53" s="228">
        <v>65.5</v>
      </c>
      <c r="AN53" s="228">
        <v>-21.7</v>
      </c>
      <c r="AO53" s="229">
        <v>8.8999999999999999E-3</v>
      </c>
      <c r="AP53" s="231">
        <v>4870.83</v>
      </c>
      <c r="AQ53" s="231">
        <v>4889.7</v>
      </c>
      <c r="AR53" s="228">
        <v>0</v>
      </c>
      <c r="AS53" s="228">
        <v>425</v>
      </c>
      <c r="AT53" s="228">
        <v>509</v>
      </c>
      <c r="AU53" s="228">
        <v>-84</v>
      </c>
      <c r="AV53" s="229">
        <v>-0.1643</v>
      </c>
      <c r="AW53" s="228">
        <v>405</v>
      </c>
      <c r="AX53" s="228">
        <v>489</v>
      </c>
      <c r="AY53" s="228">
        <v>-84</v>
      </c>
      <c r="AZ53" s="229">
        <v>-0.17169999999999999</v>
      </c>
      <c r="BA53" s="228">
        <v>18</v>
      </c>
      <c r="BB53" s="228">
        <v>16</v>
      </c>
      <c r="BC53" s="228">
        <v>1</v>
      </c>
      <c r="BD53" s="229">
        <v>8.3799999999999999E-2</v>
      </c>
      <c r="BE53" s="228">
        <v>2</v>
      </c>
      <c r="BF53" s="228">
        <v>3</v>
      </c>
      <c r="BG53" s="228">
        <v>-1</v>
      </c>
      <c r="BH53" s="229">
        <v>-0.33329999999999999</v>
      </c>
      <c r="BI53" s="230">
        <v>1265</v>
      </c>
      <c r="BJ53" s="230">
        <v>1230</v>
      </c>
      <c r="BK53" s="228">
        <v>35</v>
      </c>
      <c r="BL53" s="229">
        <v>2.8199999999999999E-2</v>
      </c>
      <c r="BM53" s="228">
        <v>420</v>
      </c>
      <c r="BN53" s="228">
        <v>319</v>
      </c>
      <c r="BO53" s="228">
        <v>101</v>
      </c>
      <c r="BP53" s="229">
        <v>0.31569999999999998</v>
      </c>
      <c r="BQ53" s="230">
        <v>2109</v>
      </c>
      <c r="BR53" s="230">
        <v>2057</v>
      </c>
      <c r="BS53" s="228">
        <v>52</v>
      </c>
      <c r="BT53" s="229">
        <v>2.52E-2</v>
      </c>
      <c r="BU53" s="230">
        <v>1039573</v>
      </c>
      <c r="BV53" s="230">
        <v>1117278</v>
      </c>
      <c r="BW53" s="230">
        <v>-77705</v>
      </c>
      <c r="BX53" s="229">
        <v>-6.9500000000000006E-2</v>
      </c>
      <c r="BY53" s="230">
        <v>1749</v>
      </c>
      <c r="BZ53" s="230">
        <v>1711</v>
      </c>
      <c r="CA53" s="228">
        <v>38</v>
      </c>
      <c r="CB53" s="229">
        <v>2.2200000000000001E-2</v>
      </c>
      <c r="CC53" s="230">
        <v>1728</v>
      </c>
      <c r="CD53" s="230">
        <v>1692</v>
      </c>
      <c r="CE53" s="228">
        <v>36</v>
      </c>
      <c r="CF53" s="229">
        <v>2.1299999999999999E-2</v>
      </c>
      <c r="CG53" s="228">
        <v>18</v>
      </c>
      <c r="CH53" s="228">
        <v>17</v>
      </c>
      <c r="CI53" s="228">
        <v>1</v>
      </c>
      <c r="CJ53" s="229">
        <v>7.51E-2</v>
      </c>
      <c r="CK53" s="228">
        <v>3</v>
      </c>
      <c r="CL53" s="228">
        <v>2</v>
      </c>
      <c r="CM53" s="228">
        <v>1</v>
      </c>
      <c r="CN53" s="229">
        <v>0.33329999999999999</v>
      </c>
      <c r="CO53" s="228">
        <v>446</v>
      </c>
      <c r="CP53" s="228">
        <v>396</v>
      </c>
      <c r="CQ53" s="228">
        <v>50</v>
      </c>
      <c r="CR53" s="229">
        <v>0.12570000000000001</v>
      </c>
      <c r="CS53" s="228">
        <v>289</v>
      </c>
      <c r="CT53" s="228">
        <v>250</v>
      </c>
      <c r="CU53" s="228">
        <v>39</v>
      </c>
      <c r="CV53" s="229">
        <v>0.15590000000000001</v>
      </c>
      <c r="CW53" s="230">
        <v>2484</v>
      </c>
      <c r="CX53" s="230">
        <v>2357</v>
      </c>
      <c r="CY53" s="228">
        <v>127</v>
      </c>
      <c r="CZ53" s="229">
        <v>5.3800000000000001E-2</v>
      </c>
      <c r="DA53" s="228">
        <v>33.86</v>
      </c>
      <c r="DB53" s="228">
        <v>33.590000000000003</v>
      </c>
      <c r="DC53" s="228">
        <v>0.27</v>
      </c>
      <c r="DD53" s="228">
        <v>0.27</v>
      </c>
      <c r="DE53" s="228">
        <v>35.78</v>
      </c>
      <c r="DF53" s="228">
        <v>35.74</v>
      </c>
      <c r="DG53" s="228">
        <v>-1.92</v>
      </c>
      <c r="DH53" s="228">
        <v>0.04</v>
      </c>
      <c r="DI53" s="228">
        <v>32.61</v>
      </c>
      <c r="DJ53" s="228">
        <v>33.11</v>
      </c>
      <c r="DK53" s="228">
        <v>-0.5</v>
      </c>
      <c r="DL53" s="228">
        <v>-0.5</v>
      </c>
      <c r="DM53" s="228">
        <v>37.630000000000003</v>
      </c>
      <c r="DN53" s="228">
        <v>35.450000000000003</v>
      </c>
      <c r="DO53" s="228">
        <v>2.1800000000000002</v>
      </c>
      <c r="DP53" s="228">
        <v>2.1800000000000002</v>
      </c>
      <c r="DQ53" s="228">
        <v>0.65</v>
      </c>
      <c r="DR53" s="228">
        <v>0.63</v>
      </c>
      <c r="DS53" s="228">
        <v>0.02</v>
      </c>
      <c r="DT53" s="229">
        <v>3.1699999999999999E-2</v>
      </c>
      <c r="DU53" s="231">
        <v>5000</v>
      </c>
      <c r="DV53" s="231">
        <v>4700</v>
      </c>
      <c r="DW53" s="228">
        <v>0.33</v>
      </c>
      <c r="DX53" s="228">
        <v>0.26</v>
      </c>
      <c r="DY53" s="228">
        <v>7.0000000000000007E-2</v>
      </c>
      <c r="DZ53" s="229">
        <v>0.26919999999999999</v>
      </c>
      <c r="EA53" s="229">
        <v>1.2E-2</v>
      </c>
      <c r="EB53" s="230">
        <v>38800</v>
      </c>
      <c r="EC53" s="229">
        <v>3.7000000000000002E-3</v>
      </c>
      <c r="ED53" s="229">
        <v>1.2E-2</v>
      </c>
      <c r="EE53" s="228">
        <v>18.87</v>
      </c>
      <c r="EF53" s="229">
        <v>3.8999999999999998E-3</v>
      </c>
      <c r="EG53" s="230">
        <v>633224</v>
      </c>
      <c r="EH53" s="230">
        <v>721450</v>
      </c>
      <c r="EI53" s="229">
        <v>-0.12230000000000001</v>
      </c>
      <c r="EJ53" s="229">
        <v>0.60909999999999997</v>
      </c>
      <c r="EK53" s="231">
        <v>1310.72</v>
      </c>
      <c r="EL53" s="228">
        <v>391.05</v>
      </c>
      <c r="EM53" s="228">
        <v>421.32</v>
      </c>
      <c r="EN53" s="228">
        <v>33.19</v>
      </c>
      <c r="EO53" s="231">
        <v>2123.08</v>
      </c>
      <c r="EP53" s="231">
        <v>2053.39</v>
      </c>
      <c r="EQ53" s="228">
        <v>69.7</v>
      </c>
      <c r="ER53" s="229">
        <v>3.39E-2</v>
      </c>
      <c r="ES53" s="228">
        <v>446.04</v>
      </c>
      <c r="ET53" s="228">
        <v>268.89999999999998</v>
      </c>
      <c r="EU53" s="231">
        <v>1748.7</v>
      </c>
      <c r="EV53" s="231">
        <v>20374200</v>
      </c>
      <c r="EW53" s="231">
        <v>2463.64</v>
      </c>
      <c r="EX53" s="231">
        <v>2301.46</v>
      </c>
      <c r="EY53" s="228">
        <v>162.18</v>
      </c>
      <c r="EZ53" s="229">
        <v>7.0499999999999993E-2</v>
      </c>
      <c r="FA53" s="229">
        <v>0.24809999999999999</v>
      </c>
      <c r="FB53" s="227" t="s">
        <v>555</v>
      </c>
      <c r="FC53">
        <f t="shared" si="0"/>
        <v>21</v>
      </c>
    </row>
    <row r="54" spans="1:159" ht="17.25" thickBot="1" x14ac:dyDescent="0.3">
      <c r="A54" s="226">
        <v>46121</v>
      </c>
      <c r="B54" s="227" t="s">
        <v>168</v>
      </c>
      <c r="C54" s="227" t="s">
        <v>204</v>
      </c>
      <c r="D54" s="228">
        <v>1250</v>
      </c>
      <c r="E54" s="228">
        <v>19</v>
      </c>
      <c r="F54" s="228">
        <v>430.3</v>
      </c>
      <c r="G54" s="228">
        <v>429.65</v>
      </c>
      <c r="H54" s="228">
        <v>0.65</v>
      </c>
      <c r="I54" s="229">
        <v>1.5E-3</v>
      </c>
      <c r="J54" s="228">
        <v>429.4</v>
      </c>
      <c r="K54" s="228">
        <v>427.25</v>
      </c>
      <c r="L54" s="228">
        <v>2.15</v>
      </c>
      <c r="M54" s="229">
        <v>5.0000000000000001E-3</v>
      </c>
      <c r="N54" s="228">
        <v>430.3</v>
      </c>
      <c r="O54" s="228">
        <v>429.65</v>
      </c>
      <c r="P54" s="228">
        <v>0.65</v>
      </c>
      <c r="Q54" s="229">
        <v>1.5E-3</v>
      </c>
      <c r="R54" s="228">
        <v>432.4</v>
      </c>
      <c r="S54" s="228">
        <v>432</v>
      </c>
      <c r="T54" s="228">
        <v>0.4</v>
      </c>
      <c r="U54" s="229">
        <v>8.9999999999999998E-4</v>
      </c>
      <c r="V54" s="228">
        <v>435.2</v>
      </c>
      <c r="W54" s="228">
        <v>434.45</v>
      </c>
      <c r="X54" s="228">
        <v>0.75</v>
      </c>
      <c r="Y54" s="229">
        <v>1.6999999999999999E-3</v>
      </c>
      <c r="Z54" s="228">
        <v>0.9</v>
      </c>
      <c r="AA54" s="228">
        <v>2.4</v>
      </c>
      <c r="AB54" s="228">
        <v>-1.5</v>
      </c>
      <c r="AC54" s="229">
        <v>2.0999999999999999E-3</v>
      </c>
      <c r="AD54" s="228">
        <v>0.9</v>
      </c>
      <c r="AE54" s="228">
        <v>2.4</v>
      </c>
      <c r="AF54" s="228">
        <v>-1.5</v>
      </c>
      <c r="AG54" s="229">
        <v>2.0999999999999999E-3</v>
      </c>
      <c r="AH54" s="228">
        <v>3</v>
      </c>
      <c r="AI54" s="228">
        <v>4.75</v>
      </c>
      <c r="AJ54" s="228">
        <v>-1.75</v>
      </c>
      <c r="AK54" s="229">
        <v>7.0000000000000001E-3</v>
      </c>
      <c r="AL54" s="228">
        <v>5.8</v>
      </c>
      <c r="AM54" s="228">
        <v>7.2</v>
      </c>
      <c r="AN54" s="228">
        <v>-1.4</v>
      </c>
      <c r="AO54" s="229">
        <v>1.35E-2</v>
      </c>
      <c r="AP54" s="228">
        <v>430.38</v>
      </c>
      <c r="AQ54" s="228">
        <v>432.34</v>
      </c>
      <c r="AR54" s="228">
        <v>0</v>
      </c>
      <c r="AS54" s="228">
        <v>119</v>
      </c>
      <c r="AT54" s="228">
        <v>266</v>
      </c>
      <c r="AU54" s="228">
        <v>-147</v>
      </c>
      <c r="AV54" s="229">
        <v>-0.55220000000000002</v>
      </c>
      <c r="AW54" s="228">
        <v>112</v>
      </c>
      <c r="AX54" s="228">
        <v>250</v>
      </c>
      <c r="AY54" s="228">
        <v>-138</v>
      </c>
      <c r="AZ54" s="229">
        <v>-0.5524</v>
      </c>
      <c r="BA54" s="228">
        <v>6</v>
      </c>
      <c r="BB54" s="228">
        <v>14</v>
      </c>
      <c r="BC54" s="228">
        <v>-8</v>
      </c>
      <c r="BD54" s="229">
        <v>-0.54549999999999998</v>
      </c>
      <c r="BE54" s="228">
        <v>1</v>
      </c>
      <c r="BF54" s="228">
        <v>2</v>
      </c>
      <c r="BG54" s="228">
        <v>-1</v>
      </c>
      <c r="BH54" s="229">
        <v>-0.5806</v>
      </c>
      <c r="BI54" s="228">
        <v>346</v>
      </c>
      <c r="BJ54" s="228">
        <v>617</v>
      </c>
      <c r="BK54" s="228">
        <v>-271</v>
      </c>
      <c r="BL54" s="229">
        <v>-0.43940000000000001</v>
      </c>
      <c r="BM54" s="228">
        <v>101</v>
      </c>
      <c r="BN54" s="228">
        <v>219</v>
      </c>
      <c r="BO54" s="228">
        <v>-118</v>
      </c>
      <c r="BP54" s="229">
        <v>-0.53700000000000003</v>
      </c>
      <c r="BQ54" s="228">
        <v>567</v>
      </c>
      <c r="BR54" s="230">
        <v>1102</v>
      </c>
      <c r="BS54" s="228">
        <v>-536</v>
      </c>
      <c r="BT54" s="229">
        <v>-0.48599999999999999</v>
      </c>
      <c r="BU54" s="230">
        <v>1855373</v>
      </c>
      <c r="BV54" s="230">
        <v>1751347</v>
      </c>
      <c r="BW54" s="230">
        <v>104026</v>
      </c>
      <c r="BX54" s="229">
        <v>5.9400000000000001E-2</v>
      </c>
      <c r="BY54" s="230">
        <v>1353</v>
      </c>
      <c r="BZ54" s="230">
        <v>1363</v>
      </c>
      <c r="CA54" s="228">
        <v>-10</v>
      </c>
      <c r="CB54" s="229">
        <v>-7.1000000000000004E-3</v>
      </c>
      <c r="CC54" s="230">
        <v>1321</v>
      </c>
      <c r="CD54" s="230">
        <v>1332</v>
      </c>
      <c r="CE54" s="228">
        <v>-11</v>
      </c>
      <c r="CF54" s="229">
        <v>-8.0000000000000002E-3</v>
      </c>
      <c r="CG54" s="228">
        <v>30</v>
      </c>
      <c r="CH54" s="228">
        <v>29</v>
      </c>
      <c r="CI54" s="228">
        <v>1</v>
      </c>
      <c r="CJ54" s="229">
        <v>2.7900000000000001E-2</v>
      </c>
      <c r="CK54" s="228">
        <v>3</v>
      </c>
      <c r="CL54" s="228">
        <v>3</v>
      </c>
      <c r="CM54" s="228">
        <v>0</v>
      </c>
      <c r="CN54" s="229">
        <v>0.06</v>
      </c>
      <c r="CO54" s="228">
        <v>339</v>
      </c>
      <c r="CP54" s="228">
        <v>340</v>
      </c>
      <c r="CQ54" s="228">
        <v>-2</v>
      </c>
      <c r="CR54" s="229">
        <v>-4.8999999999999998E-3</v>
      </c>
      <c r="CS54" s="228">
        <v>254</v>
      </c>
      <c r="CT54" s="228">
        <v>249</v>
      </c>
      <c r="CU54" s="228">
        <v>6</v>
      </c>
      <c r="CV54" s="229">
        <v>2.23E-2</v>
      </c>
      <c r="CW54" s="230">
        <v>1947</v>
      </c>
      <c r="CX54" s="230">
        <v>1952</v>
      </c>
      <c r="CY54" s="228">
        <v>-6</v>
      </c>
      <c r="CZ54" s="229">
        <v>-3.0000000000000001E-3</v>
      </c>
      <c r="DA54" s="228">
        <v>27.01</v>
      </c>
      <c r="DB54" s="228">
        <v>27.72</v>
      </c>
      <c r="DC54" s="228">
        <v>-0.71</v>
      </c>
      <c r="DD54" s="228">
        <v>-0.71</v>
      </c>
      <c r="DE54" s="228">
        <v>26.63</v>
      </c>
      <c r="DF54" s="228">
        <v>26.69</v>
      </c>
      <c r="DG54" s="228">
        <v>0.38</v>
      </c>
      <c r="DH54" s="228">
        <v>-0.06</v>
      </c>
      <c r="DI54" s="228">
        <v>26.74</v>
      </c>
      <c r="DJ54" s="228">
        <v>27.37</v>
      </c>
      <c r="DK54" s="228">
        <v>-0.63</v>
      </c>
      <c r="DL54" s="228">
        <v>-0.63</v>
      </c>
      <c r="DM54" s="228">
        <v>27.89</v>
      </c>
      <c r="DN54" s="228">
        <v>28.69</v>
      </c>
      <c r="DO54" s="228">
        <v>-0.8</v>
      </c>
      <c r="DP54" s="228">
        <v>-0.8</v>
      </c>
      <c r="DQ54" s="228">
        <v>0.75</v>
      </c>
      <c r="DR54" s="228">
        <v>0.73</v>
      </c>
      <c r="DS54" s="228">
        <v>0.02</v>
      </c>
      <c r="DT54" s="229">
        <v>2.7400000000000001E-2</v>
      </c>
      <c r="DU54" s="228">
        <v>500</v>
      </c>
      <c r="DV54" s="228">
        <v>370</v>
      </c>
      <c r="DW54" s="228">
        <v>0.28999999999999998</v>
      </c>
      <c r="DX54" s="228">
        <v>0.36</v>
      </c>
      <c r="DY54" s="228">
        <v>-7.0000000000000007E-2</v>
      </c>
      <c r="DZ54" s="229">
        <v>-0.19439999999999999</v>
      </c>
      <c r="EA54" s="229">
        <v>2.41E-2</v>
      </c>
      <c r="EB54" s="230">
        <v>735000</v>
      </c>
      <c r="EC54" s="229">
        <v>4.8999999999999998E-3</v>
      </c>
      <c r="ED54" s="229">
        <v>2.41E-2</v>
      </c>
      <c r="EE54" s="228">
        <v>1.96</v>
      </c>
      <c r="EF54" s="229">
        <v>4.5999999999999999E-3</v>
      </c>
      <c r="EG54" s="230">
        <v>860655</v>
      </c>
      <c r="EH54" s="230">
        <v>702307</v>
      </c>
      <c r="EI54" s="229">
        <v>0.22550000000000001</v>
      </c>
      <c r="EJ54" s="229">
        <v>0.46389999999999998</v>
      </c>
      <c r="EK54" s="228">
        <v>363.85</v>
      </c>
      <c r="EL54" s="228">
        <v>99.96</v>
      </c>
      <c r="EM54" s="228">
        <v>119.3</v>
      </c>
      <c r="EN54" s="228">
        <v>32.57</v>
      </c>
      <c r="EO54" s="228">
        <v>583.12</v>
      </c>
      <c r="EP54" s="231">
        <v>1128.5999999999999</v>
      </c>
      <c r="EQ54" s="228">
        <v>-545.48</v>
      </c>
      <c r="ER54" s="229">
        <v>-0.48330000000000001</v>
      </c>
      <c r="ES54" s="228">
        <v>356.88</v>
      </c>
      <c r="ET54" s="228">
        <v>242.88</v>
      </c>
      <c r="EU54" s="231">
        <v>1353.58</v>
      </c>
      <c r="EV54" s="231">
        <v>76827821</v>
      </c>
      <c r="EW54" s="231">
        <v>1953.34</v>
      </c>
      <c r="EX54" s="231">
        <v>1956.12</v>
      </c>
      <c r="EY54" s="228">
        <v>-2.78</v>
      </c>
      <c r="EZ54" s="229">
        <v>-1.4E-3</v>
      </c>
      <c r="FA54" s="229">
        <v>0.58879999999999999</v>
      </c>
      <c r="FB54" s="227" t="s">
        <v>694</v>
      </c>
      <c r="FC54">
        <f t="shared" si="0"/>
        <v>32</v>
      </c>
    </row>
    <row r="55" spans="1:159" ht="17.25" thickBot="1" x14ac:dyDescent="0.3">
      <c r="A55" s="226">
        <v>46121</v>
      </c>
      <c r="B55" s="227" t="s">
        <v>157</v>
      </c>
      <c r="C55" s="227" t="s">
        <v>524</v>
      </c>
      <c r="D55" s="228">
        <v>325</v>
      </c>
      <c r="E55" s="228">
        <v>19</v>
      </c>
      <c r="F55" s="231">
        <v>1913.9</v>
      </c>
      <c r="G55" s="231">
        <v>1926.8</v>
      </c>
      <c r="H55" s="228">
        <v>-12.9</v>
      </c>
      <c r="I55" s="229">
        <v>-6.7000000000000002E-3</v>
      </c>
      <c r="J55" s="231">
        <v>1910.6</v>
      </c>
      <c r="K55" s="231">
        <v>1922.6</v>
      </c>
      <c r="L55" s="228">
        <v>-12</v>
      </c>
      <c r="M55" s="229">
        <v>-6.1999999999999998E-3</v>
      </c>
      <c r="N55" s="231">
        <v>1913.9</v>
      </c>
      <c r="O55" s="231">
        <v>1926.8</v>
      </c>
      <c r="P55" s="228">
        <v>-12.9</v>
      </c>
      <c r="Q55" s="229">
        <v>-6.7000000000000002E-3</v>
      </c>
      <c r="R55" s="231">
        <v>1923.7</v>
      </c>
      <c r="S55" s="231">
        <v>1934.6</v>
      </c>
      <c r="T55" s="228">
        <v>-10.9</v>
      </c>
      <c r="U55" s="229">
        <v>-5.5999999999999999E-3</v>
      </c>
      <c r="V55" s="231">
        <v>1935</v>
      </c>
      <c r="W55" s="231">
        <v>1944.3</v>
      </c>
      <c r="X55" s="228">
        <v>-9.3000000000000007</v>
      </c>
      <c r="Y55" s="229">
        <v>-4.7999999999999996E-3</v>
      </c>
      <c r="Z55" s="228">
        <v>3.3</v>
      </c>
      <c r="AA55" s="228">
        <v>4.2</v>
      </c>
      <c r="AB55" s="228">
        <v>-0.9</v>
      </c>
      <c r="AC55" s="229">
        <v>1.6999999999999999E-3</v>
      </c>
      <c r="AD55" s="228">
        <v>3.3</v>
      </c>
      <c r="AE55" s="228">
        <v>4.2</v>
      </c>
      <c r="AF55" s="228">
        <v>-0.9</v>
      </c>
      <c r="AG55" s="229">
        <v>1.6999999999999999E-3</v>
      </c>
      <c r="AH55" s="228">
        <v>13.1</v>
      </c>
      <c r="AI55" s="228">
        <v>12</v>
      </c>
      <c r="AJ55" s="228">
        <v>1.1000000000000001</v>
      </c>
      <c r="AK55" s="229">
        <v>6.8999999999999999E-3</v>
      </c>
      <c r="AL55" s="228">
        <v>24.4</v>
      </c>
      <c r="AM55" s="228">
        <v>21.7</v>
      </c>
      <c r="AN55" s="228">
        <v>2.7</v>
      </c>
      <c r="AO55" s="229">
        <v>1.2800000000000001E-2</v>
      </c>
      <c r="AP55" s="231">
        <v>1917.64</v>
      </c>
      <c r="AQ55" s="231">
        <v>1924.16</v>
      </c>
      <c r="AR55" s="228">
        <v>0</v>
      </c>
      <c r="AS55" s="228">
        <v>68</v>
      </c>
      <c r="AT55" s="228">
        <v>178</v>
      </c>
      <c r="AU55" s="228">
        <v>-110</v>
      </c>
      <c r="AV55" s="229">
        <v>-0.61719999999999997</v>
      </c>
      <c r="AW55" s="228">
        <v>67</v>
      </c>
      <c r="AX55" s="228">
        <v>169</v>
      </c>
      <c r="AY55" s="228">
        <v>-102</v>
      </c>
      <c r="AZ55" s="229">
        <v>-0.60409999999999997</v>
      </c>
      <c r="BA55" s="228">
        <v>1</v>
      </c>
      <c r="BB55" s="228">
        <v>9</v>
      </c>
      <c r="BC55" s="228">
        <v>-8</v>
      </c>
      <c r="BD55" s="229">
        <v>-0.87770000000000004</v>
      </c>
      <c r="BE55" s="228">
        <v>0</v>
      </c>
      <c r="BF55" s="228">
        <v>0</v>
      </c>
      <c r="BG55" s="228">
        <v>0</v>
      </c>
      <c r="BH55" s="229">
        <v>0</v>
      </c>
      <c r="BI55" s="228">
        <v>68</v>
      </c>
      <c r="BJ55" s="228">
        <v>244</v>
      </c>
      <c r="BK55" s="228">
        <v>-176</v>
      </c>
      <c r="BL55" s="229">
        <v>-0.72230000000000005</v>
      </c>
      <c r="BM55" s="228">
        <v>43</v>
      </c>
      <c r="BN55" s="228">
        <v>351</v>
      </c>
      <c r="BO55" s="228">
        <v>-308</v>
      </c>
      <c r="BP55" s="229">
        <v>-0.87619999999999998</v>
      </c>
      <c r="BQ55" s="228">
        <v>179</v>
      </c>
      <c r="BR55" s="228">
        <v>773</v>
      </c>
      <c r="BS55" s="228">
        <v>-594</v>
      </c>
      <c r="BT55" s="229">
        <v>-0.7681</v>
      </c>
      <c r="BU55" s="230">
        <v>98552</v>
      </c>
      <c r="BV55" s="230">
        <v>744073</v>
      </c>
      <c r="BW55" s="230">
        <v>-645521</v>
      </c>
      <c r="BX55" s="229">
        <v>-0.86760000000000004</v>
      </c>
      <c r="BY55" s="228">
        <v>491</v>
      </c>
      <c r="BZ55" s="228">
        <v>488</v>
      </c>
      <c r="CA55" s="228">
        <v>3</v>
      </c>
      <c r="CB55" s="229">
        <v>5.5999999999999999E-3</v>
      </c>
      <c r="CC55" s="228">
        <v>485</v>
      </c>
      <c r="CD55" s="228">
        <v>482</v>
      </c>
      <c r="CE55" s="228">
        <v>3</v>
      </c>
      <c r="CF55" s="229">
        <v>5.3E-3</v>
      </c>
      <c r="CG55" s="228">
        <v>5</v>
      </c>
      <c r="CH55" s="228">
        <v>5</v>
      </c>
      <c r="CI55" s="228">
        <v>0</v>
      </c>
      <c r="CJ55" s="229">
        <v>3.5700000000000003E-2</v>
      </c>
      <c r="CK55" s="228">
        <v>0</v>
      </c>
      <c r="CL55" s="228">
        <v>0</v>
      </c>
      <c r="CM55" s="228">
        <v>0</v>
      </c>
      <c r="CN55" s="229">
        <v>0</v>
      </c>
      <c r="CO55" s="228">
        <v>125</v>
      </c>
      <c r="CP55" s="228">
        <v>122</v>
      </c>
      <c r="CQ55" s="228">
        <v>3</v>
      </c>
      <c r="CR55" s="229">
        <v>2.86E-2</v>
      </c>
      <c r="CS55" s="228">
        <v>171</v>
      </c>
      <c r="CT55" s="228">
        <v>168</v>
      </c>
      <c r="CU55" s="228">
        <v>2</v>
      </c>
      <c r="CV55" s="229">
        <v>1.44E-2</v>
      </c>
      <c r="CW55" s="228">
        <v>787</v>
      </c>
      <c r="CX55" s="228">
        <v>778</v>
      </c>
      <c r="CY55" s="228">
        <v>9</v>
      </c>
      <c r="CZ55" s="229">
        <v>1.11E-2</v>
      </c>
      <c r="DA55" s="228">
        <v>39.35</v>
      </c>
      <c r="DB55" s="228">
        <v>39.25</v>
      </c>
      <c r="DC55" s="228">
        <v>0.1</v>
      </c>
      <c r="DD55" s="228">
        <v>0.1</v>
      </c>
      <c r="DE55" s="228">
        <v>34.29</v>
      </c>
      <c r="DF55" s="228">
        <v>34.36</v>
      </c>
      <c r="DG55" s="228">
        <v>5.0599999999999996</v>
      </c>
      <c r="DH55" s="228">
        <v>-7.0000000000000007E-2</v>
      </c>
      <c r="DI55" s="228">
        <v>38.08</v>
      </c>
      <c r="DJ55" s="228">
        <v>35.14</v>
      </c>
      <c r="DK55" s="228">
        <v>2.94</v>
      </c>
      <c r="DL55" s="228">
        <v>2.94</v>
      </c>
      <c r="DM55" s="228">
        <v>41.33</v>
      </c>
      <c r="DN55" s="228">
        <v>42.11</v>
      </c>
      <c r="DO55" s="228">
        <v>-0.78</v>
      </c>
      <c r="DP55" s="228">
        <v>-0.78</v>
      </c>
      <c r="DQ55" s="228">
        <v>1.36</v>
      </c>
      <c r="DR55" s="228">
        <v>1.38</v>
      </c>
      <c r="DS55" s="228">
        <v>-0.02</v>
      </c>
      <c r="DT55" s="229">
        <v>-1.4500000000000001E-2</v>
      </c>
      <c r="DU55" s="231">
        <v>2060</v>
      </c>
      <c r="DV55" s="231">
        <v>1800</v>
      </c>
      <c r="DW55" s="228">
        <v>0.64</v>
      </c>
      <c r="DX55" s="228">
        <v>1.44</v>
      </c>
      <c r="DY55" s="228">
        <v>-0.8</v>
      </c>
      <c r="DZ55" s="229">
        <v>-0.55559999999999998</v>
      </c>
      <c r="EA55" s="229">
        <v>1.15E-2</v>
      </c>
      <c r="EB55" s="230">
        <v>28600</v>
      </c>
      <c r="EC55" s="229">
        <v>5.1000000000000004E-3</v>
      </c>
      <c r="ED55" s="229">
        <v>1.15E-2</v>
      </c>
      <c r="EE55" s="228">
        <v>6.52</v>
      </c>
      <c r="EF55" s="229">
        <v>3.3999999999999998E-3</v>
      </c>
      <c r="EG55" s="230">
        <v>29303</v>
      </c>
      <c r="EH55" s="230">
        <v>413553</v>
      </c>
      <c r="EI55" s="229">
        <v>-0.92910000000000004</v>
      </c>
      <c r="EJ55" s="229">
        <v>0.29730000000000001</v>
      </c>
      <c r="EK55" s="228">
        <v>74.58</v>
      </c>
      <c r="EL55" s="228">
        <v>42.16</v>
      </c>
      <c r="EM55" s="228">
        <v>68.12</v>
      </c>
      <c r="EN55" s="228">
        <v>18.09</v>
      </c>
      <c r="EO55" s="228">
        <v>184.87</v>
      </c>
      <c r="EP55" s="228">
        <v>770.05</v>
      </c>
      <c r="EQ55" s="228">
        <v>-585.17999999999995</v>
      </c>
      <c r="ER55" s="229">
        <v>-0.75990000000000002</v>
      </c>
      <c r="ES55" s="228">
        <v>130.94999999999999</v>
      </c>
      <c r="ET55" s="228">
        <v>159.63999999999999</v>
      </c>
      <c r="EU55" s="228">
        <v>490.62</v>
      </c>
      <c r="EV55" s="231">
        <v>12425160</v>
      </c>
      <c r="EW55" s="228">
        <v>781.2</v>
      </c>
      <c r="EX55" s="228">
        <v>775.82</v>
      </c>
      <c r="EY55" s="228">
        <v>5.38</v>
      </c>
      <c r="EZ55" s="229">
        <v>6.8999999999999999E-3</v>
      </c>
      <c r="FA55" s="229">
        <v>0.33079999999999998</v>
      </c>
      <c r="FB55" s="227" t="s">
        <v>566</v>
      </c>
      <c r="FC55">
        <f t="shared" si="0"/>
        <v>6</v>
      </c>
    </row>
    <row r="56" spans="1:159" ht="17.25" thickBot="1" x14ac:dyDescent="0.3">
      <c r="A56" s="226">
        <v>46121</v>
      </c>
      <c r="B56" s="227" t="s">
        <v>614</v>
      </c>
      <c r="C56" s="227" t="s">
        <v>599</v>
      </c>
      <c r="D56" s="228">
        <v>2075</v>
      </c>
      <c r="E56" s="228">
        <v>19</v>
      </c>
      <c r="F56" s="228">
        <v>471.35</v>
      </c>
      <c r="G56" s="228">
        <v>462.05</v>
      </c>
      <c r="H56" s="228">
        <v>9.3000000000000007</v>
      </c>
      <c r="I56" s="229">
        <v>2.01E-2</v>
      </c>
      <c r="J56" s="228">
        <v>469.85</v>
      </c>
      <c r="K56" s="228">
        <v>459.85</v>
      </c>
      <c r="L56" s="228">
        <v>10</v>
      </c>
      <c r="M56" s="229">
        <v>2.1700000000000001E-2</v>
      </c>
      <c r="N56" s="228">
        <v>471.35</v>
      </c>
      <c r="O56" s="228">
        <v>462.05</v>
      </c>
      <c r="P56" s="228">
        <v>9.3000000000000007</v>
      </c>
      <c r="Q56" s="229">
        <v>2.01E-2</v>
      </c>
      <c r="R56" s="228">
        <v>473.65</v>
      </c>
      <c r="S56" s="228">
        <v>464.35</v>
      </c>
      <c r="T56" s="228">
        <v>9.3000000000000007</v>
      </c>
      <c r="U56" s="229">
        <v>0.02</v>
      </c>
      <c r="V56" s="228">
        <v>474.6</v>
      </c>
      <c r="W56" s="228">
        <v>460</v>
      </c>
      <c r="X56" s="228">
        <v>14.6</v>
      </c>
      <c r="Y56" s="229">
        <v>3.1699999999999999E-2</v>
      </c>
      <c r="Z56" s="228">
        <v>1.5</v>
      </c>
      <c r="AA56" s="228">
        <v>2.2000000000000002</v>
      </c>
      <c r="AB56" s="228">
        <v>-0.7</v>
      </c>
      <c r="AC56" s="229">
        <v>3.2000000000000002E-3</v>
      </c>
      <c r="AD56" s="228">
        <v>1.5</v>
      </c>
      <c r="AE56" s="228">
        <v>2.2000000000000002</v>
      </c>
      <c r="AF56" s="228">
        <v>-0.7</v>
      </c>
      <c r="AG56" s="229">
        <v>3.2000000000000002E-3</v>
      </c>
      <c r="AH56" s="228">
        <v>3.8</v>
      </c>
      <c r="AI56" s="228">
        <v>4.5</v>
      </c>
      <c r="AJ56" s="228">
        <v>-0.7</v>
      </c>
      <c r="AK56" s="229">
        <v>8.0999999999999996E-3</v>
      </c>
      <c r="AL56" s="228">
        <v>4.75</v>
      </c>
      <c r="AM56" s="228">
        <v>0.15</v>
      </c>
      <c r="AN56" s="228">
        <v>4.5999999999999996</v>
      </c>
      <c r="AO56" s="229">
        <v>1.01E-2</v>
      </c>
      <c r="AP56" s="228">
        <v>470.33</v>
      </c>
      <c r="AQ56" s="228">
        <v>473.32</v>
      </c>
      <c r="AR56" s="228">
        <v>0</v>
      </c>
      <c r="AS56" s="228">
        <v>386</v>
      </c>
      <c r="AT56" s="228">
        <v>446</v>
      </c>
      <c r="AU56" s="228">
        <v>-60</v>
      </c>
      <c r="AV56" s="229">
        <v>-0.1351</v>
      </c>
      <c r="AW56" s="228">
        <v>369</v>
      </c>
      <c r="AX56" s="228">
        <v>432</v>
      </c>
      <c r="AY56" s="228">
        <v>-63</v>
      </c>
      <c r="AZ56" s="229">
        <v>-0.1469</v>
      </c>
      <c r="BA56" s="228">
        <v>17</v>
      </c>
      <c r="BB56" s="228">
        <v>14</v>
      </c>
      <c r="BC56" s="228">
        <v>3</v>
      </c>
      <c r="BD56" s="229">
        <v>0.22700000000000001</v>
      </c>
      <c r="BE56" s="228">
        <v>0</v>
      </c>
      <c r="BF56" s="228">
        <v>0</v>
      </c>
      <c r="BG56" s="228">
        <v>0</v>
      </c>
      <c r="BH56" s="229">
        <v>1</v>
      </c>
      <c r="BI56" s="228">
        <v>834</v>
      </c>
      <c r="BJ56" s="228">
        <v>736</v>
      </c>
      <c r="BK56" s="228">
        <v>98</v>
      </c>
      <c r="BL56" s="229">
        <v>0.1328</v>
      </c>
      <c r="BM56" s="228">
        <v>334</v>
      </c>
      <c r="BN56" s="228">
        <v>315</v>
      </c>
      <c r="BO56" s="228">
        <v>19</v>
      </c>
      <c r="BP56" s="229">
        <v>0.06</v>
      </c>
      <c r="BQ56" s="230">
        <v>1554</v>
      </c>
      <c r="BR56" s="230">
        <v>1497</v>
      </c>
      <c r="BS56" s="228">
        <v>56</v>
      </c>
      <c r="BT56" s="229">
        <v>3.7699999999999997E-2</v>
      </c>
      <c r="BU56" s="230">
        <v>4325371</v>
      </c>
      <c r="BV56" s="230">
        <v>4808550</v>
      </c>
      <c r="BW56" s="230">
        <v>-483179</v>
      </c>
      <c r="BX56" s="229">
        <v>-0.10050000000000001</v>
      </c>
      <c r="BY56" s="230">
        <v>1391</v>
      </c>
      <c r="BZ56" s="230">
        <v>1441</v>
      </c>
      <c r="CA56" s="228">
        <v>-50</v>
      </c>
      <c r="CB56" s="229">
        <v>-3.44E-2</v>
      </c>
      <c r="CC56" s="230">
        <v>1373</v>
      </c>
      <c r="CD56" s="230">
        <v>1428</v>
      </c>
      <c r="CE56" s="228">
        <v>-55</v>
      </c>
      <c r="CF56" s="229">
        <v>-3.85E-2</v>
      </c>
      <c r="CG56" s="228">
        <v>17</v>
      </c>
      <c r="CH56" s="228">
        <v>12</v>
      </c>
      <c r="CI56" s="228">
        <v>5</v>
      </c>
      <c r="CJ56" s="229">
        <v>0.45760000000000001</v>
      </c>
      <c r="CK56" s="228">
        <v>1</v>
      </c>
      <c r="CL56" s="228">
        <v>1</v>
      </c>
      <c r="CM56" s="228">
        <v>0</v>
      </c>
      <c r="CN56" s="229">
        <v>0.16669999999999999</v>
      </c>
      <c r="CO56" s="228">
        <v>337</v>
      </c>
      <c r="CP56" s="228">
        <v>277</v>
      </c>
      <c r="CQ56" s="228">
        <v>60</v>
      </c>
      <c r="CR56" s="229">
        <v>0.21820000000000001</v>
      </c>
      <c r="CS56" s="228">
        <v>188</v>
      </c>
      <c r="CT56" s="228">
        <v>140</v>
      </c>
      <c r="CU56" s="228">
        <v>48</v>
      </c>
      <c r="CV56" s="229">
        <v>0.3422</v>
      </c>
      <c r="CW56" s="230">
        <v>1917</v>
      </c>
      <c r="CX56" s="230">
        <v>1858</v>
      </c>
      <c r="CY56" s="228">
        <v>59</v>
      </c>
      <c r="CZ56" s="229">
        <v>3.1699999999999999E-2</v>
      </c>
      <c r="DA56" s="228">
        <v>35.6</v>
      </c>
      <c r="DB56" s="228">
        <v>36.26</v>
      </c>
      <c r="DC56" s="228">
        <v>-0.66</v>
      </c>
      <c r="DD56" s="228">
        <v>-0.66</v>
      </c>
      <c r="DE56" s="228">
        <v>39.86</v>
      </c>
      <c r="DF56" s="228">
        <v>39.869999999999997</v>
      </c>
      <c r="DG56" s="228">
        <v>-4.26</v>
      </c>
      <c r="DH56" s="228">
        <v>-0.01</v>
      </c>
      <c r="DI56" s="228">
        <v>35.28</v>
      </c>
      <c r="DJ56" s="228">
        <v>35.54</v>
      </c>
      <c r="DK56" s="228">
        <v>-0.26</v>
      </c>
      <c r="DL56" s="228">
        <v>-0.26</v>
      </c>
      <c r="DM56" s="228">
        <v>36.4</v>
      </c>
      <c r="DN56" s="228">
        <v>37.96</v>
      </c>
      <c r="DO56" s="228">
        <v>-1.56</v>
      </c>
      <c r="DP56" s="228">
        <v>-1.56</v>
      </c>
      <c r="DQ56" s="228">
        <v>0.56000000000000005</v>
      </c>
      <c r="DR56" s="228">
        <v>0.51</v>
      </c>
      <c r="DS56" s="228">
        <v>0.05</v>
      </c>
      <c r="DT56" s="229">
        <v>9.8000000000000004E-2</v>
      </c>
      <c r="DU56" s="228">
        <v>470</v>
      </c>
      <c r="DV56" s="228">
        <v>460</v>
      </c>
      <c r="DW56" s="228">
        <v>0.4</v>
      </c>
      <c r="DX56" s="228">
        <v>0.43</v>
      </c>
      <c r="DY56" s="228">
        <v>-0.03</v>
      </c>
      <c r="DZ56" s="229">
        <v>-6.9800000000000001E-2</v>
      </c>
      <c r="EA56" s="229">
        <v>1.26E-2</v>
      </c>
      <c r="EB56" s="230">
        <v>257300</v>
      </c>
      <c r="EC56" s="229">
        <v>4.8999999999999998E-3</v>
      </c>
      <c r="ED56" s="229">
        <v>1.26E-2</v>
      </c>
      <c r="EE56" s="228">
        <v>2.99</v>
      </c>
      <c r="EF56" s="229">
        <v>6.4000000000000003E-3</v>
      </c>
      <c r="EG56" s="230">
        <v>1768606</v>
      </c>
      <c r="EH56" s="230">
        <v>2263817</v>
      </c>
      <c r="EI56" s="229">
        <v>-0.21879999999999999</v>
      </c>
      <c r="EJ56" s="229">
        <v>0.40889999999999999</v>
      </c>
      <c r="EK56" s="228">
        <v>876.33</v>
      </c>
      <c r="EL56" s="228">
        <v>326.48</v>
      </c>
      <c r="EM56" s="228">
        <v>385.02</v>
      </c>
      <c r="EN56" s="228">
        <v>26.26</v>
      </c>
      <c r="EO56" s="231">
        <v>1587.83</v>
      </c>
      <c r="EP56" s="231">
        <v>1478.9</v>
      </c>
      <c r="EQ56" s="228">
        <v>108.93</v>
      </c>
      <c r="ER56" s="229">
        <v>7.3700000000000002E-2</v>
      </c>
      <c r="ES56" s="228">
        <v>337.4</v>
      </c>
      <c r="ET56" s="228">
        <v>172.68</v>
      </c>
      <c r="EU56" s="231">
        <v>1391.07</v>
      </c>
      <c r="EV56" s="231">
        <v>83072620</v>
      </c>
      <c r="EW56" s="231">
        <v>1901.15</v>
      </c>
      <c r="EX56" s="231">
        <v>1807.86</v>
      </c>
      <c r="EY56" s="228">
        <v>93.29</v>
      </c>
      <c r="EZ56" s="229">
        <v>5.16E-2</v>
      </c>
      <c r="FA56" s="229">
        <v>0.48949999999999999</v>
      </c>
      <c r="FB56" s="227" t="s">
        <v>694</v>
      </c>
      <c r="FC56">
        <f t="shared" si="0"/>
        <v>18</v>
      </c>
    </row>
    <row r="57" spans="1:159" ht="17.25" thickBot="1" x14ac:dyDescent="0.3">
      <c r="A57" s="226">
        <v>46121</v>
      </c>
      <c r="B57" s="227" t="s">
        <v>170</v>
      </c>
      <c r="C57" s="227" t="s">
        <v>205</v>
      </c>
      <c r="D57" s="228">
        <v>100</v>
      </c>
      <c r="E57" s="228">
        <v>19</v>
      </c>
      <c r="F57" s="231">
        <v>5967</v>
      </c>
      <c r="G57" s="231">
        <v>5909.5</v>
      </c>
      <c r="H57" s="228">
        <v>57.5</v>
      </c>
      <c r="I57" s="229">
        <v>9.7000000000000003E-3</v>
      </c>
      <c r="J57" s="231">
        <v>5952.5</v>
      </c>
      <c r="K57" s="231">
        <v>5882</v>
      </c>
      <c r="L57" s="228">
        <v>70.5</v>
      </c>
      <c r="M57" s="229">
        <v>1.2E-2</v>
      </c>
      <c r="N57" s="231">
        <v>5967</v>
      </c>
      <c r="O57" s="231">
        <v>5909.5</v>
      </c>
      <c r="P57" s="228">
        <v>57.5</v>
      </c>
      <c r="Q57" s="229">
        <v>9.7000000000000003E-3</v>
      </c>
      <c r="R57" s="231">
        <v>5998.5</v>
      </c>
      <c r="S57" s="231">
        <v>5945</v>
      </c>
      <c r="T57" s="228">
        <v>53.5</v>
      </c>
      <c r="U57" s="229">
        <v>8.9999999999999993E-3</v>
      </c>
      <c r="V57" s="231">
        <v>6012</v>
      </c>
      <c r="W57" s="231">
        <v>5969.5</v>
      </c>
      <c r="X57" s="228">
        <v>42.5</v>
      </c>
      <c r="Y57" s="229">
        <v>7.1000000000000004E-3</v>
      </c>
      <c r="Z57" s="228">
        <v>14.5</v>
      </c>
      <c r="AA57" s="228">
        <v>27.5</v>
      </c>
      <c r="AB57" s="228">
        <v>-13</v>
      </c>
      <c r="AC57" s="229">
        <v>2.3999999999999998E-3</v>
      </c>
      <c r="AD57" s="228">
        <v>14.5</v>
      </c>
      <c r="AE57" s="228">
        <v>27.5</v>
      </c>
      <c r="AF57" s="228">
        <v>-13</v>
      </c>
      <c r="AG57" s="229">
        <v>2.3999999999999998E-3</v>
      </c>
      <c r="AH57" s="228">
        <v>46</v>
      </c>
      <c r="AI57" s="228">
        <v>63</v>
      </c>
      <c r="AJ57" s="228">
        <v>-17</v>
      </c>
      <c r="AK57" s="229">
        <v>7.7000000000000002E-3</v>
      </c>
      <c r="AL57" s="228">
        <v>59.5</v>
      </c>
      <c r="AM57" s="228">
        <v>87.5</v>
      </c>
      <c r="AN57" s="228">
        <v>-28</v>
      </c>
      <c r="AO57" s="229">
        <v>0.01</v>
      </c>
      <c r="AP57" s="231">
        <v>5938.77</v>
      </c>
      <c r="AQ57" s="231">
        <v>5972.21</v>
      </c>
      <c r="AR57" s="228">
        <v>0</v>
      </c>
      <c r="AS57" s="228">
        <v>178</v>
      </c>
      <c r="AT57" s="228">
        <v>207</v>
      </c>
      <c r="AU57" s="228">
        <v>-29</v>
      </c>
      <c r="AV57" s="229">
        <v>-0.14119999999999999</v>
      </c>
      <c r="AW57" s="228">
        <v>169</v>
      </c>
      <c r="AX57" s="228">
        <v>192</v>
      </c>
      <c r="AY57" s="228">
        <v>-23</v>
      </c>
      <c r="AZ57" s="229">
        <v>-0.11940000000000001</v>
      </c>
      <c r="BA57" s="228">
        <v>8</v>
      </c>
      <c r="BB57" s="228">
        <v>14</v>
      </c>
      <c r="BC57" s="228">
        <v>-5</v>
      </c>
      <c r="BD57" s="229">
        <v>-0.39660000000000001</v>
      </c>
      <c r="BE57" s="228">
        <v>0</v>
      </c>
      <c r="BF57" s="228">
        <v>1</v>
      </c>
      <c r="BG57" s="228">
        <v>-1</v>
      </c>
      <c r="BH57" s="229">
        <v>-0.7</v>
      </c>
      <c r="BI57" s="228">
        <v>546</v>
      </c>
      <c r="BJ57" s="228">
        <v>735</v>
      </c>
      <c r="BK57" s="228">
        <v>-190</v>
      </c>
      <c r="BL57" s="229">
        <v>-0.25790000000000002</v>
      </c>
      <c r="BM57" s="228">
        <v>200</v>
      </c>
      <c r="BN57" s="228">
        <v>274</v>
      </c>
      <c r="BO57" s="228">
        <v>-73</v>
      </c>
      <c r="BP57" s="229">
        <v>-0.2681</v>
      </c>
      <c r="BQ57" s="228">
        <v>924</v>
      </c>
      <c r="BR57" s="230">
        <v>1217</v>
      </c>
      <c r="BS57" s="228">
        <v>-292</v>
      </c>
      <c r="BT57" s="229">
        <v>-0.24030000000000001</v>
      </c>
      <c r="BU57" s="230">
        <v>240821</v>
      </c>
      <c r="BV57" s="230">
        <v>307358</v>
      </c>
      <c r="BW57" s="230">
        <v>-66537</v>
      </c>
      <c r="BX57" s="229">
        <v>-0.2165</v>
      </c>
      <c r="BY57" s="230">
        <v>1738</v>
      </c>
      <c r="BZ57" s="230">
        <v>1724</v>
      </c>
      <c r="CA57" s="228">
        <v>14</v>
      </c>
      <c r="CB57" s="229">
        <v>8.0999999999999996E-3</v>
      </c>
      <c r="CC57" s="230">
        <v>1693</v>
      </c>
      <c r="CD57" s="230">
        <v>1680</v>
      </c>
      <c r="CE57" s="228">
        <v>12</v>
      </c>
      <c r="CF57" s="229">
        <v>7.3000000000000001E-3</v>
      </c>
      <c r="CG57" s="228">
        <v>44</v>
      </c>
      <c r="CH57" s="228">
        <v>42</v>
      </c>
      <c r="CI57" s="228">
        <v>2</v>
      </c>
      <c r="CJ57" s="229">
        <v>3.6700000000000003E-2</v>
      </c>
      <c r="CK57" s="228">
        <v>2</v>
      </c>
      <c r="CL57" s="228">
        <v>2</v>
      </c>
      <c r="CM57" s="228">
        <v>0</v>
      </c>
      <c r="CN57" s="229">
        <v>0.1071</v>
      </c>
      <c r="CO57" s="228">
        <v>376</v>
      </c>
      <c r="CP57" s="228">
        <v>394</v>
      </c>
      <c r="CQ57" s="228">
        <v>-18</v>
      </c>
      <c r="CR57" s="229">
        <v>-4.5499999999999999E-2</v>
      </c>
      <c r="CS57" s="228">
        <v>400</v>
      </c>
      <c r="CT57" s="228">
        <v>391</v>
      </c>
      <c r="CU57" s="228">
        <v>9</v>
      </c>
      <c r="CV57" s="229">
        <v>2.2100000000000002E-2</v>
      </c>
      <c r="CW57" s="230">
        <v>2514</v>
      </c>
      <c r="CX57" s="230">
        <v>2509</v>
      </c>
      <c r="CY57" s="228">
        <v>5</v>
      </c>
      <c r="CZ57" s="229">
        <v>1.9E-3</v>
      </c>
      <c r="DA57" s="228">
        <v>28.17</v>
      </c>
      <c r="DB57" s="228">
        <v>28.17</v>
      </c>
      <c r="DC57" s="228">
        <v>0</v>
      </c>
      <c r="DD57" s="228">
        <v>0</v>
      </c>
      <c r="DE57" s="228">
        <v>29.64</v>
      </c>
      <c r="DF57" s="228">
        <v>29.67</v>
      </c>
      <c r="DG57" s="228">
        <v>-1.47</v>
      </c>
      <c r="DH57" s="228">
        <v>-0.03</v>
      </c>
      <c r="DI57" s="228">
        <v>27.7</v>
      </c>
      <c r="DJ57" s="228">
        <v>28.01</v>
      </c>
      <c r="DK57" s="228">
        <v>-0.31</v>
      </c>
      <c r="DL57" s="228">
        <v>-0.31</v>
      </c>
      <c r="DM57" s="228">
        <v>29.43</v>
      </c>
      <c r="DN57" s="228">
        <v>28.57</v>
      </c>
      <c r="DO57" s="228">
        <v>0.86</v>
      </c>
      <c r="DP57" s="228">
        <v>0.86</v>
      </c>
      <c r="DQ57" s="228">
        <v>1.06</v>
      </c>
      <c r="DR57" s="228">
        <v>0.99</v>
      </c>
      <c r="DS57" s="228">
        <v>7.0000000000000007E-2</v>
      </c>
      <c r="DT57" s="229">
        <v>7.0699999999999999E-2</v>
      </c>
      <c r="DU57" s="231">
        <v>6000</v>
      </c>
      <c r="DV57" s="231">
        <v>5200</v>
      </c>
      <c r="DW57" s="228">
        <v>0.37</v>
      </c>
      <c r="DX57" s="228">
        <v>0.37</v>
      </c>
      <c r="DY57" s="228">
        <v>0</v>
      </c>
      <c r="DZ57" s="229">
        <v>0</v>
      </c>
      <c r="EA57" s="229">
        <v>2.63E-2</v>
      </c>
      <c r="EB57" s="230">
        <v>73600</v>
      </c>
      <c r="EC57" s="229">
        <v>5.3E-3</v>
      </c>
      <c r="ED57" s="229">
        <v>2.63E-2</v>
      </c>
      <c r="EE57" s="228">
        <v>33.44</v>
      </c>
      <c r="EF57" s="229">
        <v>5.5999999999999999E-3</v>
      </c>
      <c r="EG57" s="230">
        <v>120058</v>
      </c>
      <c r="EH57" s="230">
        <v>166153</v>
      </c>
      <c r="EI57" s="229">
        <v>-0.27739999999999998</v>
      </c>
      <c r="EJ57" s="229">
        <v>0.4985</v>
      </c>
      <c r="EK57" s="228">
        <v>570.62</v>
      </c>
      <c r="EL57" s="228">
        <v>195.91</v>
      </c>
      <c r="EM57" s="228">
        <v>177.38</v>
      </c>
      <c r="EN57" s="228">
        <v>40.51</v>
      </c>
      <c r="EO57" s="228">
        <v>943.92</v>
      </c>
      <c r="EP57" s="231">
        <v>1240.67</v>
      </c>
      <c r="EQ57" s="228">
        <v>-296.75</v>
      </c>
      <c r="ER57" s="229">
        <v>-0.2392</v>
      </c>
      <c r="ES57" s="228">
        <v>391.37</v>
      </c>
      <c r="ET57" s="228">
        <v>381.12</v>
      </c>
      <c r="EU57" s="231">
        <v>1738.49</v>
      </c>
      <c r="EV57" s="231">
        <v>15815194</v>
      </c>
      <c r="EW57" s="231">
        <v>2510.98</v>
      </c>
      <c r="EX57" s="231">
        <v>2489.54</v>
      </c>
      <c r="EY57" s="228">
        <v>21.44</v>
      </c>
      <c r="EZ57" s="229">
        <v>8.6E-3</v>
      </c>
      <c r="FA57" s="229">
        <v>0.26640000000000003</v>
      </c>
      <c r="FB57" s="227" t="s">
        <v>555</v>
      </c>
      <c r="FC57">
        <f t="shared" si="0"/>
        <v>45</v>
      </c>
    </row>
    <row r="58" spans="1:159" ht="17.25" thickBot="1" x14ac:dyDescent="0.3">
      <c r="A58" s="226">
        <v>46121</v>
      </c>
      <c r="B58" s="227" t="s">
        <v>184</v>
      </c>
      <c r="C58" s="227" t="s">
        <v>512</v>
      </c>
      <c r="D58" s="228">
        <v>50</v>
      </c>
      <c r="E58" s="228">
        <v>19</v>
      </c>
      <c r="F58" s="231">
        <v>10657.5</v>
      </c>
      <c r="G58" s="231">
        <v>10669.5</v>
      </c>
      <c r="H58" s="228">
        <v>-12</v>
      </c>
      <c r="I58" s="229">
        <v>-1.1000000000000001E-3</v>
      </c>
      <c r="J58" s="231">
        <v>10625.5</v>
      </c>
      <c r="K58" s="231">
        <v>10636</v>
      </c>
      <c r="L58" s="228">
        <v>-10.5</v>
      </c>
      <c r="M58" s="229">
        <v>-1E-3</v>
      </c>
      <c r="N58" s="231">
        <v>10657.5</v>
      </c>
      <c r="O58" s="231">
        <v>10669.5</v>
      </c>
      <c r="P58" s="228">
        <v>-12</v>
      </c>
      <c r="Q58" s="229">
        <v>-1.1000000000000001E-3</v>
      </c>
      <c r="R58" s="231">
        <v>10621</v>
      </c>
      <c r="S58" s="231">
        <v>10620</v>
      </c>
      <c r="T58" s="228">
        <v>1</v>
      </c>
      <c r="U58" s="229">
        <v>1E-4</v>
      </c>
      <c r="V58" s="231">
        <v>10610.5</v>
      </c>
      <c r="W58" s="231">
        <v>10604.5</v>
      </c>
      <c r="X58" s="228">
        <v>6</v>
      </c>
      <c r="Y58" s="229">
        <v>5.9999999999999995E-4</v>
      </c>
      <c r="Z58" s="228">
        <v>32</v>
      </c>
      <c r="AA58" s="228">
        <v>33.5</v>
      </c>
      <c r="AB58" s="228">
        <v>-1.5</v>
      </c>
      <c r="AC58" s="229">
        <v>3.0000000000000001E-3</v>
      </c>
      <c r="AD58" s="228">
        <v>32</v>
      </c>
      <c r="AE58" s="228">
        <v>33.5</v>
      </c>
      <c r="AF58" s="228">
        <v>-1.5</v>
      </c>
      <c r="AG58" s="229">
        <v>3.0000000000000001E-3</v>
      </c>
      <c r="AH58" s="228">
        <v>-4.5</v>
      </c>
      <c r="AI58" s="228">
        <v>-16</v>
      </c>
      <c r="AJ58" s="228">
        <v>11.5</v>
      </c>
      <c r="AK58" s="229">
        <v>-4.0000000000000002E-4</v>
      </c>
      <c r="AL58" s="228">
        <v>-15</v>
      </c>
      <c r="AM58" s="228">
        <v>-31.5</v>
      </c>
      <c r="AN58" s="228">
        <v>16.5</v>
      </c>
      <c r="AO58" s="229">
        <v>-1.4E-3</v>
      </c>
      <c r="AP58" s="231">
        <v>10598.25</v>
      </c>
      <c r="AQ58" s="231">
        <v>10545.91</v>
      </c>
      <c r="AR58" s="228">
        <v>0</v>
      </c>
      <c r="AS58" s="228">
        <v>883</v>
      </c>
      <c r="AT58" s="230">
        <v>1256</v>
      </c>
      <c r="AU58" s="228">
        <v>-373</v>
      </c>
      <c r="AV58" s="229">
        <v>-0.29680000000000001</v>
      </c>
      <c r="AW58" s="228">
        <v>754</v>
      </c>
      <c r="AX58" s="230">
        <v>1133</v>
      </c>
      <c r="AY58" s="228">
        <v>-380</v>
      </c>
      <c r="AZ58" s="229">
        <v>-0.33510000000000001</v>
      </c>
      <c r="BA58" s="228">
        <v>117</v>
      </c>
      <c r="BB58" s="228">
        <v>107</v>
      </c>
      <c r="BC58" s="228">
        <v>10</v>
      </c>
      <c r="BD58" s="229">
        <v>9.0800000000000006E-2</v>
      </c>
      <c r="BE58" s="228">
        <v>13</v>
      </c>
      <c r="BF58" s="228">
        <v>15</v>
      </c>
      <c r="BG58" s="228">
        <v>-3</v>
      </c>
      <c r="BH58" s="229">
        <v>-0.1812</v>
      </c>
      <c r="BI58" s="230">
        <v>1901</v>
      </c>
      <c r="BJ58" s="230">
        <v>3799</v>
      </c>
      <c r="BK58" s="230">
        <v>-1898</v>
      </c>
      <c r="BL58" s="229">
        <v>-0.4995</v>
      </c>
      <c r="BM58" s="228">
        <v>994</v>
      </c>
      <c r="BN58" s="230">
        <v>1756</v>
      </c>
      <c r="BO58" s="228">
        <v>-762</v>
      </c>
      <c r="BP58" s="229">
        <v>-0.43380000000000002</v>
      </c>
      <c r="BQ58" s="230">
        <v>3779</v>
      </c>
      <c r="BR58" s="230">
        <v>6811</v>
      </c>
      <c r="BS58" s="230">
        <v>-3032</v>
      </c>
      <c r="BT58" s="229">
        <v>-0.44519999999999998</v>
      </c>
      <c r="BU58" s="230">
        <v>723006</v>
      </c>
      <c r="BV58" s="230">
        <v>1069359</v>
      </c>
      <c r="BW58" s="230">
        <v>-346353</v>
      </c>
      <c r="BX58" s="229">
        <v>-0.32390000000000002</v>
      </c>
      <c r="BY58" s="230">
        <v>3235</v>
      </c>
      <c r="BZ58" s="230">
        <v>3193</v>
      </c>
      <c r="CA58" s="228">
        <v>42</v>
      </c>
      <c r="CB58" s="229">
        <v>1.3299999999999999E-2</v>
      </c>
      <c r="CC58" s="230">
        <v>2928</v>
      </c>
      <c r="CD58" s="230">
        <v>2923</v>
      </c>
      <c r="CE58" s="228">
        <v>5</v>
      </c>
      <c r="CF58" s="229">
        <v>1.6999999999999999E-3</v>
      </c>
      <c r="CG58" s="228">
        <v>283</v>
      </c>
      <c r="CH58" s="228">
        <v>249</v>
      </c>
      <c r="CI58" s="228">
        <v>35</v>
      </c>
      <c r="CJ58" s="229">
        <v>0.14000000000000001</v>
      </c>
      <c r="CK58" s="228">
        <v>24</v>
      </c>
      <c r="CL58" s="228">
        <v>21</v>
      </c>
      <c r="CM58" s="228">
        <v>3</v>
      </c>
      <c r="CN58" s="229">
        <v>0.1263</v>
      </c>
      <c r="CO58" s="230">
        <v>1745</v>
      </c>
      <c r="CP58" s="230">
        <v>1767</v>
      </c>
      <c r="CQ58" s="228">
        <v>-22</v>
      </c>
      <c r="CR58" s="229">
        <v>-1.26E-2</v>
      </c>
      <c r="CS58" s="230">
        <v>1347</v>
      </c>
      <c r="CT58" s="230">
        <v>1309</v>
      </c>
      <c r="CU58" s="228">
        <v>38</v>
      </c>
      <c r="CV58" s="229">
        <v>2.9000000000000001E-2</v>
      </c>
      <c r="CW58" s="230">
        <v>6327</v>
      </c>
      <c r="CX58" s="230">
        <v>6269</v>
      </c>
      <c r="CY58" s="228">
        <v>58</v>
      </c>
      <c r="CZ58" s="229">
        <v>9.1999999999999998E-3</v>
      </c>
      <c r="DA58" s="228">
        <v>51.46</v>
      </c>
      <c r="DB58" s="228">
        <v>51.63</v>
      </c>
      <c r="DC58" s="228">
        <v>-0.17</v>
      </c>
      <c r="DD58" s="228">
        <v>-0.17</v>
      </c>
      <c r="DE58" s="228">
        <v>49.34</v>
      </c>
      <c r="DF58" s="228">
        <v>49.46</v>
      </c>
      <c r="DG58" s="228">
        <v>2.12</v>
      </c>
      <c r="DH58" s="228">
        <v>-0.12</v>
      </c>
      <c r="DI58" s="228">
        <v>50.38</v>
      </c>
      <c r="DJ58" s="228">
        <v>50.48</v>
      </c>
      <c r="DK58" s="228">
        <v>-0.1</v>
      </c>
      <c r="DL58" s="228">
        <v>-0.1</v>
      </c>
      <c r="DM58" s="228">
        <v>53.53</v>
      </c>
      <c r="DN58" s="228">
        <v>54.13</v>
      </c>
      <c r="DO58" s="228">
        <v>-0.6</v>
      </c>
      <c r="DP58" s="228">
        <v>-0.6</v>
      </c>
      <c r="DQ58" s="228">
        <v>0.77</v>
      </c>
      <c r="DR58" s="228">
        <v>0.74</v>
      </c>
      <c r="DS58" s="228">
        <v>0.03</v>
      </c>
      <c r="DT58" s="229">
        <v>4.0500000000000001E-2</v>
      </c>
      <c r="DU58" s="231">
        <v>11000</v>
      </c>
      <c r="DV58" s="231">
        <v>10000</v>
      </c>
      <c r="DW58" s="228">
        <v>0.52</v>
      </c>
      <c r="DX58" s="228">
        <v>0.46</v>
      </c>
      <c r="DY58" s="228">
        <v>0.06</v>
      </c>
      <c r="DZ58" s="229">
        <v>0.13039999999999999</v>
      </c>
      <c r="EA58" s="229">
        <v>9.4899999999999998E-2</v>
      </c>
      <c r="EB58" s="230">
        <v>253050</v>
      </c>
      <c r="EC58" s="229">
        <v>-3.3999999999999998E-3</v>
      </c>
      <c r="ED58" s="229">
        <v>9.4899999999999998E-2</v>
      </c>
      <c r="EE58" s="228">
        <v>-52.34</v>
      </c>
      <c r="EF58" s="229">
        <v>-4.8999999999999998E-3</v>
      </c>
      <c r="EG58" s="230">
        <v>152381</v>
      </c>
      <c r="EH58" s="230">
        <v>378394</v>
      </c>
      <c r="EI58" s="229">
        <v>-0.59730000000000005</v>
      </c>
      <c r="EJ58" s="229">
        <v>0.21079999999999999</v>
      </c>
      <c r="EK58" s="231">
        <v>2045.35</v>
      </c>
      <c r="EL58" s="228">
        <v>970.77</v>
      </c>
      <c r="EM58" s="228">
        <v>877.67</v>
      </c>
      <c r="EN58" s="228">
        <v>236.5</v>
      </c>
      <c r="EO58" s="231">
        <v>3893.79</v>
      </c>
      <c r="EP58" s="231">
        <v>6993.8</v>
      </c>
      <c r="EQ58" s="231">
        <v>-3100.02</v>
      </c>
      <c r="ER58" s="229">
        <v>-0.44330000000000003</v>
      </c>
      <c r="ES58" s="231">
        <v>1787.59</v>
      </c>
      <c r="ET58" s="231">
        <v>1248.02</v>
      </c>
      <c r="EU58" s="231">
        <v>3234.01</v>
      </c>
      <c r="EV58" s="231">
        <v>6478285</v>
      </c>
      <c r="EW58" s="231">
        <v>6269.61</v>
      </c>
      <c r="EX58" s="231">
        <v>6214.22</v>
      </c>
      <c r="EY58" s="228">
        <v>55.39</v>
      </c>
      <c r="EZ58" s="229">
        <v>8.8999999999999999E-3</v>
      </c>
      <c r="FA58" s="229">
        <v>0.91639999999999999</v>
      </c>
      <c r="FB58" s="227" t="s">
        <v>566</v>
      </c>
      <c r="FC58">
        <f t="shared" si="0"/>
        <v>307</v>
      </c>
    </row>
    <row r="59" spans="1:159" ht="17.25" thickBot="1" x14ac:dyDescent="0.3">
      <c r="A59" s="226">
        <v>46121</v>
      </c>
      <c r="B59" s="227" t="s">
        <v>206</v>
      </c>
      <c r="C59" s="227" t="s">
        <v>207</v>
      </c>
      <c r="D59" s="228">
        <v>825</v>
      </c>
      <c r="E59" s="228">
        <v>19</v>
      </c>
      <c r="F59" s="228">
        <v>564.79999999999995</v>
      </c>
      <c r="G59" s="228">
        <v>575.04999999999995</v>
      </c>
      <c r="H59" s="228">
        <v>-10.25</v>
      </c>
      <c r="I59" s="229">
        <v>-1.78E-2</v>
      </c>
      <c r="J59" s="228">
        <v>562.95000000000005</v>
      </c>
      <c r="K59" s="228">
        <v>572.85</v>
      </c>
      <c r="L59" s="228">
        <v>-9.9</v>
      </c>
      <c r="M59" s="229">
        <v>-1.7299999999999999E-2</v>
      </c>
      <c r="N59" s="228">
        <v>564.79999999999995</v>
      </c>
      <c r="O59" s="228">
        <v>575.04999999999995</v>
      </c>
      <c r="P59" s="228">
        <v>-10.25</v>
      </c>
      <c r="Q59" s="229">
        <v>-1.78E-2</v>
      </c>
      <c r="R59" s="228">
        <v>569.1</v>
      </c>
      <c r="S59" s="228">
        <v>578.6</v>
      </c>
      <c r="T59" s="228">
        <v>-9.5</v>
      </c>
      <c r="U59" s="229">
        <v>-1.6400000000000001E-2</v>
      </c>
      <c r="V59" s="228">
        <v>572.1</v>
      </c>
      <c r="W59" s="228">
        <v>579.15</v>
      </c>
      <c r="X59" s="228">
        <v>-7.05</v>
      </c>
      <c r="Y59" s="229">
        <v>-1.2200000000000001E-2</v>
      </c>
      <c r="Z59" s="228">
        <v>1.85</v>
      </c>
      <c r="AA59" s="228">
        <v>2.2000000000000002</v>
      </c>
      <c r="AB59" s="228">
        <v>-0.35</v>
      </c>
      <c r="AC59" s="229">
        <v>3.3E-3</v>
      </c>
      <c r="AD59" s="228">
        <v>1.85</v>
      </c>
      <c r="AE59" s="228">
        <v>2.2000000000000002</v>
      </c>
      <c r="AF59" s="228">
        <v>-0.35</v>
      </c>
      <c r="AG59" s="229">
        <v>3.3E-3</v>
      </c>
      <c r="AH59" s="228">
        <v>6.15</v>
      </c>
      <c r="AI59" s="228">
        <v>5.75</v>
      </c>
      <c r="AJ59" s="228">
        <v>0.4</v>
      </c>
      <c r="AK59" s="229">
        <v>1.09E-2</v>
      </c>
      <c r="AL59" s="228">
        <v>9.15</v>
      </c>
      <c r="AM59" s="228">
        <v>6.3</v>
      </c>
      <c r="AN59" s="228">
        <v>2.85</v>
      </c>
      <c r="AO59" s="229">
        <v>1.6299999999999999E-2</v>
      </c>
      <c r="AP59" s="228">
        <v>566.62</v>
      </c>
      <c r="AQ59" s="228">
        <v>570.27</v>
      </c>
      <c r="AR59" s="228">
        <v>0</v>
      </c>
      <c r="AS59" s="228">
        <v>271</v>
      </c>
      <c r="AT59" s="228">
        <v>626</v>
      </c>
      <c r="AU59" s="228">
        <v>-355</v>
      </c>
      <c r="AV59" s="229">
        <v>-0.56720000000000004</v>
      </c>
      <c r="AW59" s="228">
        <v>250</v>
      </c>
      <c r="AX59" s="228">
        <v>596</v>
      </c>
      <c r="AY59" s="228">
        <v>-345</v>
      </c>
      <c r="AZ59" s="229">
        <v>-0.57950000000000002</v>
      </c>
      <c r="BA59" s="228">
        <v>17</v>
      </c>
      <c r="BB59" s="228">
        <v>26</v>
      </c>
      <c r="BC59" s="228">
        <v>-9</v>
      </c>
      <c r="BD59" s="229">
        <v>-0.34179999999999999</v>
      </c>
      <c r="BE59" s="228">
        <v>4</v>
      </c>
      <c r="BF59" s="228">
        <v>5</v>
      </c>
      <c r="BG59" s="228">
        <v>-1</v>
      </c>
      <c r="BH59" s="229">
        <v>-0.25490000000000002</v>
      </c>
      <c r="BI59" s="228">
        <v>568</v>
      </c>
      <c r="BJ59" s="230">
        <v>1253</v>
      </c>
      <c r="BK59" s="228">
        <v>-685</v>
      </c>
      <c r="BL59" s="229">
        <v>-0.54690000000000005</v>
      </c>
      <c r="BM59" s="228">
        <v>356</v>
      </c>
      <c r="BN59" s="228">
        <v>774</v>
      </c>
      <c r="BO59" s="228">
        <v>-418</v>
      </c>
      <c r="BP59" s="229">
        <v>-0.54020000000000001</v>
      </c>
      <c r="BQ59" s="230">
        <v>1195</v>
      </c>
      <c r="BR59" s="230">
        <v>2653</v>
      </c>
      <c r="BS59" s="230">
        <v>-1459</v>
      </c>
      <c r="BT59" s="229">
        <v>-0.54969999999999997</v>
      </c>
      <c r="BU59" s="230">
        <v>4504771</v>
      </c>
      <c r="BV59" s="230">
        <v>15053396</v>
      </c>
      <c r="BW59" s="230">
        <v>-10548625</v>
      </c>
      <c r="BX59" s="229">
        <v>-0.70069999999999999</v>
      </c>
      <c r="BY59" s="230">
        <v>3071</v>
      </c>
      <c r="BZ59" s="230">
        <v>3070</v>
      </c>
      <c r="CA59" s="228">
        <v>2</v>
      </c>
      <c r="CB59" s="229">
        <v>5.0000000000000001E-4</v>
      </c>
      <c r="CC59" s="230">
        <v>2901</v>
      </c>
      <c r="CD59" s="230">
        <v>2906</v>
      </c>
      <c r="CE59" s="228">
        <v>-5</v>
      </c>
      <c r="CF59" s="229">
        <v>-1.6999999999999999E-3</v>
      </c>
      <c r="CG59" s="228">
        <v>166</v>
      </c>
      <c r="CH59" s="228">
        <v>161</v>
      </c>
      <c r="CI59" s="228">
        <v>5</v>
      </c>
      <c r="CJ59" s="229">
        <v>2.9000000000000001E-2</v>
      </c>
      <c r="CK59" s="228">
        <v>5</v>
      </c>
      <c r="CL59" s="228">
        <v>3</v>
      </c>
      <c r="CM59" s="228">
        <v>2</v>
      </c>
      <c r="CN59" s="229">
        <v>0.60940000000000005</v>
      </c>
      <c r="CO59" s="228">
        <v>539</v>
      </c>
      <c r="CP59" s="228">
        <v>513</v>
      </c>
      <c r="CQ59" s="228">
        <v>25</v>
      </c>
      <c r="CR59" s="229">
        <v>4.9000000000000002E-2</v>
      </c>
      <c r="CS59" s="228">
        <v>531</v>
      </c>
      <c r="CT59" s="228">
        <v>518</v>
      </c>
      <c r="CU59" s="228">
        <v>13</v>
      </c>
      <c r="CV59" s="229">
        <v>2.4899999999999999E-2</v>
      </c>
      <c r="CW59" s="230">
        <v>4141</v>
      </c>
      <c r="CX59" s="230">
        <v>4101</v>
      </c>
      <c r="CY59" s="228">
        <v>40</v>
      </c>
      <c r="CZ59" s="229">
        <v>9.7000000000000003E-3</v>
      </c>
      <c r="DA59" s="228">
        <v>36.520000000000003</v>
      </c>
      <c r="DB59" s="228">
        <v>36.92</v>
      </c>
      <c r="DC59" s="228">
        <v>-0.4</v>
      </c>
      <c r="DD59" s="228">
        <v>-0.4</v>
      </c>
      <c r="DE59" s="228">
        <v>38.130000000000003</v>
      </c>
      <c r="DF59" s="228">
        <v>38.15</v>
      </c>
      <c r="DG59" s="228">
        <v>-1.61</v>
      </c>
      <c r="DH59" s="228">
        <v>-0.02</v>
      </c>
      <c r="DI59" s="228">
        <v>36.270000000000003</v>
      </c>
      <c r="DJ59" s="228">
        <v>35.92</v>
      </c>
      <c r="DK59" s="228">
        <v>0.35</v>
      </c>
      <c r="DL59" s="228">
        <v>0.35</v>
      </c>
      <c r="DM59" s="228">
        <v>36.92</v>
      </c>
      <c r="DN59" s="228">
        <v>38.53</v>
      </c>
      <c r="DO59" s="228">
        <v>-1.61</v>
      </c>
      <c r="DP59" s="228">
        <v>-1.61</v>
      </c>
      <c r="DQ59" s="228">
        <v>0.99</v>
      </c>
      <c r="DR59" s="228">
        <v>1.01</v>
      </c>
      <c r="DS59" s="228">
        <v>-0.02</v>
      </c>
      <c r="DT59" s="229">
        <v>-1.9800000000000002E-2</v>
      </c>
      <c r="DU59" s="228">
        <v>600</v>
      </c>
      <c r="DV59" s="228">
        <v>550</v>
      </c>
      <c r="DW59" s="228">
        <v>0.63</v>
      </c>
      <c r="DX59" s="228">
        <v>0.62</v>
      </c>
      <c r="DY59" s="228">
        <v>0.01</v>
      </c>
      <c r="DZ59" s="229">
        <v>1.61E-2</v>
      </c>
      <c r="EA59" s="229">
        <v>5.5500000000000001E-2</v>
      </c>
      <c r="EB59" s="230">
        <v>2900700</v>
      </c>
      <c r="EC59" s="229">
        <v>7.6E-3</v>
      </c>
      <c r="ED59" s="229">
        <v>5.5500000000000001E-2</v>
      </c>
      <c r="EE59" s="228">
        <v>3.65</v>
      </c>
      <c r="EF59" s="229">
        <v>6.4000000000000003E-3</v>
      </c>
      <c r="EG59" s="230">
        <v>1894472</v>
      </c>
      <c r="EH59" s="230">
        <v>8476771</v>
      </c>
      <c r="EI59" s="229">
        <v>-0.77649999999999997</v>
      </c>
      <c r="EJ59" s="229">
        <v>0.42049999999999998</v>
      </c>
      <c r="EK59" s="228">
        <v>602.04</v>
      </c>
      <c r="EL59" s="228">
        <v>352.89</v>
      </c>
      <c r="EM59" s="228">
        <v>271.97000000000003</v>
      </c>
      <c r="EN59" s="228">
        <v>91.98</v>
      </c>
      <c r="EO59" s="231">
        <v>1226.9000000000001</v>
      </c>
      <c r="EP59" s="231">
        <v>2714.05</v>
      </c>
      <c r="EQ59" s="231">
        <v>-1487.15</v>
      </c>
      <c r="ER59" s="229">
        <v>-0.54790000000000005</v>
      </c>
      <c r="ES59" s="228">
        <v>548.04999999999995</v>
      </c>
      <c r="ET59" s="228">
        <v>505.42</v>
      </c>
      <c r="EU59" s="231">
        <v>3072.65</v>
      </c>
      <c r="EV59" s="231">
        <v>96251298</v>
      </c>
      <c r="EW59" s="231">
        <v>4126.12</v>
      </c>
      <c r="EX59" s="231">
        <v>4139.75</v>
      </c>
      <c r="EY59" s="228">
        <v>-13.63</v>
      </c>
      <c r="EZ59" s="229">
        <v>-3.3E-3</v>
      </c>
      <c r="FA59" s="229">
        <v>0.76180000000000003</v>
      </c>
      <c r="FB59" s="227" t="s">
        <v>566</v>
      </c>
      <c r="FC59">
        <f t="shared" si="0"/>
        <v>170</v>
      </c>
    </row>
    <row r="60" spans="1:159" ht="17.25" thickBot="1" x14ac:dyDescent="0.3">
      <c r="A60" s="226">
        <v>46121</v>
      </c>
      <c r="B60" s="227" t="s">
        <v>614</v>
      </c>
      <c r="C60" s="227" t="s">
        <v>582</v>
      </c>
      <c r="D60" s="228">
        <v>150</v>
      </c>
      <c r="E60" s="228">
        <v>19</v>
      </c>
      <c r="F60" s="231">
        <v>4431.3</v>
      </c>
      <c r="G60" s="231">
        <v>4383.8</v>
      </c>
      <c r="H60" s="228">
        <v>47.5</v>
      </c>
      <c r="I60" s="229">
        <v>1.0800000000000001E-2</v>
      </c>
      <c r="J60" s="231">
        <v>4415.6000000000004</v>
      </c>
      <c r="K60" s="231">
        <v>4368.8</v>
      </c>
      <c r="L60" s="228">
        <v>46.8</v>
      </c>
      <c r="M60" s="229">
        <v>1.0699999999999999E-2</v>
      </c>
      <c r="N60" s="231">
        <v>4431.3</v>
      </c>
      <c r="O60" s="231">
        <v>4383.8</v>
      </c>
      <c r="P60" s="228">
        <v>47.5</v>
      </c>
      <c r="Q60" s="229">
        <v>1.0800000000000001E-2</v>
      </c>
      <c r="R60" s="231">
        <v>4423.8</v>
      </c>
      <c r="S60" s="231">
        <v>4378.1000000000004</v>
      </c>
      <c r="T60" s="228">
        <v>45.7</v>
      </c>
      <c r="U60" s="229">
        <v>1.04E-2</v>
      </c>
      <c r="V60" s="231">
        <v>4412</v>
      </c>
      <c r="W60" s="231">
        <v>4379.7</v>
      </c>
      <c r="X60" s="228">
        <v>32.299999999999997</v>
      </c>
      <c r="Y60" s="229">
        <v>7.4000000000000003E-3</v>
      </c>
      <c r="Z60" s="228">
        <v>15.7</v>
      </c>
      <c r="AA60" s="228">
        <v>15</v>
      </c>
      <c r="AB60" s="228">
        <v>0.7</v>
      </c>
      <c r="AC60" s="229">
        <v>3.5999999999999999E-3</v>
      </c>
      <c r="AD60" s="228">
        <v>15.7</v>
      </c>
      <c r="AE60" s="228">
        <v>15</v>
      </c>
      <c r="AF60" s="228">
        <v>0.7</v>
      </c>
      <c r="AG60" s="229">
        <v>3.5999999999999999E-3</v>
      </c>
      <c r="AH60" s="228">
        <v>8.1999999999999993</v>
      </c>
      <c r="AI60" s="228">
        <v>9.3000000000000007</v>
      </c>
      <c r="AJ60" s="228">
        <v>-1.1000000000000001</v>
      </c>
      <c r="AK60" s="229">
        <v>1.9E-3</v>
      </c>
      <c r="AL60" s="228">
        <v>-3.6</v>
      </c>
      <c r="AM60" s="228">
        <v>10.9</v>
      </c>
      <c r="AN60" s="228">
        <v>-14.5</v>
      </c>
      <c r="AO60" s="229">
        <v>-8.0000000000000004E-4</v>
      </c>
      <c r="AP60" s="231">
        <v>4415.7</v>
      </c>
      <c r="AQ60" s="231">
        <v>4400.4399999999996</v>
      </c>
      <c r="AR60" s="228">
        <v>0</v>
      </c>
      <c r="AS60" s="228">
        <v>306</v>
      </c>
      <c r="AT60" s="228">
        <v>621</v>
      </c>
      <c r="AU60" s="228">
        <v>-315</v>
      </c>
      <c r="AV60" s="229">
        <v>-0.5071</v>
      </c>
      <c r="AW60" s="228">
        <v>294</v>
      </c>
      <c r="AX60" s="228">
        <v>591</v>
      </c>
      <c r="AY60" s="228">
        <v>-297</v>
      </c>
      <c r="AZ60" s="229">
        <v>-0.50239999999999996</v>
      </c>
      <c r="BA60" s="228">
        <v>11</v>
      </c>
      <c r="BB60" s="228">
        <v>25</v>
      </c>
      <c r="BC60" s="228">
        <v>-14</v>
      </c>
      <c r="BD60" s="229">
        <v>-0.56320000000000003</v>
      </c>
      <c r="BE60" s="228">
        <v>1</v>
      </c>
      <c r="BF60" s="228">
        <v>5</v>
      </c>
      <c r="BG60" s="228">
        <v>-4</v>
      </c>
      <c r="BH60" s="229">
        <v>-0.76539999999999997</v>
      </c>
      <c r="BI60" s="228">
        <v>861</v>
      </c>
      <c r="BJ60" s="230">
        <v>1478</v>
      </c>
      <c r="BK60" s="228">
        <v>-617</v>
      </c>
      <c r="BL60" s="229">
        <v>-0.41770000000000002</v>
      </c>
      <c r="BM60" s="228">
        <v>502</v>
      </c>
      <c r="BN60" s="228">
        <v>928</v>
      </c>
      <c r="BO60" s="228">
        <v>-426</v>
      </c>
      <c r="BP60" s="229">
        <v>-0.4592</v>
      </c>
      <c r="BQ60" s="230">
        <v>1668</v>
      </c>
      <c r="BR60" s="230">
        <v>3027</v>
      </c>
      <c r="BS60" s="230">
        <v>-1358</v>
      </c>
      <c r="BT60" s="229">
        <v>-0.44879999999999998</v>
      </c>
      <c r="BU60" s="230">
        <v>579291</v>
      </c>
      <c r="BV60" s="230">
        <v>1141030</v>
      </c>
      <c r="BW60" s="230">
        <v>-561739</v>
      </c>
      <c r="BX60" s="229">
        <v>-0.49230000000000002</v>
      </c>
      <c r="BY60" s="230">
        <v>1859</v>
      </c>
      <c r="BZ60" s="230">
        <v>1877</v>
      </c>
      <c r="CA60" s="228">
        <v>-18</v>
      </c>
      <c r="CB60" s="229">
        <v>-9.5999999999999992E-3</v>
      </c>
      <c r="CC60" s="230">
        <v>1819</v>
      </c>
      <c r="CD60" s="230">
        <v>1838</v>
      </c>
      <c r="CE60" s="228">
        <v>-19</v>
      </c>
      <c r="CF60" s="229">
        <v>-1.03E-2</v>
      </c>
      <c r="CG60" s="228">
        <v>34</v>
      </c>
      <c r="CH60" s="228">
        <v>34</v>
      </c>
      <c r="CI60" s="228">
        <v>1</v>
      </c>
      <c r="CJ60" s="229">
        <v>2.18E-2</v>
      </c>
      <c r="CK60" s="228">
        <v>6</v>
      </c>
      <c r="CL60" s="228">
        <v>5</v>
      </c>
      <c r="CM60" s="228">
        <v>0</v>
      </c>
      <c r="CN60" s="229">
        <v>4.9399999999999999E-2</v>
      </c>
      <c r="CO60" s="228">
        <v>774</v>
      </c>
      <c r="CP60" s="228">
        <v>816</v>
      </c>
      <c r="CQ60" s="228">
        <v>-42</v>
      </c>
      <c r="CR60" s="229">
        <v>-5.1900000000000002E-2</v>
      </c>
      <c r="CS60" s="228">
        <v>626</v>
      </c>
      <c r="CT60" s="228">
        <v>682</v>
      </c>
      <c r="CU60" s="228">
        <v>-56</v>
      </c>
      <c r="CV60" s="229">
        <v>-8.2699999999999996E-2</v>
      </c>
      <c r="CW60" s="230">
        <v>3259</v>
      </c>
      <c r="CX60" s="230">
        <v>3376</v>
      </c>
      <c r="CY60" s="228">
        <v>-117</v>
      </c>
      <c r="CZ60" s="229">
        <v>-3.4599999999999999E-2</v>
      </c>
      <c r="DA60" s="228">
        <v>32.299999999999997</v>
      </c>
      <c r="DB60" s="228">
        <v>34.229999999999997</v>
      </c>
      <c r="DC60" s="228">
        <v>-1.93</v>
      </c>
      <c r="DD60" s="228">
        <v>-1.93</v>
      </c>
      <c r="DE60" s="228">
        <v>32.93</v>
      </c>
      <c r="DF60" s="228">
        <v>32.979999999999997</v>
      </c>
      <c r="DG60" s="228">
        <v>-0.63</v>
      </c>
      <c r="DH60" s="228">
        <v>-0.05</v>
      </c>
      <c r="DI60" s="228">
        <v>31.7</v>
      </c>
      <c r="DJ60" s="228">
        <v>33.840000000000003</v>
      </c>
      <c r="DK60" s="228">
        <v>-2.14</v>
      </c>
      <c r="DL60" s="228">
        <v>-2.14</v>
      </c>
      <c r="DM60" s="228">
        <v>33.340000000000003</v>
      </c>
      <c r="DN60" s="228">
        <v>34.840000000000003</v>
      </c>
      <c r="DO60" s="228">
        <v>-1.5</v>
      </c>
      <c r="DP60" s="228">
        <v>-1.5</v>
      </c>
      <c r="DQ60" s="228">
        <v>0.81</v>
      </c>
      <c r="DR60" s="228">
        <v>0.84</v>
      </c>
      <c r="DS60" s="228">
        <v>-0.03</v>
      </c>
      <c r="DT60" s="229">
        <v>-3.5700000000000003E-2</v>
      </c>
      <c r="DU60" s="231">
        <v>4500</v>
      </c>
      <c r="DV60" s="231">
        <v>3700</v>
      </c>
      <c r="DW60" s="228">
        <v>0.57999999999999996</v>
      </c>
      <c r="DX60" s="228">
        <v>0.63</v>
      </c>
      <c r="DY60" s="228">
        <v>-0.05</v>
      </c>
      <c r="DZ60" s="229">
        <v>-7.9399999999999998E-2</v>
      </c>
      <c r="EA60" s="229">
        <v>2.1499999999999998E-2</v>
      </c>
      <c r="EB60" s="230">
        <v>87900</v>
      </c>
      <c r="EC60" s="229">
        <v>-1.6999999999999999E-3</v>
      </c>
      <c r="ED60" s="229">
        <v>2.1499999999999998E-2</v>
      </c>
      <c r="EE60" s="228">
        <v>-15.26</v>
      </c>
      <c r="EF60" s="229">
        <v>-3.5000000000000001E-3</v>
      </c>
      <c r="EG60" s="230">
        <v>280380</v>
      </c>
      <c r="EH60" s="230">
        <v>574059</v>
      </c>
      <c r="EI60" s="229">
        <v>-0.51160000000000005</v>
      </c>
      <c r="EJ60" s="229">
        <v>0.48399999999999999</v>
      </c>
      <c r="EK60" s="228">
        <v>905.46</v>
      </c>
      <c r="EL60" s="228">
        <v>489.52</v>
      </c>
      <c r="EM60" s="228">
        <v>305.04000000000002</v>
      </c>
      <c r="EN60" s="228">
        <v>84.6</v>
      </c>
      <c r="EO60" s="231">
        <v>1700.02</v>
      </c>
      <c r="EP60" s="231">
        <v>3094.4</v>
      </c>
      <c r="EQ60" s="231">
        <v>-1394.38</v>
      </c>
      <c r="ER60" s="229">
        <v>-0.4506</v>
      </c>
      <c r="ES60" s="228">
        <v>775.78</v>
      </c>
      <c r="ET60" s="228">
        <v>573.86</v>
      </c>
      <c r="EU60" s="231">
        <v>1858.87</v>
      </c>
      <c r="EV60" s="231">
        <v>16494391</v>
      </c>
      <c r="EW60" s="231">
        <v>3208.51</v>
      </c>
      <c r="EX60" s="231">
        <v>3302.97</v>
      </c>
      <c r="EY60" s="228">
        <v>-94.46</v>
      </c>
      <c r="EZ60" s="229">
        <v>-2.86E-2</v>
      </c>
      <c r="FA60" s="229">
        <v>0.44590000000000002</v>
      </c>
      <c r="FB60" s="227" t="s">
        <v>694</v>
      </c>
      <c r="FC60">
        <f t="shared" si="0"/>
        <v>40</v>
      </c>
    </row>
    <row r="61" spans="1:159" ht="17.25" thickBot="1" x14ac:dyDescent="0.3">
      <c r="A61" s="226">
        <v>46121</v>
      </c>
      <c r="B61" s="227" t="s">
        <v>170</v>
      </c>
      <c r="C61" s="227" t="s">
        <v>208</v>
      </c>
      <c r="D61" s="228">
        <v>625</v>
      </c>
      <c r="E61" s="228">
        <v>19</v>
      </c>
      <c r="F61" s="231">
        <v>1216.9000000000001</v>
      </c>
      <c r="G61" s="231">
        <v>1193</v>
      </c>
      <c r="H61" s="228">
        <v>23.9</v>
      </c>
      <c r="I61" s="229">
        <v>0.02</v>
      </c>
      <c r="J61" s="231">
        <v>1211.9000000000001</v>
      </c>
      <c r="K61" s="231">
        <v>1191.4000000000001</v>
      </c>
      <c r="L61" s="228">
        <v>20.5</v>
      </c>
      <c r="M61" s="229">
        <v>1.72E-2</v>
      </c>
      <c r="N61" s="231">
        <v>1216.9000000000001</v>
      </c>
      <c r="O61" s="231">
        <v>1193</v>
      </c>
      <c r="P61" s="228">
        <v>23.9</v>
      </c>
      <c r="Q61" s="229">
        <v>0.02</v>
      </c>
      <c r="R61" s="231">
        <v>1221.9000000000001</v>
      </c>
      <c r="S61" s="231">
        <v>1198.2</v>
      </c>
      <c r="T61" s="228">
        <v>23.7</v>
      </c>
      <c r="U61" s="229">
        <v>1.9800000000000002E-2</v>
      </c>
      <c r="V61" s="231">
        <v>1228.3</v>
      </c>
      <c r="W61" s="231">
        <v>1204.3</v>
      </c>
      <c r="X61" s="228">
        <v>24</v>
      </c>
      <c r="Y61" s="229">
        <v>1.9900000000000001E-2</v>
      </c>
      <c r="Z61" s="228">
        <v>5</v>
      </c>
      <c r="AA61" s="228">
        <v>1.6</v>
      </c>
      <c r="AB61" s="228">
        <v>3.4</v>
      </c>
      <c r="AC61" s="229">
        <v>4.1000000000000003E-3</v>
      </c>
      <c r="AD61" s="228">
        <v>5</v>
      </c>
      <c r="AE61" s="228">
        <v>1.6</v>
      </c>
      <c r="AF61" s="228">
        <v>3.4</v>
      </c>
      <c r="AG61" s="229">
        <v>4.1000000000000003E-3</v>
      </c>
      <c r="AH61" s="228">
        <v>10</v>
      </c>
      <c r="AI61" s="228">
        <v>6.8</v>
      </c>
      <c r="AJ61" s="228">
        <v>3.2</v>
      </c>
      <c r="AK61" s="229">
        <v>8.3000000000000001E-3</v>
      </c>
      <c r="AL61" s="228">
        <v>16.399999999999999</v>
      </c>
      <c r="AM61" s="228">
        <v>12.9</v>
      </c>
      <c r="AN61" s="228">
        <v>3.5</v>
      </c>
      <c r="AO61" s="229">
        <v>1.35E-2</v>
      </c>
      <c r="AP61" s="231">
        <v>1210.9000000000001</v>
      </c>
      <c r="AQ61" s="231">
        <v>1215.02</v>
      </c>
      <c r="AR61" s="228">
        <v>0</v>
      </c>
      <c r="AS61" s="228">
        <v>329</v>
      </c>
      <c r="AT61" s="228">
        <v>413</v>
      </c>
      <c r="AU61" s="228">
        <v>-84</v>
      </c>
      <c r="AV61" s="229">
        <v>-0.20369999999999999</v>
      </c>
      <c r="AW61" s="228">
        <v>309</v>
      </c>
      <c r="AX61" s="228">
        <v>388</v>
      </c>
      <c r="AY61" s="228">
        <v>-78</v>
      </c>
      <c r="AZ61" s="229">
        <v>-0.20150000000000001</v>
      </c>
      <c r="BA61" s="228">
        <v>16</v>
      </c>
      <c r="BB61" s="228">
        <v>24</v>
      </c>
      <c r="BC61" s="228">
        <v>-8</v>
      </c>
      <c r="BD61" s="229">
        <v>-0.31430000000000002</v>
      </c>
      <c r="BE61" s="228">
        <v>3</v>
      </c>
      <c r="BF61" s="228">
        <v>2</v>
      </c>
      <c r="BG61" s="228">
        <v>1</v>
      </c>
      <c r="BH61" s="229">
        <v>0.79169999999999996</v>
      </c>
      <c r="BI61" s="230">
        <v>1016</v>
      </c>
      <c r="BJ61" s="230">
        <v>1014</v>
      </c>
      <c r="BK61" s="228">
        <v>2</v>
      </c>
      <c r="BL61" s="229">
        <v>1.6999999999999999E-3</v>
      </c>
      <c r="BM61" s="228">
        <v>685</v>
      </c>
      <c r="BN61" s="228">
        <v>602</v>
      </c>
      <c r="BO61" s="228">
        <v>83</v>
      </c>
      <c r="BP61" s="229">
        <v>0.13750000000000001</v>
      </c>
      <c r="BQ61" s="230">
        <v>2030</v>
      </c>
      <c r="BR61" s="230">
        <v>2029</v>
      </c>
      <c r="BS61" s="228">
        <v>0</v>
      </c>
      <c r="BT61" s="229">
        <v>1E-4</v>
      </c>
      <c r="BU61" s="230">
        <v>2822468</v>
      </c>
      <c r="BV61" s="230">
        <v>2493528</v>
      </c>
      <c r="BW61" s="230">
        <v>328940</v>
      </c>
      <c r="BX61" s="229">
        <v>0.13189999999999999</v>
      </c>
      <c r="BY61" s="230">
        <v>1632</v>
      </c>
      <c r="BZ61" s="230">
        <v>1668</v>
      </c>
      <c r="CA61" s="228">
        <v>-36</v>
      </c>
      <c r="CB61" s="229">
        <v>-2.1700000000000001E-2</v>
      </c>
      <c r="CC61" s="230">
        <v>1581</v>
      </c>
      <c r="CD61" s="230">
        <v>1614</v>
      </c>
      <c r="CE61" s="228">
        <v>-33</v>
      </c>
      <c r="CF61" s="229">
        <v>-2.0500000000000001E-2</v>
      </c>
      <c r="CG61" s="228">
        <v>42</v>
      </c>
      <c r="CH61" s="228">
        <v>44</v>
      </c>
      <c r="CI61" s="228">
        <v>-3</v>
      </c>
      <c r="CJ61" s="229">
        <v>-5.8099999999999999E-2</v>
      </c>
      <c r="CK61" s="228">
        <v>10</v>
      </c>
      <c r="CL61" s="228">
        <v>10</v>
      </c>
      <c r="CM61" s="228">
        <v>-1</v>
      </c>
      <c r="CN61" s="229">
        <v>-5.2200000000000003E-2</v>
      </c>
      <c r="CO61" s="228">
        <v>693</v>
      </c>
      <c r="CP61" s="228">
        <v>785</v>
      </c>
      <c r="CQ61" s="228">
        <v>-92</v>
      </c>
      <c r="CR61" s="229">
        <v>-0.11749999999999999</v>
      </c>
      <c r="CS61" s="228">
        <v>530</v>
      </c>
      <c r="CT61" s="228">
        <v>621</v>
      </c>
      <c r="CU61" s="228">
        <v>-91</v>
      </c>
      <c r="CV61" s="229">
        <v>-0.14580000000000001</v>
      </c>
      <c r="CW61" s="230">
        <v>2855</v>
      </c>
      <c r="CX61" s="230">
        <v>3074</v>
      </c>
      <c r="CY61" s="228">
        <v>-219</v>
      </c>
      <c r="CZ61" s="229">
        <v>-7.1300000000000002E-2</v>
      </c>
      <c r="DA61" s="228">
        <v>26.7</v>
      </c>
      <c r="DB61" s="228">
        <v>28.07</v>
      </c>
      <c r="DC61" s="228">
        <v>-1.37</v>
      </c>
      <c r="DD61" s="228">
        <v>-1.37</v>
      </c>
      <c r="DE61" s="228">
        <v>26.14</v>
      </c>
      <c r="DF61" s="228">
        <v>26.11</v>
      </c>
      <c r="DG61" s="228">
        <v>0.56000000000000005</v>
      </c>
      <c r="DH61" s="228">
        <v>0.03</v>
      </c>
      <c r="DI61" s="228">
        <v>25.77</v>
      </c>
      <c r="DJ61" s="228">
        <v>27.93</v>
      </c>
      <c r="DK61" s="228">
        <v>-2.16</v>
      </c>
      <c r="DL61" s="228">
        <v>-2.16</v>
      </c>
      <c r="DM61" s="228">
        <v>28.07</v>
      </c>
      <c r="DN61" s="228">
        <v>28.32</v>
      </c>
      <c r="DO61" s="228">
        <v>-0.25</v>
      </c>
      <c r="DP61" s="228">
        <v>-0.25</v>
      </c>
      <c r="DQ61" s="228">
        <v>0.77</v>
      </c>
      <c r="DR61" s="228">
        <v>0.79</v>
      </c>
      <c r="DS61" s="228">
        <v>-0.02</v>
      </c>
      <c r="DT61" s="229">
        <v>-2.53E-2</v>
      </c>
      <c r="DU61" s="231">
        <v>1260</v>
      </c>
      <c r="DV61" s="231">
        <v>1200</v>
      </c>
      <c r="DW61" s="228">
        <v>0.67</v>
      </c>
      <c r="DX61" s="228">
        <v>0.59</v>
      </c>
      <c r="DY61" s="228">
        <v>0.08</v>
      </c>
      <c r="DZ61" s="229">
        <v>0.1356</v>
      </c>
      <c r="EA61" s="229">
        <v>3.1600000000000003E-2</v>
      </c>
      <c r="EB61" s="230">
        <v>449375</v>
      </c>
      <c r="EC61" s="229">
        <v>4.1000000000000003E-3</v>
      </c>
      <c r="ED61" s="229">
        <v>3.1600000000000003E-2</v>
      </c>
      <c r="EE61" s="228">
        <v>4.12</v>
      </c>
      <c r="EF61" s="229">
        <v>3.3999999999999998E-3</v>
      </c>
      <c r="EG61" s="230">
        <v>1753449</v>
      </c>
      <c r="EH61" s="230">
        <v>1474197</v>
      </c>
      <c r="EI61" s="229">
        <v>0.18940000000000001</v>
      </c>
      <c r="EJ61" s="229">
        <v>0.62119999999999997</v>
      </c>
      <c r="EK61" s="231">
        <v>1048.05</v>
      </c>
      <c r="EL61" s="228">
        <v>663.91</v>
      </c>
      <c r="EM61" s="228">
        <v>327.64</v>
      </c>
      <c r="EN61" s="228">
        <v>53.39</v>
      </c>
      <c r="EO61" s="231">
        <v>2039.59</v>
      </c>
      <c r="EP61" s="231">
        <v>2036.84</v>
      </c>
      <c r="EQ61" s="228">
        <v>2.75</v>
      </c>
      <c r="ER61" s="229">
        <v>1.4E-3</v>
      </c>
      <c r="ES61" s="228">
        <v>717.33</v>
      </c>
      <c r="ET61" s="228">
        <v>514.09</v>
      </c>
      <c r="EU61" s="231">
        <v>1632.35</v>
      </c>
      <c r="EV61" s="231">
        <v>61026255</v>
      </c>
      <c r="EW61" s="231">
        <v>2863.77</v>
      </c>
      <c r="EX61" s="231">
        <v>3043.98</v>
      </c>
      <c r="EY61" s="228">
        <v>-180.21</v>
      </c>
      <c r="EZ61" s="229">
        <v>-5.9200000000000003E-2</v>
      </c>
      <c r="FA61" s="229">
        <v>0.38450000000000001</v>
      </c>
      <c r="FB61" s="227" t="s">
        <v>694</v>
      </c>
      <c r="FC61">
        <f t="shared" si="0"/>
        <v>51</v>
      </c>
    </row>
    <row r="62" spans="1:159" ht="17.25" thickBot="1" x14ac:dyDescent="0.3">
      <c r="A62" s="226">
        <v>46121</v>
      </c>
      <c r="B62" s="227" t="s">
        <v>162</v>
      </c>
      <c r="C62" s="227" t="s">
        <v>209</v>
      </c>
      <c r="D62" s="228">
        <v>100</v>
      </c>
      <c r="E62" s="228">
        <v>19</v>
      </c>
      <c r="F62" s="231">
        <v>7161</v>
      </c>
      <c r="G62" s="231">
        <v>7163</v>
      </c>
      <c r="H62" s="228">
        <v>-2</v>
      </c>
      <c r="I62" s="229">
        <v>-2.9999999999999997E-4</v>
      </c>
      <c r="J62" s="231">
        <v>7147.5</v>
      </c>
      <c r="K62" s="231">
        <v>7131</v>
      </c>
      <c r="L62" s="228">
        <v>16.5</v>
      </c>
      <c r="M62" s="229">
        <v>2.3E-3</v>
      </c>
      <c r="N62" s="231">
        <v>7161</v>
      </c>
      <c r="O62" s="231">
        <v>7163</v>
      </c>
      <c r="P62" s="228">
        <v>-2</v>
      </c>
      <c r="Q62" s="229">
        <v>-2.9999999999999997E-4</v>
      </c>
      <c r="R62" s="231">
        <v>7202</v>
      </c>
      <c r="S62" s="231">
        <v>7200.5</v>
      </c>
      <c r="T62" s="228">
        <v>1.5</v>
      </c>
      <c r="U62" s="229">
        <v>2.0000000000000001E-4</v>
      </c>
      <c r="V62" s="231">
        <v>7236.5</v>
      </c>
      <c r="W62" s="231">
        <v>7235.5</v>
      </c>
      <c r="X62" s="228">
        <v>1</v>
      </c>
      <c r="Y62" s="229">
        <v>1E-4</v>
      </c>
      <c r="Z62" s="228">
        <v>13.5</v>
      </c>
      <c r="AA62" s="228">
        <v>32</v>
      </c>
      <c r="AB62" s="228">
        <v>-18.5</v>
      </c>
      <c r="AC62" s="229">
        <v>1.9E-3</v>
      </c>
      <c r="AD62" s="228">
        <v>13.5</v>
      </c>
      <c r="AE62" s="228">
        <v>32</v>
      </c>
      <c r="AF62" s="228">
        <v>-18.5</v>
      </c>
      <c r="AG62" s="229">
        <v>1.9E-3</v>
      </c>
      <c r="AH62" s="228">
        <v>54.5</v>
      </c>
      <c r="AI62" s="228">
        <v>69.5</v>
      </c>
      <c r="AJ62" s="228">
        <v>-15</v>
      </c>
      <c r="AK62" s="229">
        <v>7.6E-3</v>
      </c>
      <c r="AL62" s="228">
        <v>89</v>
      </c>
      <c r="AM62" s="228">
        <v>104.5</v>
      </c>
      <c r="AN62" s="228">
        <v>-15.5</v>
      </c>
      <c r="AO62" s="229">
        <v>1.2500000000000001E-2</v>
      </c>
      <c r="AP62" s="231">
        <v>7136.4</v>
      </c>
      <c r="AQ62" s="231">
        <v>7170.08</v>
      </c>
      <c r="AR62" s="228">
        <v>0</v>
      </c>
      <c r="AS62" s="228">
        <v>509</v>
      </c>
      <c r="AT62" s="228">
        <v>730</v>
      </c>
      <c r="AU62" s="228">
        <v>-222</v>
      </c>
      <c r="AV62" s="229">
        <v>-0.30349999999999999</v>
      </c>
      <c r="AW62" s="228">
        <v>453</v>
      </c>
      <c r="AX62" s="228">
        <v>694</v>
      </c>
      <c r="AY62" s="228">
        <v>-241</v>
      </c>
      <c r="AZ62" s="229">
        <v>-0.34699999999999998</v>
      </c>
      <c r="BA62" s="228">
        <v>17</v>
      </c>
      <c r="BB62" s="228">
        <v>33</v>
      </c>
      <c r="BC62" s="228">
        <v>-16</v>
      </c>
      <c r="BD62" s="229">
        <v>-0.48149999999999998</v>
      </c>
      <c r="BE62" s="228">
        <v>39</v>
      </c>
      <c r="BF62" s="228">
        <v>4</v>
      </c>
      <c r="BG62" s="228">
        <v>35</v>
      </c>
      <c r="BH62" s="229">
        <v>8.8544999999999998</v>
      </c>
      <c r="BI62" s="230">
        <v>1446</v>
      </c>
      <c r="BJ62" s="230">
        <v>3196</v>
      </c>
      <c r="BK62" s="230">
        <v>-1750</v>
      </c>
      <c r="BL62" s="229">
        <v>-0.5474</v>
      </c>
      <c r="BM62" s="230">
        <v>1136</v>
      </c>
      <c r="BN62" s="230">
        <v>1407</v>
      </c>
      <c r="BO62" s="228">
        <v>-271</v>
      </c>
      <c r="BP62" s="229">
        <v>-0.19239999999999999</v>
      </c>
      <c r="BQ62" s="230">
        <v>3091</v>
      </c>
      <c r="BR62" s="230">
        <v>5333</v>
      </c>
      <c r="BS62" s="230">
        <v>-2242</v>
      </c>
      <c r="BT62" s="229">
        <v>-0.4204</v>
      </c>
      <c r="BU62" s="230">
        <v>670487</v>
      </c>
      <c r="BV62" s="230">
        <v>964888</v>
      </c>
      <c r="BW62" s="230">
        <v>-294401</v>
      </c>
      <c r="BX62" s="229">
        <v>-0.30509999999999998</v>
      </c>
      <c r="BY62" s="230">
        <v>2990</v>
      </c>
      <c r="BZ62" s="230">
        <v>3050</v>
      </c>
      <c r="CA62" s="228">
        <v>-60</v>
      </c>
      <c r="CB62" s="229">
        <v>-1.9699999999999999E-2</v>
      </c>
      <c r="CC62" s="230">
        <v>2718</v>
      </c>
      <c r="CD62" s="230">
        <v>2817</v>
      </c>
      <c r="CE62" s="228">
        <v>-99</v>
      </c>
      <c r="CF62" s="229">
        <v>-3.5200000000000002E-2</v>
      </c>
      <c r="CG62" s="228">
        <v>180</v>
      </c>
      <c r="CH62" s="228">
        <v>177</v>
      </c>
      <c r="CI62" s="228">
        <v>3</v>
      </c>
      <c r="CJ62" s="229">
        <v>1.8200000000000001E-2</v>
      </c>
      <c r="CK62" s="228">
        <v>92</v>
      </c>
      <c r="CL62" s="228">
        <v>56</v>
      </c>
      <c r="CM62" s="228">
        <v>36</v>
      </c>
      <c r="CN62" s="229">
        <v>0.6452</v>
      </c>
      <c r="CO62" s="230">
        <v>1004</v>
      </c>
      <c r="CP62" s="228">
        <v>995</v>
      </c>
      <c r="CQ62" s="228">
        <v>9</v>
      </c>
      <c r="CR62" s="229">
        <v>9.2999999999999992E-3</v>
      </c>
      <c r="CS62" s="228">
        <v>883</v>
      </c>
      <c r="CT62" s="228">
        <v>773</v>
      </c>
      <c r="CU62" s="228">
        <v>110</v>
      </c>
      <c r="CV62" s="229">
        <v>0.14299999999999999</v>
      </c>
      <c r="CW62" s="230">
        <v>4877</v>
      </c>
      <c r="CX62" s="230">
        <v>4817</v>
      </c>
      <c r="CY62" s="228">
        <v>60</v>
      </c>
      <c r="CZ62" s="229">
        <v>1.24E-2</v>
      </c>
      <c r="DA62" s="228">
        <v>32.159999999999997</v>
      </c>
      <c r="DB62" s="228">
        <v>31.67</v>
      </c>
      <c r="DC62" s="228">
        <v>0.49</v>
      </c>
      <c r="DD62" s="228">
        <v>0.49</v>
      </c>
      <c r="DE62" s="228">
        <v>33.11</v>
      </c>
      <c r="DF62" s="228">
        <v>33.200000000000003</v>
      </c>
      <c r="DG62" s="228">
        <v>-0.95</v>
      </c>
      <c r="DH62" s="228">
        <v>-0.09</v>
      </c>
      <c r="DI62" s="228">
        <v>30.58</v>
      </c>
      <c r="DJ62" s="228">
        <v>30.67</v>
      </c>
      <c r="DK62" s="228">
        <v>-0.09</v>
      </c>
      <c r="DL62" s="228">
        <v>-0.09</v>
      </c>
      <c r="DM62" s="228">
        <v>34.17</v>
      </c>
      <c r="DN62" s="228">
        <v>33.94</v>
      </c>
      <c r="DO62" s="228">
        <v>0.23</v>
      </c>
      <c r="DP62" s="228">
        <v>0.23</v>
      </c>
      <c r="DQ62" s="228">
        <v>0.88</v>
      </c>
      <c r="DR62" s="228">
        <v>0.78</v>
      </c>
      <c r="DS62" s="228">
        <v>0.1</v>
      </c>
      <c r="DT62" s="229">
        <v>0.12820000000000001</v>
      </c>
      <c r="DU62" s="231">
        <v>8000</v>
      </c>
      <c r="DV62" s="231">
        <v>6500</v>
      </c>
      <c r="DW62" s="228">
        <v>0.79</v>
      </c>
      <c r="DX62" s="228">
        <v>0.44</v>
      </c>
      <c r="DY62" s="228">
        <v>0.35</v>
      </c>
      <c r="DZ62" s="229">
        <v>0.79549999999999998</v>
      </c>
      <c r="EA62" s="229">
        <v>9.0899999999999995E-2</v>
      </c>
      <c r="EB62" s="230">
        <v>324800</v>
      </c>
      <c r="EC62" s="229">
        <v>5.7000000000000002E-3</v>
      </c>
      <c r="ED62" s="229">
        <v>9.0899999999999995E-2</v>
      </c>
      <c r="EE62" s="228">
        <v>33.68</v>
      </c>
      <c r="EF62" s="229">
        <v>4.7000000000000002E-3</v>
      </c>
      <c r="EG62" s="230">
        <v>338274</v>
      </c>
      <c r="EH62" s="230">
        <v>450967</v>
      </c>
      <c r="EI62" s="229">
        <v>-0.24990000000000001</v>
      </c>
      <c r="EJ62" s="229">
        <v>0.50449999999999995</v>
      </c>
      <c r="EK62" s="231">
        <v>1517.9</v>
      </c>
      <c r="EL62" s="231">
        <v>1100.81</v>
      </c>
      <c r="EM62" s="228">
        <v>507.58</v>
      </c>
      <c r="EN62" s="228">
        <v>78.06</v>
      </c>
      <c r="EO62" s="231">
        <v>3126.3</v>
      </c>
      <c r="EP62" s="231">
        <v>5394.12</v>
      </c>
      <c r="EQ62" s="231">
        <v>-2267.83</v>
      </c>
      <c r="ER62" s="229">
        <v>-0.4204</v>
      </c>
      <c r="ES62" s="231">
        <v>1029.93</v>
      </c>
      <c r="ET62" s="228">
        <v>846</v>
      </c>
      <c r="EU62" s="231">
        <v>2991.57</v>
      </c>
      <c r="EV62" s="231">
        <v>20960143</v>
      </c>
      <c r="EW62" s="231">
        <v>4867.51</v>
      </c>
      <c r="EX62" s="231">
        <v>4812.58</v>
      </c>
      <c r="EY62" s="228">
        <v>54.93</v>
      </c>
      <c r="EZ62" s="229">
        <v>1.14E-2</v>
      </c>
      <c r="FA62" s="229">
        <v>0.32490000000000002</v>
      </c>
      <c r="FB62" s="227" t="s">
        <v>567</v>
      </c>
      <c r="FC62">
        <f t="shared" si="0"/>
        <v>272</v>
      </c>
    </row>
    <row r="63" spans="1:159" ht="17.25" thickBot="1" x14ac:dyDescent="0.3">
      <c r="A63" s="226">
        <v>46121</v>
      </c>
      <c r="B63" s="227" t="s">
        <v>614</v>
      </c>
      <c r="C63" s="227" t="s">
        <v>665</v>
      </c>
      <c r="D63" s="228">
        <v>2425</v>
      </c>
      <c r="E63" s="228">
        <v>19</v>
      </c>
      <c r="F63" s="228">
        <v>238.9</v>
      </c>
      <c r="G63" s="228">
        <v>244.92</v>
      </c>
      <c r="H63" s="228">
        <v>-6.02</v>
      </c>
      <c r="I63" s="229">
        <v>-2.46E-2</v>
      </c>
      <c r="J63" s="228">
        <v>237.89</v>
      </c>
      <c r="K63" s="228">
        <v>243.62</v>
      </c>
      <c r="L63" s="228">
        <v>-5.73</v>
      </c>
      <c r="M63" s="229">
        <v>-2.35E-2</v>
      </c>
      <c r="N63" s="228">
        <v>238.9</v>
      </c>
      <c r="O63" s="228">
        <v>244.92</v>
      </c>
      <c r="P63" s="228">
        <v>-6.02</v>
      </c>
      <c r="Q63" s="229">
        <v>-2.46E-2</v>
      </c>
      <c r="R63" s="228">
        <v>240.17</v>
      </c>
      <c r="S63" s="228">
        <v>246.38</v>
      </c>
      <c r="T63" s="228">
        <v>-6.21</v>
      </c>
      <c r="U63" s="229">
        <v>-2.52E-2</v>
      </c>
      <c r="V63" s="228">
        <v>241.54</v>
      </c>
      <c r="W63" s="228">
        <v>247.97</v>
      </c>
      <c r="X63" s="228">
        <v>-6.43</v>
      </c>
      <c r="Y63" s="229">
        <v>-2.5899999999999999E-2</v>
      </c>
      <c r="Z63" s="228">
        <v>1.01</v>
      </c>
      <c r="AA63" s="228">
        <v>1.3</v>
      </c>
      <c r="AB63" s="228">
        <v>-0.28999999999999998</v>
      </c>
      <c r="AC63" s="229">
        <v>4.1999999999999997E-3</v>
      </c>
      <c r="AD63" s="228">
        <v>1.01</v>
      </c>
      <c r="AE63" s="228">
        <v>1.3</v>
      </c>
      <c r="AF63" s="228">
        <v>-0.28999999999999998</v>
      </c>
      <c r="AG63" s="229">
        <v>4.1999999999999997E-3</v>
      </c>
      <c r="AH63" s="228">
        <v>2.2799999999999998</v>
      </c>
      <c r="AI63" s="228">
        <v>2.76</v>
      </c>
      <c r="AJ63" s="228">
        <v>-0.48</v>
      </c>
      <c r="AK63" s="229">
        <v>9.5999999999999992E-3</v>
      </c>
      <c r="AL63" s="228">
        <v>3.65</v>
      </c>
      <c r="AM63" s="228">
        <v>4.3499999999999996</v>
      </c>
      <c r="AN63" s="228">
        <v>-0.7</v>
      </c>
      <c r="AO63" s="229">
        <v>1.5299999999999999E-2</v>
      </c>
      <c r="AP63" s="228">
        <v>239.81</v>
      </c>
      <c r="AQ63" s="228">
        <v>241.6</v>
      </c>
      <c r="AR63" s="228">
        <v>0</v>
      </c>
      <c r="AS63" s="228">
        <v>598</v>
      </c>
      <c r="AT63" s="228">
        <v>821</v>
      </c>
      <c r="AU63" s="228">
        <v>-223</v>
      </c>
      <c r="AV63" s="229">
        <v>-0.27100000000000002</v>
      </c>
      <c r="AW63" s="228">
        <v>549</v>
      </c>
      <c r="AX63" s="228">
        <v>768</v>
      </c>
      <c r="AY63" s="228">
        <v>-219</v>
      </c>
      <c r="AZ63" s="229">
        <v>-0.28489999999999999</v>
      </c>
      <c r="BA63" s="228">
        <v>45</v>
      </c>
      <c r="BB63" s="228">
        <v>44</v>
      </c>
      <c r="BC63" s="228">
        <v>1</v>
      </c>
      <c r="BD63" s="229">
        <v>2.2499999999999999E-2</v>
      </c>
      <c r="BE63" s="228">
        <v>4</v>
      </c>
      <c r="BF63" s="228">
        <v>9</v>
      </c>
      <c r="BG63" s="228">
        <v>-5</v>
      </c>
      <c r="BH63" s="229">
        <v>-0.51919999999999999</v>
      </c>
      <c r="BI63" s="230">
        <v>1256</v>
      </c>
      <c r="BJ63" s="230">
        <v>1748</v>
      </c>
      <c r="BK63" s="228">
        <v>-492</v>
      </c>
      <c r="BL63" s="229">
        <v>-0.28139999999999998</v>
      </c>
      <c r="BM63" s="228">
        <v>622</v>
      </c>
      <c r="BN63" s="228">
        <v>821</v>
      </c>
      <c r="BO63" s="228">
        <v>-199</v>
      </c>
      <c r="BP63" s="229">
        <v>-0.24210000000000001</v>
      </c>
      <c r="BQ63" s="230">
        <v>2477</v>
      </c>
      <c r="BR63" s="230">
        <v>3391</v>
      </c>
      <c r="BS63" s="228">
        <v>-913</v>
      </c>
      <c r="BT63" s="229">
        <v>-0.26939999999999997</v>
      </c>
      <c r="BU63" s="230">
        <v>41044908</v>
      </c>
      <c r="BV63" s="230">
        <v>67096573</v>
      </c>
      <c r="BW63" s="230">
        <v>-26051665</v>
      </c>
      <c r="BX63" s="229">
        <v>-0.38829999999999998</v>
      </c>
      <c r="BY63" s="230">
        <v>4815</v>
      </c>
      <c r="BZ63" s="230">
        <v>4798</v>
      </c>
      <c r="CA63" s="228">
        <v>17</v>
      </c>
      <c r="CB63" s="229">
        <v>3.5999999999999999E-3</v>
      </c>
      <c r="CC63" s="230">
        <v>4463</v>
      </c>
      <c r="CD63" s="230">
        <v>4464</v>
      </c>
      <c r="CE63" s="228">
        <v>-1</v>
      </c>
      <c r="CF63" s="229">
        <v>-2.9999999999999997E-4</v>
      </c>
      <c r="CG63" s="228">
        <v>296</v>
      </c>
      <c r="CH63" s="228">
        <v>279</v>
      </c>
      <c r="CI63" s="228">
        <v>17</v>
      </c>
      <c r="CJ63" s="229">
        <v>6.2199999999999998E-2</v>
      </c>
      <c r="CK63" s="228">
        <v>56</v>
      </c>
      <c r="CL63" s="228">
        <v>55</v>
      </c>
      <c r="CM63" s="228">
        <v>1</v>
      </c>
      <c r="CN63" s="229">
        <v>2.3199999999999998E-2</v>
      </c>
      <c r="CO63" s="230">
        <v>1359</v>
      </c>
      <c r="CP63" s="230">
        <v>1197</v>
      </c>
      <c r="CQ63" s="228">
        <v>163</v>
      </c>
      <c r="CR63" s="229">
        <v>0.13600000000000001</v>
      </c>
      <c r="CS63" s="228">
        <v>941</v>
      </c>
      <c r="CT63" s="228">
        <v>907</v>
      </c>
      <c r="CU63" s="228">
        <v>34</v>
      </c>
      <c r="CV63" s="229">
        <v>3.7199999999999997E-2</v>
      </c>
      <c r="CW63" s="230">
        <v>7115</v>
      </c>
      <c r="CX63" s="230">
        <v>6901</v>
      </c>
      <c r="CY63" s="228">
        <v>214</v>
      </c>
      <c r="CZ63" s="229">
        <v>3.1E-2</v>
      </c>
      <c r="DA63" s="228">
        <v>46.65</v>
      </c>
      <c r="DB63" s="228">
        <v>45.76</v>
      </c>
      <c r="DC63" s="228">
        <v>0.89</v>
      </c>
      <c r="DD63" s="228">
        <v>0.89</v>
      </c>
      <c r="DE63" s="228">
        <v>46.26</v>
      </c>
      <c r="DF63" s="228">
        <v>46.27</v>
      </c>
      <c r="DG63" s="228">
        <v>0.39</v>
      </c>
      <c r="DH63" s="228">
        <v>-0.01</v>
      </c>
      <c r="DI63" s="228">
        <v>45.26</v>
      </c>
      <c r="DJ63" s="228">
        <v>44.35</v>
      </c>
      <c r="DK63" s="228">
        <v>0.91</v>
      </c>
      <c r="DL63" s="228">
        <v>0.91</v>
      </c>
      <c r="DM63" s="228">
        <v>49.47</v>
      </c>
      <c r="DN63" s="228">
        <v>48.77</v>
      </c>
      <c r="DO63" s="228">
        <v>0.7</v>
      </c>
      <c r="DP63" s="228">
        <v>0.7</v>
      </c>
      <c r="DQ63" s="228">
        <v>0.69</v>
      </c>
      <c r="DR63" s="228">
        <v>0.76</v>
      </c>
      <c r="DS63" s="228">
        <v>-7.0000000000000007E-2</v>
      </c>
      <c r="DT63" s="229">
        <v>-9.2100000000000001E-2</v>
      </c>
      <c r="DU63" s="228">
        <v>240</v>
      </c>
      <c r="DV63" s="228">
        <v>230</v>
      </c>
      <c r="DW63" s="228">
        <v>0.5</v>
      </c>
      <c r="DX63" s="228">
        <v>0.47</v>
      </c>
      <c r="DY63" s="228">
        <v>0.03</v>
      </c>
      <c r="DZ63" s="229">
        <v>6.3799999999999996E-2</v>
      </c>
      <c r="EA63" s="229">
        <v>7.3099999999999998E-2</v>
      </c>
      <c r="EB63" s="230">
        <v>13963150</v>
      </c>
      <c r="EC63" s="229">
        <v>5.3E-3</v>
      </c>
      <c r="ED63" s="229">
        <v>7.3099999999999998E-2</v>
      </c>
      <c r="EE63" s="228">
        <v>1.79</v>
      </c>
      <c r="EF63" s="229">
        <v>7.4999999999999997E-3</v>
      </c>
      <c r="EG63" s="230">
        <v>19885960</v>
      </c>
      <c r="EH63" s="230">
        <v>35600509</v>
      </c>
      <c r="EI63" s="229">
        <v>-0.44140000000000001</v>
      </c>
      <c r="EJ63" s="229">
        <v>0.48449999999999999</v>
      </c>
      <c r="EK63" s="231">
        <v>1364.69</v>
      </c>
      <c r="EL63" s="228">
        <v>617.21</v>
      </c>
      <c r="EM63" s="228">
        <v>601.11</v>
      </c>
      <c r="EN63" s="228">
        <v>131.51</v>
      </c>
      <c r="EO63" s="231">
        <v>2583.02</v>
      </c>
      <c r="EP63" s="231">
        <v>3571.26</v>
      </c>
      <c r="EQ63" s="228">
        <v>-988.25</v>
      </c>
      <c r="ER63" s="229">
        <v>-0.2767</v>
      </c>
      <c r="ES63" s="231">
        <v>1439.19</v>
      </c>
      <c r="ET63" s="228">
        <v>925.1</v>
      </c>
      <c r="EU63" s="231">
        <v>4817.43</v>
      </c>
      <c r="EV63" s="231">
        <v>1366821859</v>
      </c>
      <c r="EW63" s="231">
        <v>7181.72</v>
      </c>
      <c r="EX63" s="231">
        <v>7083.1</v>
      </c>
      <c r="EY63" s="228">
        <v>98.62</v>
      </c>
      <c r="EZ63" s="229">
        <v>1.3899999999999999E-2</v>
      </c>
      <c r="FA63" s="229">
        <v>0.21790000000000001</v>
      </c>
      <c r="FB63" s="227" t="s">
        <v>566</v>
      </c>
      <c r="FC63">
        <f t="shared" si="0"/>
        <v>352</v>
      </c>
    </row>
    <row r="64" spans="1:159" ht="17.25" thickBot="1" x14ac:dyDescent="0.3">
      <c r="A64" s="226">
        <v>46121</v>
      </c>
      <c r="B64" s="227" t="s">
        <v>162</v>
      </c>
      <c r="C64" s="227" t="s">
        <v>211</v>
      </c>
      <c r="D64" s="228">
        <v>1800</v>
      </c>
      <c r="E64" s="228">
        <v>19</v>
      </c>
      <c r="F64" s="228">
        <v>311.85000000000002</v>
      </c>
      <c r="G64" s="228">
        <v>315.7</v>
      </c>
      <c r="H64" s="228">
        <v>-3.85</v>
      </c>
      <c r="I64" s="229">
        <v>-1.2200000000000001E-2</v>
      </c>
      <c r="J64" s="228">
        <v>311.25</v>
      </c>
      <c r="K64" s="228">
        <v>314.14999999999998</v>
      </c>
      <c r="L64" s="228">
        <v>-2.9</v>
      </c>
      <c r="M64" s="229">
        <v>-9.1999999999999998E-3</v>
      </c>
      <c r="N64" s="228">
        <v>311.85000000000002</v>
      </c>
      <c r="O64" s="228">
        <v>315.7</v>
      </c>
      <c r="P64" s="228">
        <v>-3.85</v>
      </c>
      <c r="Q64" s="229">
        <v>-1.2200000000000001E-2</v>
      </c>
      <c r="R64" s="228">
        <v>313.39999999999998</v>
      </c>
      <c r="S64" s="228">
        <v>317.5</v>
      </c>
      <c r="T64" s="228">
        <v>-4.0999999999999996</v>
      </c>
      <c r="U64" s="229">
        <v>-1.29E-2</v>
      </c>
      <c r="V64" s="228">
        <v>315.3</v>
      </c>
      <c r="W64" s="228">
        <v>319</v>
      </c>
      <c r="X64" s="228">
        <v>-3.7</v>
      </c>
      <c r="Y64" s="229">
        <v>-1.1599999999999999E-2</v>
      </c>
      <c r="Z64" s="228">
        <v>0.6</v>
      </c>
      <c r="AA64" s="228">
        <v>1.55</v>
      </c>
      <c r="AB64" s="228">
        <v>-0.95</v>
      </c>
      <c r="AC64" s="229">
        <v>1.9E-3</v>
      </c>
      <c r="AD64" s="228">
        <v>0.6</v>
      </c>
      <c r="AE64" s="228">
        <v>1.55</v>
      </c>
      <c r="AF64" s="228">
        <v>-0.95</v>
      </c>
      <c r="AG64" s="229">
        <v>1.9E-3</v>
      </c>
      <c r="AH64" s="228">
        <v>2.15</v>
      </c>
      <c r="AI64" s="228">
        <v>3.35</v>
      </c>
      <c r="AJ64" s="228">
        <v>-1.2</v>
      </c>
      <c r="AK64" s="229">
        <v>6.8999999999999999E-3</v>
      </c>
      <c r="AL64" s="228">
        <v>4.05</v>
      </c>
      <c r="AM64" s="228">
        <v>4.8499999999999996</v>
      </c>
      <c r="AN64" s="228">
        <v>-0.8</v>
      </c>
      <c r="AO64" s="229">
        <v>1.2999999999999999E-2</v>
      </c>
      <c r="AP64" s="228">
        <v>310.62</v>
      </c>
      <c r="AQ64" s="228">
        <v>312.62</v>
      </c>
      <c r="AR64" s="228">
        <v>0</v>
      </c>
      <c r="AS64" s="228">
        <v>185</v>
      </c>
      <c r="AT64" s="228">
        <v>170</v>
      </c>
      <c r="AU64" s="228">
        <v>15</v>
      </c>
      <c r="AV64" s="229">
        <v>8.6699999999999999E-2</v>
      </c>
      <c r="AW64" s="228">
        <v>161</v>
      </c>
      <c r="AX64" s="228">
        <v>151</v>
      </c>
      <c r="AY64" s="228">
        <v>10</v>
      </c>
      <c r="AZ64" s="229">
        <v>6.93E-2</v>
      </c>
      <c r="BA64" s="228">
        <v>21</v>
      </c>
      <c r="BB64" s="228">
        <v>17</v>
      </c>
      <c r="BC64" s="228">
        <v>4</v>
      </c>
      <c r="BD64" s="229">
        <v>0.24099999999999999</v>
      </c>
      <c r="BE64" s="228">
        <v>3</v>
      </c>
      <c r="BF64" s="228">
        <v>2</v>
      </c>
      <c r="BG64" s="228">
        <v>0</v>
      </c>
      <c r="BH64" s="229">
        <v>7.1400000000000005E-2</v>
      </c>
      <c r="BI64" s="228">
        <v>381</v>
      </c>
      <c r="BJ64" s="228">
        <v>437</v>
      </c>
      <c r="BK64" s="228">
        <v>-57</v>
      </c>
      <c r="BL64" s="229">
        <v>-0.1298</v>
      </c>
      <c r="BM64" s="228">
        <v>442</v>
      </c>
      <c r="BN64" s="228">
        <v>181</v>
      </c>
      <c r="BO64" s="228">
        <v>261</v>
      </c>
      <c r="BP64" s="229">
        <v>1.4428000000000001</v>
      </c>
      <c r="BQ64" s="230">
        <v>1008</v>
      </c>
      <c r="BR64" s="228">
        <v>789</v>
      </c>
      <c r="BS64" s="228">
        <v>219</v>
      </c>
      <c r="BT64" s="229">
        <v>0.27800000000000002</v>
      </c>
      <c r="BU64" s="230">
        <v>3847403</v>
      </c>
      <c r="BV64" s="230">
        <v>2959561</v>
      </c>
      <c r="BW64" s="230">
        <v>887842</v>
      </c>
      <c r="BX64" s="229">
        <v>0.3</v>
      </c>
      <c r="BY64" s="228">
        <v>916</v>
      </c>
      <c r="BZ64" s="228">
        <v>909</v>
      </c>
      <c r="CA64" s="228">
        <v>8</v>
      </c>
      <c r="CB64" s="229">
        <v>8.3000000000000001E-3</v>
      </c>
      <c r="CC64" s="228">
        <v>864</v>
      </c>
      <c r="CD64" s="228">
        <v>868</v>
      </c>
      <c r="CE64" s="228">
        <v>-4</v>
      </c>
      <c r="CF64" s="229">
        <v>-4.1000000000000003E-3</v>
      </c>
      <c r="CG64" s="228">
        <v>47</v>
      </c>
      <c r="CH64" s="228">
        <v>38</v>
      </c>
      <c r="CI64" s="228">
        <v>10</v>
      </c>
      <c r="CJ64" s="229">
        <v>0.25369999999999998</v>
      </c>
      <c r="CK64" s="228">
        <v>5</v>
      </c>
      <c r="CL64" s="228">
        <v>3</v>
      </c>
      <c r="CM64" s="228">
        <v>2</v>
      </c>
      <c r="CN64" s="229">
        <v>0.49120000000000003</v>
      </c>
      <c r="CO64" s="228">
        <v>349</v>
      </c>
      <c r="CP64" s="228">
        <v>289</v>
      </c>
      <c r="CQ64" s="228">
        <v>59</v>
      </c>
      <c r="CR64" s="229">
        <v>0.2054</v>
      </c>
      <c r="CS64" s="228">
        <v>338</v>
      </c>
      <c r="CT64" s="228">
        <v>245</v>
      </c>
      <c r="CU64" s="228">
        <v>93</v>
      </c>
      <c r="CV64" s="229">
        <v>0.37709999999999999</v>
      </c>
      <c r="CW64" s="230">
        <v>1603</v>
      </c>
      <c r="CX64" s="230">
        <v>1444</v>
      </c>
      <c r="CY64" s="228">
        <v>160</v>
      </c>
      <c r="CZ64" s="229">
        <v>0.1105</v>
      </c>
      <c r="DA64" s="228">
        <v>38.39</v>
      </c>
      <c r="DB64" s="228">
        <v>37.6</v>
      </c>
      <c r="DC64" s="228">
        <v>0.79</v>
      </c>
      <c r="DD64" s="228">
        <v>0.79</v>
      </c>
      <c r="DE64" s="228">
        <v>35.33</v>
      </c>
      <c r="DF64" s="228">
        <v>35.380000000000003</v>
      </c>
      <c r="DG64" s="228">
        <v>3.06</v>
      </c>
      <c r="DH64" s="228">
        <v>-0.05</v>
      </c>
      <c r="DI64" s="228">
        <v>37.08</v>
      </c>
      <c r="DJ64" s="228">
        <v>36.35</v>
      </c>
      <c r="DK64" s="228">
        <v>0.73</v>
      </c>
      <c r="DL64" s="228">
        <v>0.73</v>
      </c>
      <c r="DM64" s="228">
        <v>39.51</v>
      </c>
      <c r="DN64" s="228">
        <v>40.61</v>
      </c>
      <c r="DO64" s="228">
        <v>-1.1000000000000001</v>
      </c>
      <c r="DP64" s="228">
        <v>-1.1000000000000001</v>
      </c>
      <c r="DQ64" s="228">
        <v>0.97</v>
      </c>
      <c r="DR64" s="228">
        <v>0.85</v>
      </c>
      <c r="DS64" s="228">
        <v>0.12</v>
      </c>
      <c r="DT64" s="229">
        <v>0.14119999999999999</v>
      </c>
      <c r="DU64" s="228">
        <v>300</v>
      </c>
      <c r="DV64" s="228">
        <v>310</v>
      </c>
      <c r="DW64" s="228">
        <v>1.1599999999999999</v>
      </c>
      <c r="DX64" s="228">
        <v>0.41</v>
      </c>
      <c r="DY64" s="228">
        <v>0.75</v>
      </c>
      <c r="DZ64" s="229">
        <v>1.8292999999999999</v>
      </c>
      <c r="EA64" s="229">
        <v>5.67E-2</v>
      </c>
      <c r="EB64" s="230">
        <v>1308600</v>
      </c>
      <c r="EC64" s="229">
        <v>5.0000000000000001E-3</v>
      </c>
      <c r="ED64" s="229">
        <v>5.67E-2</v>
      </c>
      <c r="EE64" s="228">
        <v>2</v>
      </c>
      <c r="EF64" s="229">
        <v>6.4000000000000003E-3</v>
      </c>
      <c r="EG64" s="230">
        <v>1204291</v>
      </c>
      <c r="EH64" s="230">
        <v>1203429</v>
      </c>
      <c r="EI64" s="229">
        <v>6.9999999999999999E-4</v>
      </c>
      <c r="EJ64" s="229">
        <v>0.313</v>
      </c>
      <c r="EK64" s="228">
        <v>401.72</v>
      </c>
      <c r="EL64" s="228">
        <v>443.17</v>
      </c>
      <c r="EM64" s="228">
        <v>184.4</v>
      </c>
      <c r="EN64" s="228">
        <v>19.100000000000001</v>
      </c>
      <c r="EO64" s="231">
        <v>1029.29</v>
      </c>
      <c r="EP64" s="228">
        <v>812.84</v>
      </c>
      <c r="EQ64" s="228">
        <v>216.45</v>
      </c>
      <c r="ER64" s="229">
        <v>0.26629999999999998</v>
      </c>
      <c r="ES64" s="228">
        <v>357.88</v>
      </c>
      <c r="ET64" s="228">
        <v>333.09</v>
      </c>
      <c r="EU64" s="228">
        <v>916.49</v>
      </c>
      <c r="EV64" s="231">
        <v>50211048</v>
      </c>
      <c r="EW64" s="231">
        <v>1607.46</v>
      </c>
      <c r="EX64" s="231">
        <v>1460</v>
      </c>
      <c r="EY64" s="228">
        <v>147.46</v>
      </c>
      <c r="EZ64" s="229">
        <v>0.10100000000000001</v>
      </c>
      <c r="FA64" s="229">
        <v>1.0238</v>
      </c>
      <c r="FB64" s="227" t="s">
        <v>566</v>
      </c>
      <c r="FC64">
        <f t="shared" si="0"/>
        <v>52</v>
      </c>
    </row>
    <row r="65" spans="1:159" ht="17.25" thickBot="1" x14ac:dyDescent="0.3">
      <c r="A65" s="226">
        <v>46121</v>
      </c>
      <c r="B65" s="227" t="s">
        <v>172</v>
      </c>
      <c r="C65" s="227" t="s">
        <v>212</v>
      </c>
      <c r="D65" s="228">
        <v>5000</v>
      </c>
      <c r="E65" s="228">
        <v>19</v>
      </c>
      <c r="F65" s="228">
        <v>283.89999999999998</v>
      </c>
      <c r="G65" s="228">
        <v>285.14999999999998</v>
      </c>
      <c r="H65" s="228">
        <v>-1.25</v>
      </c>
      <c r="I65" s="229">
        <v>-4.4000000000000003E-3</v>
      </c>
      <c r="J65" s="228">
        <v>283.3</v>
      </c>
      <c r="K65" s="228">
        <v>284.45</v>
      </c>
      <c r="L65" s="228">
        <v>-1.1499999999999999</v>
      </c>
      <c r="M65" s="229">
        <v>-4.0000000000000001E-3</v>
      </c>
      <c r="N65" s="228">
        <v>283.89999999999998</v>
      </c>
      <c r="O65" s="228">
        <v>285.14999999999998</v>
      </c>
      <c r="P65" s="228">
        <v>-1.25</v>
      </c>
      <c r="Q65" s="229">
        <v>-4.4000000000000003E-3</v>
      </c>
      <c r="R65" s="228">
        <v>285.60000000000002</v>
      </c>
      <c r="S65" s="228">
        <v>286.8</v>
      </c>
      <c r="T65" s="228">
        <v>-1.2</v>
      </c>
      <c r="U65" s="229">
        <v>-4.1999999999999997E-3</v>
      </c>
      <c r="V65" s="228">
        <v>287.14999999999998</v>
      </c>
      <c r="W65" s="228">
        <v>288</v>
      </c>
      <c r="X65" s="228">
        <v>-0.85</v>
      </c>
      <c r="Y65" s="229">
        <v>-3.0000000000000001E-3</v>
      </c>
      <c r="Z65" s="228">
        <v>0.6</v>
      </c>
      <c r="AA65" s="228">
        <v>0.7</v>
      </c>
      <c r="AB65" s="228">
        <v>-0.1</v>
      </c>
      <c r="AC65" s="229">
        <v>2.0999999999999999E-3</v>
      </c>
      <c r="AD65" s="228">
        <v>0.6</v>
      </c>
      <c r="AE65" s="228">
        <v>0.7</v>
      </c>
      <c r="AF65" s="228">
        <v>-0.1</v>
      </c>
      <c r="AG65" s="229">
        <v>2.0999999999999999E-3</v>
      </c>
      <c r="AH65" s="228">
        <v>2.2999999999999998</v>
      </c>
      <c r="AI65" s="228">
        <v>2.35</v>
      </c>
      <c r="AJ65" s="228">
        <v>-0.05</v>
      </c>
      <c r="AK65" s="229">
        <v>8.0999999999999996E-3</v>
      </c>
      <c r="AL65" s="228">
        <v>3.85</v>
      </c>
      <c r="AM65" s="228">
        <v>3.55</v>
      </c>
      <c r="AN65" s="228">
        <v>0.3</v>
      </c>
      <c r="AO65" s="229">
        <v>1.3599999999999999E-2</v>
      </c>
      <c r="AP65" s="228">
        <v>284.14</v>
      </c>
      <c r="AQ65" s="228">
        <v>285.88</v>
      </c>
      <c r="AR65" s="228">
        <v>0</v>
      </c>
      <c r="AS65" s="228">
        <v>356</v>
      </c>
      <c r="AT65" s="228">
        <v>572</v>
      </c>
      <c r="AU65" s="228">
        <v>-216</v>
      </c>
      <c r="AV65" s="229">
        <v>-0.37709999999999999</v>
      </c>
      <c r="AW65" s="228">
        <v>322</v>
      </c>
      <c r="AX65" s="228">
        <v>543</v>
      </c>
      <c r="AY65" s="228">
        <v>-221</v>
      </c>
      <c r="AZ65" s="229">
        <v>-0.40710000000000002</v>
      </c>
      <c r="BA65" s="228">
        <v>31</v>
      </c>
      <c r="BB65" s="228">
        <v>25</v>
      </c>
      <c r="BC65" s="228">
        <v>6</v>
      </c>
      <c r="BD65" s="229">
        <v>0.24</v>
      </c>
      <c r="BE65" s="228">
        <v>4</v>
      </c>
      <c r="BF65" s="228">
        <v>4</v>
      </c>
      <c r="BG65" s="228">
        <v>-1</v>
      </c>
      <c r="BH65" s="229">
        <v>-0.13789999999999999</v>
      </c>
      <c r="BI65" s="228">
        <v>703</v>
      </c>
      <c r="BJ65" s="230">
        <v>1054</v>
      </c>
      <c r="BK65" s="228">
        <v>-351</v>
      </c>
      <c r="BL65" s="229">
        <v>-0.33350000000000002</v>
      </c>
      <c r="BM65" s="228">
        <v>417</v>
      </c>
      <c r="BN65" s="228">
        <v>674</v>
      </c>
      <c r="BO65" s="228">
        <v>-257</v>
      </c>
      <c r="BP65" s="229">
        <v>-0.38119999999999998</v>
      </c>
      <c r="BQ65" s="230">
        <v>1476</v>
      </c>
      <c r="BR65" s="230">
        <v>2300</v>
      </c>
      <c r="BS65" s="228">
        <v>-824</v>
      </c>
      <c r="BT65" s="229">
        <v>-0.35830000000000001</v>
      </c>
      <c r="BU65" s="230">
        <v>4570182</v>
      </c>
      <c r="BV65" s="230">
        <v>8526736</v>
      </c>
      <c r="BW65" s="230">
        <v>-3956554</v>
      </c>
      <c r="BX65" s="229">
        <v>-0.46400000000000002</v>
      </c>
      <c r="BY65" s="230">
        <v>2262</v>
      </c>
      <c r="BZ65" s="230">
        <v>2266</v>
      </c>
      <c r="CA65" s="228">
        <v>-4</v>
      </c>
      <c r="CB65" s="229">
        <v>-1.6000000000000001E-3</v>
      </c>
      <c r="CC65" s="230">
        <v>2190</v>
      </c>
      <c r="CD65" s="230">
        <v>2207</v>
      </c>
      <c r="CE65" s="228">
        <v>-18</v>
      </c>
      <c r="CF65" s="229">
        <v>-8.0000000000000002E-3</v>
      </c>
      <c r="CG65" s="228">
        <v>61</v>
      </c>
      <c r="CH65" s="228">
        <v>48</v>
      </c>
      <c r="CI65" s="228">
        <v>13</v>
      </c>
      <c r="CJ65" s="229">
        <v>0.2722</v>
      </c>
      <c r="CK65" s="228">
        <v>11</v>
      </c>
      <c r="CL65" s="228">
        <v>10</v>
      </c>
      <c r="CM65" s="228">
        <v>1</v>
      </c>
      <c r="CN65" s="229">
        <v>0.1111</v>
      </c>
      <c r="CO65" s="228">
        <v>668</v>
      </c>
      <c r="CP65" s="228">
        <v>655</v>
      </c>
      <c r="CQ65" s="228">
        <v>13</v>
      </c>
      <c r="CR65" s="229">
        <v>1.95E-2</v>
      </c>
      <c r="CS65" s="228">
        <v>618</v>
      </c>
      <c r="CT65" s="228">
        <v>611</v>
      </c>
      <c r="CU65" s="228">
        <v>7</v>
      </c>
      <c r="CV65" s="229">
        <v>1.1599999999999999E-2</v>
      </c>
      <c r="CW65" s="230">
        <v>3548</v>
      </c>
      <c r="CX65" s="230">
        <v>3532</v>
      </c>
      <c r="CY65" s="228">
        <v>16</v>
      </c>
      <c r="CZ65" s="229">
        <v>4.5999999999999999E-3</v>
      </c>
      <c r="DA65" s="228">
        <v>30.73</v>
      </c>
      <c r="DB65" s="228">
        <v>31.73</v>
      </c>
      <c r="DC65" s="228">
        <v>-1</v>
      </c>
      <c r="DD65" s="228">
        <v>-1</v>
      </c>
      <c r="DE65" s="228">
        <v>32.21</v>
      </c>
      <c r="DF65" s="228">
        <v>32.28</v>
      </c>
      <c r="DG65" s="228">
        <v>-1.48</v>
      </c>
      <c r="DH65" s="228">
        <v>-7.0000000000000007E-2</v>
      </c>
      <c r="DI65" s="228">
        <v>29.35</v>
      </c>
      <c r="DJ65" s="228">
        <v>29.34</v>
      </c>
      <c r="DK65" s="228">
        <v>0.01</v>
      </c>
      <c r="DL65" s="228">
        <v>0.01</v>
      </c>
      <c r="DM65" s="228">
        <v>33.049999999999997</v>
      </c>
      <c r="DN65" s="228">
        <v>35.47</v>
      </c>
      <c r="DO65" s="228">
        <v>-2.42</v>
      </c>
      <c r="DP65" s="228">
        <v>-2.42</v>
      </c>
      <c r="DQ65" s="228">
        <v>0.93</v>
      </c>
      <c r="DR65" s="228">
        <v>0.93</v>
      </c>
      <c r="DS65" s="228">
        <v>0</v>
      </c>
      <c r="DT65" s="229">
        <v>0</v>
      </c>
      <c r="DU65" s="228">
        <v>300</v>
      </c>
      <c r="DV65" s="228">
        <v>240</v>
      </c>
      <c r="DW65" s="228">
        <v>0.59</v>
      </c>
      <c r="DX65" s="228">
        <v>0.64</v>
      </c>
      <c r="DY65" s="228">
        <v>-0.05</v>
      </c>
      <c r="DZ65" s="229">
        <v>-7.8100000000000003E-2</v>
      </c>
      <c r="EA65" s="229">
        <v>3.2000000000000001E-2</v>
      </c>
      <c r="EB65" s="230">
        <v>2050000</v>
      </c>
      <c r="EC65" s="229">
        <v>6.0000000000000001E-3</v>
      </c>
      <c r="ED65" s="229">
        <v>3.2000000000000001E-2</v>
      </c>
      <c r="EE65" s="228">
        <v>1.74</v>
      </c>
      <c r="EF65" s="229">
        <v>6.1000000000000004E-3</v>
      </c>
      <c r="EG65" s="230">
        <v>2115496</v>
      </c>
      <c r="EH65" s="230">
        <v>4399220</v>
      </c>
      <c r="EI65" s="229">
        <v>-0.51910000000000001</v>
      </c>
      <c r="EJ65" s="229">
        <v>0.46289999999999998</v>
      </c>
      <c r="EK65" s="228">
        <v>738.28</v>
      </c>
      <c r="EL65" s="228">
        <v>405.42</v>
      </c>
      <c r="EM65" s="228">
        <v>356.97</v>
      </c>
      <c r="EN65" s="228">
        <v>41.03</v>
      </c>
      <c r="EO65" s="231">
        <v>1500.66</v>
      </c>
      <c r="EP65" s="231">
        <v>2329.38</v>
      </c>
      <c r="EQ65" s="228">
        <v>-828.72</v>
      </c>
      <c r="ER65" s="229">
        <v>-0.35580000000000001</v>
      </c>
      <c r="ES65" s="228">
        <v>672.97</v>
      </c>
      <c r="ET65" s="228">
        <v>573.71</v>
      </c>
      <c r="EU65" s="231">
        <v>2262.4699999999998</v>
      </c>
      <c r="EV65" s="231">
        <v>359450597</v>
      </c>
      <c r="EW65" s="231">
        <v>3509.15</v>
      </c>
      <c r="EX65" s="231">
        <v>3502.45</v>
      </c>
      <c r="EY65" s="228">
        <v>6.7</v>
      </c>
      <c r="EZ65" s="229">
        <v>1.9E-3</v>
      </c>
      <c r="FA65" s="229">
        <v>0.34770000000000001</v>
      </c>
      <c r="FB65" s="227" t="s">
        <v>567</v>
      </c>
      <c r="FC65">
        <f t="shared" si="0"/>
        <v>72</v>
      </c>
    </row>
    <row r="66" spans="1:159" ht="17.25" thickBot="1" x14ac:dyDescent="0.3">
      <c r="A66" s="226">
        <v>46121</v>
      </c>
      <c r="B66" s="227" t="s">
        <v>181</v>
      </c>
      <c r="C66" s="227" t="s">
        <v>480</v>
      </c>
      <c r="D66" s="228">
        <v>60</v>
      </c>
      <c r="E66" s="228">
        <v>19</v>
      </c>
      <c r="F66" s="231">
        <v>25808.6</v>
      </c>
      <c r="G66" s="231">
        <v>26167.9</v>
      </c>
      <c r="H66" s="228">
        <v>-359.3</v>
      </c>
      <c r="I66" s="229">
        <v>-1.37E-2</v>
      </c>
      <c r="J66" s="231">
        <v>25685.85</v>
      </c>
      <c r="K66" s="231">
        <v>26053.05</v>
      </c>
      <c r="L66" s="228">
        <v>-367.2</v>
      </c>
      <c r="M66" s="229">
        <v>-1.41E-2</v>
      </c>
      <c r="N66" s="231">
        <v>25808.6</v>
      </c>
      <c r="O66" s="231">
        <v>26167.9</v>
      </c>
      <c r="P66" s="228">
        <v>-359.3</v>
      </c>
      <c r="Q66" s="229">
        <v>-1.37E-2</v>
      </c>
      <c r="R66" s="231">
        <v>25985.1</v>
      </c>
      <c r="S66" s="231">
        <v>26364.1</v>
      </c>
      <c r="T66" s="228">
        <v>-379</v>
      </c>
      <c r="U66" s="229">
        <v>-1.44E-2</v>
      </c>
      <c r="V66" s="228">
        <v>0</v>
      </c>
      <c r="W66" s="228">
        <v>0</v>
      </c>
      <c r="X66" s="228">
        <v>0</v>
      </c>
      <c r="Y66" s="229">
        <v>0</v>
      </c>
      <c r="Z66" s="228">
        <v>122.75</v>
      </c>
      <c r="AA66" s="228">
        <v>114.85</v>
      </c>
      <c r="AB66" s="228">
        <v>7.9</v>
      </c>
      <c r="AC66" s="229">
        <v>4.7999999999999996E-3</v>
      </c>
      <c r="AD66" s="228">
        <v>122.75</v>
      </c>
      <c r="AE66" s="228">
        <v>114.85</v>
      </c>
      <c r="AF66" s="228">
        <v>7.9</v>
      </c>
      <c r="AG66" s="229">
        <v>4.7999999999999996E-3</v>
      </c>
      <c r="AH66" s="228">
        <v>299.25</v>
      </c>
      <c r="AI66" s="228">
        <v>311.05</v>
      </c>
      <c r="AJ66" s="228">
        <v>-11.8</v>
      </c>
      <c r="AK66" s="229">
        <v>1.17E-2</v>
      </c>
      <c r="AL66" s="228">
        <v>0</v>
      </c>
      <c r="AM66" s="228">
        <v>0</v>
      </c>
      <c r="AN66" s="228">
        <v>0</v>
      </c>
      <c r="AO66" s="229">
        <v>0</v>
      </c>
      <c r="AP66" s="231">
        <v>25886.51</v>
      </c>
      <c r="AQ66" s="231">
        <v>26137.78</v>
      </c>
      <c r="AR66" s="228">
        <v>0</v>
      </c>
      <c r="AS66" s="228">
        <v>26</v>
      </c>
      <c r="AT66" s="228">
        <v>44</v>
      </c>
      <c r="AU66" s="228">
        <v>-18</v>
      </c>
      <c r="AV66" s="229">
        <v>-0.41610000000000003</v>
      </c>
      <c r="AW66" s="228">
        <v>24</v>
      </c>
      <c r="AX66" s="228">
        <v>43</v>
      </c>
      <c r="AY66" s="228">
        <v>-20</v>
      </c>
      <c r="AZ66" s="229">
        <v>-0.45319999999999999</v>
      </c>
      <c r="BA66" s="228">
        <v>2</v>
      </c>
      <c r="BB66" s="228">
        <v>1</v>
      </c>
      <c r="BC66" s="228">
        <v>1</v>
      </c>
      <c r="BD66" s="229">
        <v>0.875</v>
      </c>
      <c r="BE66" s="228">
        <v>0</v>
      </c>
      <c r="BF66" s="228">
        <v>0</v>
      </c>
      <c r="BG66" s="228">
        <v>0</v>
      </c>
      <c r="BH66" s="229">
        <v>0</v>
      </c>
      <c r="BI66" s="228">
        <v>540</v>
      </c>
      <c r="BJ66" s="228">
        <v>866</v>
      </c>
      <c r="BK66" s="228">
        <v>-325</v>
      </c>
      <c r="BL66" s="229">
        <v>-0.376</v>
      </c>
      <c r="BM66" s="228">
        <v>495</v>
      </c>
      <c r="BN66" s="228">
        <v>390</v>
      </c>
      <c r="BO66" s="228">
        <v>105</v>
      </c>
      <c r="BP66" s="229">
        <v>0.26850000000000002</v>
      </c>
      <c r="BQ66" s="230">
        <v>1061</v>
      </c>
      <c r="BR66" s="230">
        <v>1300</v>
      </c>
      <c r="BS66" s="228">
        <v>-239</v>
      </c>
      <c r="BT66" s="229">
        <v>-0.184</v>
      </c>
      <c r="BU66" s="228">
        <v>0</v>
      </c>
      <c r="BV66" s="228">
        <v>0</v>
      </c>
      <c r="BW66" s="228">
        <v>0</v>
      </c>
      <c r="BX66" s="229">
        <v>0</v>
      </c>
      <c r="BY66" s="228">
        <v>72</v>
      </c>
      <c r="BZ66" s="228">
        <v>69</v>
      </c>
      <c r="CA66" s="228">
        <v>3</v>
      </c>
      <c r="CB66" s="229">
        <v>4.2799999999999998E-2</v>
      </c>
      <c r="CC66" s="228">
        <v>68</v>
      </c>
      <c r="CD66" s="228">
        <v>67</v>
      </c>
      <c r="CE66" s="228">
        <v>2</v>
      </c>
      <c r="CF66" s="229">
        <v>2.3199999999999998E-2</v>
      </c>
      <c r="CG66" s="228">
        <v>3</v>
      </c>
      <c r="CH66" s="228">
        <v>2</v>
      </c>
      <c r="CI66" s="228">
        <v>1</v>
      </c>
      <c r="CJ66" s="229">
        <v>0.69230000000000003</v>
      </c>
      <c r="CK66" s="228">
        <v>0</v>
      </c>
      <c r="CL66" s="228">
        <v>0</v>
      </c>
      <c r="CM66" s="228">
        <v>0</v>
      </c>
      <c r="CN66" s="229">
        <v>0</v>
      </c>
      <c r="CO66" s="228">
        <v>318</v>
      </c>
      <c r="CP66" s="228">
        <v>291</v>
      </c>
      <c r="CQ66" s="228">
        <v>27</v>
      </c>
      <c r="CR66" s="229">
        <v>9.2100000000000001E-2</v>
      </c>
      <c r="CS66" s="228">
        <v>282</v>
      </c>
      <c r="CT66" s="228">
        <v>220</v>
      </c>
      <c r="CU66" s="228">
        <v>62</v>
      </c>
      <c r="CV66" s="229">
        <v>0.28129999999999999</v>
      </c>
      <c r="CW66" s="228">
        <v>672</v>
      </c>
      <c r="CX66" s="228">
        <v>580</v>
      </c>
      <c r="CY66" s="228">
        <v>92</v>
      </c>
      <c r="CZ66" s="229">
        <v>0.15809999999999999</v>
      </c>
      <c r="DA66" s="228">
        <v>23.9</v>
      </c>
      <c r="DB66" s="228">
        <v>22.55</v>
      </c>
      <c r="DC66" s="228">
        <v>1.35</v>
      </c>
      <c r="DD66" s="228">
        <v>1.35</v>
      </c>
      <c r="DE66" s="228">
        <v>21.72</v>
      </c>
      <c r="DF66" s="228">
        <v>21.69</v>
      </c>
      <c r="DG66" s="228">
        <v>2.1800000000000002</v>
      </c>
      <c r="DH66" s="228">
        <v>0.03</v>
      </c>
      <c r="DI66" s="228">
        <v>22.46</v>
      </c>
      <c r="DJ66" s="228">
        <v>20.86</v>
      </c>
      <c r="DK66" s="228">
        <v>1.6</v>
      </c>
      <c r="DL66" s="228">
        <v>1.6</v>
      </c>
      <c r="DM66" s="228">
        <v>25.47</v>
      </c>
      <c r="DN66" s="228">
        <v>26.31</v>
      </c>
      <c r="DO66" s="228">
        <v>-0.84</v>
      </c>
      <c r="DP66" s="228">
        <v>-0.84</v>
      </c>
      <c r="DQ66" s="228">
        <v>0.89</v>
      </c>
      <c r="DR66" s="228">
        <v>0.76</v>
      </c>
      <c r="DS66" s="228">
        <v>0.13</v>
      </c>
      <c r="DT66" s="229">
        <v>0.1711</v>
      </c>
      <c r="DU66" s="231">
        <v>28000</v>
      </c>
      <c r="DV66" s="231">
        <v>24000</v>
      </c>
      <c r="DW66" s="228">
        <v>0.92</v>
      </c>
      <c r="DX66" s="228">
        <v>0.45</v>
      </c>
      <c r="DY66" s="228">
        <v>0.47</v>
      </c>
      <c r="DZ66" s="229">
        <v>1.0444</v>
      </c>
      <c r="EA66" s="229">
        <v>4.7500000000000001E-2</v>
      </c>
      <c r="EB66" s="228">
        <v>780</v>
      </c>
      <c r="EC66" s="229">
        <v>6.7999999999999996E-3</v>
      </c>
      <c r="ED66" s="229">
        <v>4.7500000000000001E-2</v>
      </c>
      <c r="EE66" s="228">
        <v>251.27</v>
      </c>
      <c r="EF66" s="229">
        <v>9.7000000000000003E-3</v>
      </c>
      <c r="EG66" s="228">
        <v>0</v>
      </c>
      <c r="EH66" s="228">
        <v>0</v>
      </c>
      <c r="EI66" s="229">
        <v>0</v>
      </c>
      <c r="EJ66" s="229">
        <v>0</v>
      </c>
      <c r="EK66" s="228">
        <v>575.63</v>
      </c>
      <c r="EL66" s="228">
        <v>477.77</v>
      </c>
      <c r="EM66" s="228">
        <v>25.96</v>
      </c>
      <c r="EN66" s="228">
        <v>0</v>
      </c>
      <c r="EO66" s="231">
        <v>1079.3699999999999</v>
      </c>
      <c r="EP66" s="231">
        <v>1347.53</v>
      </c>
      <c r="EQ66" s="228">
        <v>-268.16000000000003</v>
      </c>
      <c r="ER66" s="229">
        <v>-0.19900000000000001</v>
      </c>
      <c r="ES66" s="228">
        <v>329.02</v>
      </c>
      <c r="ET66" s="228">
        <v>265.69</v>
      </c>
      <c r="EU66" s="228">
        <v>71.72</v>
      </c>
      <c r="EV66" s="228">
        <v>0</v>
      </c>
      <c r="EW66" s="228">
        <v>666.43</v>
      </c>
      <c r="EX66" s="228">
        <v>578.19000000000005</v>
      </c>
      <c r="EY66" s="228">
        <v>88.24</v>
      </c>
      <c r="EZ66" s="229">
        <v>0.15260000000000001</v>
      </c>
      <c r="FA66" s="229">
        <v>0</v>
      </c>
      <c r="FB66" s="227" t="s">
        <v>566</v>
      </c>
      <c r="FC66">
        <f t="shared" si="0"/>
        <v>4</v>
      </c>
    </row>
    <row r="67" spans="1:159" ht="17.25" thickBot="1" x14ac:dyDescent="0.3">
      <c r="A67" s="226">
        <v>46121</v>
      </c>
      <c r="B67" s="227" t="s">
        <v>702</v>
      </c>
      <c r="C67" s="227" t="s">
        <v>701</v>
      </c>
      <c r="D67" s="228">
        <v>25</v>
      </c>
      <c r="E67" s="228">
        <v>19</v>
      </c>
      <c r="F67" s="231">
        <v>22208</v>
      </c>
      <c r="G67" s="231">
        <v>22128</v>
      </c>
      <c r="H67" s="228">
        <v>80</v>
      </c>
      <c r="I67" s="229">
        <v>3.5999999999999999E-3</v>
      </c>
      <c r="J67" s="231">
        <v>22168</v>
      </c>
      <c r="K67" s="231">
        <v>22075</v>
      </c>
      <c r="L67" s="228">
        <v>93</v>
      </c>
      <c r="M67" s="229">
        <v>4.1999999999999997E-3</v>
      </c>
      <c r="N67" s="231">
        <v>22208</v>
      </c>
      <c r="O67" s="231">
        <v>22128</v>
      </c>
      <c r="P67" s="228">
        <v>80</v>
      </c>
      <c r="Q67" s="229">
        <v>3.5999999999999999E-3</v>
      </c>
      <c r="R67" s="231">
        <v>22156</v>
      </c>
      <c r="S67" s="231">
        <v>22073</v>
      </c>
      <c r="T67" s="228">
        <v>83</v>
      </c>
      <c r="U67" s="229">
        <v>3.8E-3</v>
      </c>
      <c r="V67" s="231">
        <v>22174</v>
      </c>
      <c r="W67" s="231">
        <v>22033</v>
      </c>
      <c r="X67" s="228">
        <v>141</v>
      </c>
      <c r="Y67" s="229">
        <v>6.4000000000000003E-3</v>
      </c>
      <c r="Z67" s="228">
        <v>40</v>
      </c>
      <c r="AA67" s="228">
        <v>53</v>
      </c>
      <c r="AB67" s="228">
        <v>-13</v>
      </c>
      <c r="AC67" s="229">
        <v>1.8E-3</v>
      </c>
      <c r="AD67" s="228">
        <v>40</v>
      </c>
      <c r="AE67" s="228">
        <v>53</v>
      </c>
      <c r="AF67" s="228">
        <v>-13</v>
      </c>
      <c r="AG67" s="229">
        <v>1.8E-3</v>
      </c>
      <c r="AH67" s="228">
        <v>-12</v>
      </c>
      <c r="AI67" s="228">
        <v>-2</v>
      </c>
      <c r="AJ67" s="228">
        <v>-10</v>
      </c>
      <c r="AK67" s="229">
        <v>-5.0000000000000001E-4</v>
      </c>
      <c r="AL67" s="228">
        <v>6</v>
      </c>
      <c r="AM67" s="228">
        <v>-42</v>
      </c>
      <c r="AN67" s="228">
        <v>48</v>
      </c>
      <c r="AO67" s="229">
        <v>2.9999999999999997E-4</v>
      </c>
      <c r="AP67" s="231">
        <v>22138.12</v>
      </c>
      <c r="AQ67" s="231">
        <v>22002.79</v>
      </c>
      <c r="AR67" s="228">
        <v>0</v>
      </c>
      <c r="AS67" s="228">
        <v>126</v>
      </c>
      <c r="AT67" s="228">
        <v>367</v>
      </c>
      <c r="AU67" s="228">
        <v>-240</v>
      </c>
      <c r="AV67" s="229">
        <v>-0.65549999999999997</v>
      </c>
      <c r="AW67" s="228">
        <v>107</v>
      </c>
      <c r="AX67" s="228">
        <v>339</v>
      </c>
      <c r="AY67" s="228">
        <v>-233</v>
      </c>
      <c r="AZ67" s="229">
        <v>-0.68540000000000001</v>
      </c>
      <c r="BA67" s="228">
        <v>17</v>
      </c>
      <c r="BB67" s="228">
        <v>24</v>
      </c>
      <c r="BC67" s="228">
        <v>-7</v>
      </c>
      <c r="BD67" s="229">
        <v>-0.30649999999999999</v>
      </c>
      <c r="BE67" s="228">
        <v>3</v>
      </c>
      <c r="BF67" s="228">
        <v>3</v>
      </c>
      <c r="BG67" s="228">
        <v>0</v>
      </c>
      <c r="BH67" s="229">
        <v>-0.1333</v>
      </c>
      <c r="BI67" s="228">
        <v>191</v>
      </c>
      <c r="BJ67" s="228">
        <v>669</v>
      </c>
      <c r="BK67" s="228">
        <v>-478</v>
      </c>
      <c r="BL67" s="229">
        <v>-0.71460000000000001</v>
      </c>
      <c r="BM67" s="228">
        <v>117</v>
      </c>
      <c r="BN67" s="228">
        <v>187</v>
      </c>
      <c r="BO67" s="228">
        <v>-70</v>
      </c>
      <c r="BP67" s="229">
        <v>-0.37459999999999999</v>
      </c>
      <c r="BQ67" s="228">
        <v>434</v>
      </c>
      <c r="BR67" s="230">
        <v>1223</v>
      </c>
      <c r="BS67" s="228">
        <v>-789</v>
      </c>
      <c r="BT67" s="229">
        <v>-0.64500000000000002</v>
      </c>
      <c r="BU67" s="230">
        <v>199634</v>
      </c>
      <c r="BV67" s="230">
        <v>415312</v>
      </c>
      <c r="BW67" s="230">
        <v>-215678</v>
      </c>
      <c r="BX67" s="229">
        <v>-0.51929999999999998</v>
      </c>
      <c r="BY67" s="228">
        <v>189</v>
      </c>
      <c r="BZ67" s="228">
        <v>189</v>
      </c>
      <c r="CA67" s="228">
        <v>0</v>
      </c>
      <c r="CB67" s="229">
        <v>2.3999999999999998E-3</v>
      </c>
      <c r="CC67" s="228">
        <v>161</v>
      </c>
      <c r="CD67" s="228">
        <v>170</v>
      </c>
      <c r="CE67" s="228">
        <v>-9</v>
      </c>
      <c r="CF67" s="229">
        <v>-5.5399999999999998E-2</v>
      </c>
      <c r="CG67" s="228">
        <v>25</v>
      </c>
      <c r="CH67" s="228">
        <v>17</v>
      </c>
      <c r="CI67" s="228">
        <v>8</v>
      </c>
      <c r="CJ67" s="229">
        <v>0.48670000000000002</v>
      </c>
      <c r="CK67" s="228">
        <v>4</v>
      </c>
      <c r="CL67" s="228">
        <v>2</v>
      </c>
      <c r="CM67" s="228">
        <v>2</v>
      </c>
      <c r="CN67" s="229">
        <v>0.96970000000000001</v>
      </c>
      <c r="CO67" s="228">
        <v>81</v>
      </c>
      <c r="CP67" s="228">
        <v>72</v>
      </c>
      <c r="CQ67" s="228">
        <v>9</v>
      </c>
      <c r="CR67" s="229">
        <v>0.12670000000000001</v>
      </c>
      <c r="CS67" s="228">
        <v>42</v>
      </c>
      <c r="CT67" s="228">
        <v>38</v>
      </c>
      <c r="CU67" s="228">
        <v>5</v>
      </c>
      <c r="CV67" s="229">
        <v>0.1222</v>
      </c>
      <c r="CW67" s="228">
        <v>312</v>
      </c>
      <c r="CX67" s="228">
        <v>298</v>
      </c>
      <c r="CY67" s="228">
        <v>14</v>
      </c>
      <c r="CZ67" s="229">
        <v>4.7500000000000001E-2</v>
      </c>
      <c r="DA67" s="228">
        <v>60.25</v>
      </c>
      <c r="DB67" s="228">
        <v>58.75</v>
      </c>
      <c r="DC67" s="228">
        <v>1.5</v>
      </c>
      <c r="DD67" s="228">
        <v>1.5</v>
      </c>
      <c r="DE67" s="228">
        <v>66.39</v>
      </c>
      <c r="DF67" s="228">
        <v>66.56</v>
      </c>
      <c r="DG67" s="228">
        <v>-6.14</v>
      </c>
      <c r="DH67" s="228">
        <v>-0.17</v>
      </c>
      <c r="DI67" s="228">
        <v>58.86</v>
      </c>
      <c r="DJ67" s="228">
        <v>57.28</v>
      </c>
      <c r="DK67" s="228">
        <v>1.58</v>
      </c>
      <c r="DL67" s="228">
        <v>1.58</v>
      </c>
      <c r="DM67" s="228">
        <v>62.52</v>
      </c>
      <c r="DN67" s="228">
        <v>64.010000000000005</v>
      </c>
      <c r="DO67" s="228">
        <v>-1.49</v>
      </c>
      <c r="DP67" s="228">
        <v>-1.49</v>
      </c>
      <c r="DQ67" s="228">
        <v>0.52</v>
      </c>
      <c r="DR67" s="228">
        <v>0.52</v>
      </c>
      <c r="DS67" s="228">
        <v>0</v>
      </c>
      <c r="DT67" s="229">
        <v>0</v>
      </c>
      <c r="DU67" s="231">
        <v>24000</v>
      </c>
      <c r="DV67" s="231">
        <v>20000</v>
      </c>
      <c r="DW67" s="228">
        <v>0.61</v>
      </c>
      <c r="DX67" s="228">
        <v>0.28000000000000003</v>
      </c>
      <c r="DY67" s="228">
        <v>0.33</v>
      </c>
      <c r="DZ67" s="229">
        <v>1.1786000000000001</v>
      </c>
      <c r="EA67" s="229">
        <v>0.15</v>
      </c>
      <c r="EB67" s="230">
        <v>8325</v>
      </c>
      <c r="EC67" s="229">
        <v>-2.3E-3</v>
      </c>
      <c r="ED67" s="229">
        <v>0.15</v>
      </c>
      <c r="EE67" s="228">
        <v>-135.33000000000001</v>
      </c>
      <c r="EF67" s="229">
        <v>-6.1000000000000004E-3</v>
      </c>
      <c r="EG67" s="230">
        <v>36071</v>
      </c>
      <c r="EH67" s="230">
        <v>92895</v>
      </c>
      <c r="EI67" s="229">
        <v>-0.61170000000000002</v>
      </c>
      <c r="EJ67" s="229">
        <v>0.1807</v>
      </c>
      <c r="EK67" s="228">
        <v>206.59</v>
      </c>
      <c r="EL67" s="228">
        <v>111.59</v>
      </c>
      <c r="EM67" s="228">
        <v>125.86</v>
      </c>
      <c r="EN67" s="228">
        <v>36.630000000000003</v>
      </c>
      <c r="EO67" s="228">
        <v>444.04</v>
      </c>
      <c r="EP67" s="231">
        <v>1228.42</v>
      </c>
      <c r="EQ67" s="228">
        <v>-784.37</v>
      </c>
      <c r="ER67" s="229">
        <v>-0.63849999999999996</v>
      </c>
      <c r="ES67" s="228">
        <v>81.94</v>
      </c>
      <c r="ET67" s="228">
        <v>38.57</v>
      </c>
      <c r="EU67" s="228">
        <v>189.09</v>
      </c>
      <c r="EV67" s="231">
        <v>736885</v>
      </c>
      <c r="EW67" s="228">
        <v>309.60000000000002</v>
      </c>
      <c r="EX67" s="228">
        <v>293.87</v>
      </c>
      <c r="EY67" s="228">
        <v>15.73</v>
      </c>
      <c r="EZ67" s="229">
        <v>5.3499999999999999E-2</v>
      </c>
      <c r="FA67" s="229">
        <v>0.19089999999999999</v>
      </c>
      <c r="FB67" s="227" t="s">
        <v>555</v>
      </c>
      <c r="FC67">
        <f t="shared" ref="FC67:FC130" si="1">BY67-CC67</f>
        <v>28</v>
      </c>
    </row>
    <row r="68" spans="1:159" ht="17.25" thickBot="1" x14ac:dyDescent="0.3">
      <c r="A68" s="226">
        <v>46121</v>
      </c>
      <c r="B68" s="227" t="s">
        <v>170</v>
      </c>
      <c r="C68" s="227" t="s">
        <v>675</v>
      </c>
      <c r="D68" s="228">
        <v>775</v>
      </c>
      <c r="E68" s="228">
        <v>19</v>
      </c>
      <c r="F68" s="228">
        <v>853.95</v>
      </c>
      <c r="G68" s="228">
        <v>842.2</v>
      </c>
      <c r="H68" s="228">
        <v>11.75</v>
      </c>
      <c r="I68" s="229">
        <v>1.4E-2</v>
      </c>
      <c r="J68" s="228">
        <v>850.05</v>
      </c>
      <c r="K68" s="228">
        <v>840.55</v>
      </c>
      <c r="L68" s="228">
        <v>9.5</v>
      </c>
      <c r="M68" s="229">
        <v>1.1299999999999999E-2</v>
      </c>
      <c r="N68" s="228">
        <v>853.95</v>
      </c>
      <c r="O68" s="228">
        <v>842.2</v>
      </c>
      <c r="P68" s="228">
        <v>11.75</v>
      </c>
      <c r="Q68" s="229">
        <v>1.4E-2</v>
      </c>
      <c r="R68" s="228">
        <v>858.15</v>
      </c>
      <c r="S68" s="228">
        <v>848.35</v>
      </c>
      <c r="T68" s="228">
        <v>9.8000000000000007</v>
      </c>
      <c r="U68" s="229">
        <v>1.1599999999999999E-2</v>
      </c>
      <c r="V68" s="228">
        <v>863.6</v>
      </c>
      <c r="W68" s="228">
        <v>852.65</v>
      </c>
      <c r="X68" s="228">
        <v>10.95</v>
      </c>
      <c r="Y68" s="229">
        <v>1.2800000000000001E-2</v>
      </c>
      <c r="Z68" s="228">
        <v>3.9</v>
      </c>
      <c r="AA68" s="228">
        <v>1.65</v>
      </c>
      <c r="AB68" s="228">
        <v>2.25</v>
      </c>
      <c r="AC68" s="229">
        <v>4.5999999999999999E-3</v>
      </c>
      <c r="AD68" s="228">
        <v>3.9</v>
      </c>
      <c r="AE68" s="228">
        <v>1.65</v>
      </c>
      <c r="AF68" s="228">
        <v>2.25</v>
      </c>
      <c r="AG68" s="229">
        <v>4.5999999999999999E-3</v>
      </c>
      <c r="AH68" s="228">
        <v>8.1</v>
      </c>
      <c r="AI68" s="228">
        <v>7.8</v>
      </c>
      <c r="AJ68" s="228">
        <v>0.3</v>
      </c>
      <c r="AK68" s="229">
        <v>9.4999999999999998E-3</v>
      </c>
      <c r="AL68" s="228">
        <v>13.55</v>
      </c>
      <c r="AM68" s="228">
        <v>12.1</v>
      </c>
      <c r="AN68" s="228">
        <v>1.45</v>
      </c>
      <c r="AO68" s="229">
        <v>1.5900000000000001E-2</v>
      </c>
      <c r="AP68" s="228">
        <v>851.52</v>
      </c>
      <c r="AQ68" s="228">
        <v>856.11</v>
      </c>
      <c r="AR68" s="228">
        <v>0</v>
      </c>
      <c r="AS68" s="228">
        <v>115</v>
      </c>
      <c r="AT68" s="228">
        <v>192</v>
      </c>
      <c r="AU68" s="228">
        <v>-77</v>
      </c>
      <c r="AV68" s="229">
        <v>-0.40279999999999999</v>
      </c>
      <c r="AW68" s="228">
        <v>108</v>
      </c>
      <c r="AX68" s="228">
        <v>183</v>
      </c>
      <c r="AY68" s="228">
        <v>-75</v>
      </c>
      <c r="AZ68" s="229">
        <v>-0.41070000000000001</v>
      </c>
      <c r="BA68" s="228">
        <v>6</v>
      </c>
      <c r="BB68" s="228">
        <v>9</v>
      </c>
      <c r="BC68" s="228">
        <v>-3</v>
      </c>
      <c r="BD68" s="229">
        <v>-0.2868</v>
      </c>
      <c r="BE68" s="228">
        <v>1</v>
      </c>
      <c r="BF68" s="228">
        <v>0</v>
      </c>
      <c r="BG68" s="228">
        <v>0</v>
      </c>
      <c r="BH68" s="229">
        <v>1.6667000000000001</v>
      </c>
      <c r="BI68" s="228">
        <v>159</v>
      </c>
      <c r="BJ68" s="228">
        <v>212</v>
      </c>
      <c r="BK68" s="228">
        <v>-52</v>
      </c>
      <c r="BL68" s="229">
        <v>-0.24729999999999999</v>
      </c>
      <c r="BM68" s="228">
        <v>43</v>
      </c>
      <c r="BN68" s="228">
        <v>100</v>
      </c>
      <c r="BO68" s="228">
        <v>-57</v>
      </c>
      <c r="BP68" s="229">
        <v>-0.57169999999999999</v>
      </c>
      <c r="BQ68" s="228">
        <v>317</v>
      </c>
      <c r="BR68" s="228">
        <v>504</v>
      </c>
      <c r="BS68" s="228">
        <v>-187</v>
      </c>
      <c r="BT68" s="229">
        <v>-0.37109999999999999</v>
      </c>
      <c r="BU68" s="230">
        <v>1549434</v>
      </c>
      <c r="BV68" s="230">
        <v>2223804</v>
      </c>
      <c r="BW68" s="230">
        <v>-674370</v>
      </c>
      <c r="BX68" s="229">
        <v>-0.30330000000000001</v>
      </c>
      <c r="BY68" s="230">
        <v>1020</v>
      </c>
      <c r="BZ68" s="230">
        <v>1015</v>
      </c>
      <c r="CA68" s="228">
        <v>5</v>
      </c>
      <c r="CB68" s="229">
        <v>5.1999999999999998E-3</v>
      </c>
      <c r="CC68" s="230">
        <v>1007</v>
      </c>
      <c r="CD68" s="230">
        <v>1004</v>
      </c>
      <c r="CE68" s="228">
        <v>3</v>
      </c>
      <c r="CF68" s="229">
        <v>3.3999999999999998E-3</v>
      </c>
      <c r="CG68" s="228">
        <v>12</v>
      </c>
      <c r="CH68" s="228">
        <v>10</v>
      </c>
      <c r="CI68" s="228">
        <v>2</v>
      </c>
      <c r="CJ68" s="229">
        <v>0.1646</v>
      </c>
      <c r="CK68" s="228">
        <v>1</v>
      </c>
      <c r="CL68" s="228">
        <v>1</v>
      </c>
      <c r="CM68" s="228">
        <v>0</v>
      </c>
      <c r="CN68" s="229">
        <v>0.33329999999999999</v>
      </c>
      <c r="CO68" s="228">
        <v>150</v>
      </c>
      <c r="CP68" s="228">
        <v>157</v>
      </c>
      <c r="CQ68" s="228">
        <v>-7</v>
      </c>
      <c r="CR68" s="229">
        <v>-4.7500000000000001E-2</v>
      </c>
      <c r="CS68" s="228">
        <v>105</v>
      </c>
      <c r="CT68" s="228">
        <v>101</v>
      </c>
      <c r="CU68" s="228">
        <v>4</v>
      </c>
      <c r="CV68" s="229">
        <v>3.5200000000000002E-2</v>
      </c>
      <c r="CW68" s="230">
        <v>1275</v>
      </c>
      <c r="CX68" s="230">
        <v>1274</v>
      </c>
      <c r="CY68" s="228">
        <v>1</v>
      </c>
      <c r="CZ68" s="229">
        <v>1.1000000000000001E-3</v>
      </c>
      <c r="DA68" s="228">
        <v>35.520000000000003</v>
      </c>
      <c r="DB68" s="228">
        <v>36.64</v>
      </c>
      <c r="DC68" s="228">
        <v>-1.1200000000000001</v>
      </c>
      <c r="DD68" s="228">
        <v>-1.1200000000000001</v>
      </c>
      <c r="DE68" s="228">
        <v>35.49</v>
      </c>
      <c r="DF68" s="228">
        <v>35.549999999999997</v>
      </c>
      <c r="DG68" s="228">
        <v>0.03</v>
      </c>
      <c r="DH68" s="228">
        <v>-0.06</v>
      </c>
      <c r="DI68" s="228">
        <v>35.24</v>
      </c>
      <c r="DJ68" s="228">
        <v>36.32</v>
      </c>
      <c r="DK68" s="228">
        <v>-1.08</v>
      </c>
      <c r="DL68" s="228">
        <v>-1.08</v>
      </c>
      <c r="DM68" s="228">
        <v>36.54</v>
      </c>
      <c r="DN68" s="228">
        <v>37.299999999999997</v>
      </c>
      <c r="DO68" s="228">
        <v>-0.76</v>
      </c>
      <c r="DP68" s="228">
        <v>-0.76</v>
      </c>
      <c r="DQ68" s="228">
        <v>0.7</v>
      </c>
      <c r="DR68" s="228">
        <v>0.64</v>
      </c>
      <c r="DS68" s="228">
        <v>0.06</v>
      </c>
      <c r="DT68" s="229">
        <v>9.3700000000000006E-2</v>
      </c>
      <c r="DU68" s="228">
        <v>900</v>
      </c>
      <c r="DV68" s="228">
        <v>800</v>
      </c>
      <c r="DW68" s="228">
        <v>0.27</v>
      </c>
      <c r="DX68" s="228">
        <v>0.47</v>
      </c>
      <c r="DY68" s="228">
        <v>-0.2</v>
      </c>
      <c r="DZ68" s="229">
        <v>-0.42549999999999999</v>
      </c>
      <c r="EA68" s="229">
        <v>1.2699999999999999E-2</v>
      </c>
      <c r="EB68" s="230">
        <v>129425</v>
      </c>
      <c r="EC68" s="229">
        <v>4.8999999999999998E-3</v>
      </c>
      <c r="ED68" s="229">
        <v>1.2699999999999999E-2</v>
      </c>
      <c r="EE68" s="228">
        <v>4.59</v>
      </c>
      <c r="EF68" s="229">
        <v>5.4000000000000003E-3</v>
      </c>
      <c r="EG68" s="230">
        <v>751865</v>
      </c>
      <c r="EH68" s="230">
        <v>1141335</v>
      </c>
      <c r="EI68" s="229">
        <v>-0.3412</v>
      </c>
      <c r="EJ68" s="229">
        <v>0.48530000000000001</v>
      </c>
      <c r="EK68" s="228">
        <v>167</v>
      </c>
      <c r="EL68" s="228">
        <v>41.98</v>
      </c>
      <c r="EM68" s="228">
        <v>114.54</v>
      </c>
      <c r="EN68" s="228">
        <v>27.5</v>
      </c>
      <c r="EO68" s="228">
        <v>323.52</v>
      </c>
      <c r="EP68" s="228">
        <v>510.36</v>
      </c>
      <c r="EQ68" s="228">
        <v>-186.84</v>
      </c>
      <c r="ER68" s="229">
        <v>-0.36609999999999998</v>
      </c>
      <c r="ES68" s="228">
        <v>151.47</v>
      </c>
      <c r="ET68" s="228">
        <v>98.92</v>
      </c>
      <c r="EU68" s="231">
        <v>1020.05</v>
      </c>
      <c r="EV68" s="231">
        <v>70894446</v>
      </c>
      <c r="EW68" s="231">
        <v>1270.44</v>
      </c>
      <c r="EX68" s="231">
        <v>1255.04</v>
      </c>
      <c r="EY68" s="228">
        <v>15.4</v>
      </c>
      <c r="EZ68" s="229">
        <v>1.23E-2</v>
      </c>
      <c r="FA68" s="229">
        <v>0.21060000000000001</v>
      </c>
      <c r="FB68" s="227" t="s">
        <v>555</v>
      </c>
      <c r="FC68">
        <f t="shared" si="1"/>
        <v>13</v>
      </c>
    </row>
    <row r="69" spans="1:159" ht="17.25" thickBot="1" x14ac:dyDescent="0.3">
      <c r="A69" s="226">
        <v>46121</v>
      </c>
      <c r="B69" s="227" t="s">
        <v>193</v>
      </c>
      <c r="C69" s="227" t="s">
        <v>213</v>
      </c>
      <c r="D69" s="228">
        <v>3150</v>
      </c>
      <c r="E69" s="228">
        <v>19</v>
      </c>
      <c r="F69" s="228">
        <v>152.6</v>
      </c>
      <c r="G69" s="228">
        <v>153.59</v>
      </c>
      <c r="H69" s="228">
        <v>-0.99</v>
      </c>
      <c r="I69" s="229">
        <v>-6.4000000000000003E-3</v>
      </c>
      <c r="J69" s="228">
        <v>152.22</v>
      </c>
      <c r="K69" s="228">
        <v>153.30000000000001</v>
      </c>
      <c r="L69" s="228">
        <v>-1.08</v>
      </c>
      <c r="M69" s="229">
        <v>-7.0000000000000001E-3</v>
      </c>
      <c r="N69" s="228">
        <v>152.6</v>
      </c>
      <c r="O69" s="228">
        <v>153.59</v>
      </c>
      <c r="P69" s="228">
        <v>-0.99</v>
      </c>
      <c r="Q69" s="229">
        <v>-6.4000000000000003E-3</v>
      </c>
      <c r="R69" s="228">
        <v>153.38999999999999</v>
      </c>
      <c r="S69" s="228">
        <v>154.41999999999999</v>
      </c>
      <c r="T69" s="228">
        <v>-1.03</v>
      </c>
      <c r="U69" s="229">
        <v>-6.7000000000000002E-3</v>
      </c>
      <c r="V69" s="228">
        <v>154.4</v>
      </c>
      <c r="W69" s="228">
        <v>155.19999999999999</v>
      </c>
      <c r="X69" s="228">
        <v>-0.8</v>
      </c>
      <c r="Y69" s="229">
        <v>-5.1999999999999998E-3</v>
      </c>
      <c r="Z69" s="228">
        <v>0.38</v>
      </c>
      <c r="AA69" s="228">
        <v>0.28999999999999998</v>
      </c>
      <c r="AB69" s="228">
        <v>0.09</v>
      </c>
      <c r="AC69" s="229">
        <v>2.5000000000000001E-3</v>
      </c>
      <c r="AD69" s="228">
        <v>0.38</v>
      </c>
      <c r="AE69" s="228">
        <v>0.28999999999999998</v>
      </c>
      <c r="AF69" s="228">
        <v>0.09</v>
      </c>
      <c r="AG69" s="229">
        <v>2.5000000000000001E-3</v>
      </c>
      <c r="AH69" s="228">
        <v>1.17</v>
      </c>
      <c r="AI69" s="228">
        <v>1.1200000000000001</v>
      </c>
      <c r="AJ69" s="228">
        <v>0.05</v>
      </c>
      <c r="AK69" s="229">
        <v>7.7000000000000002E-3</v>
      </c>
      <c r="AL69" s="228">
        <v>2.1800000000000002</v>
      </c>
      <c r="AM69" s="228">
        <v>1.9</v>
      </c>
      <c r="AN69" s="228">
        <v>0.28000000000000003</v>
      </c>
      <c r="AO69" s="229">
        <v>1.43E-2</v>
      </c>
      <c r="AP69" s="228">
        <v>153.46</v>
      </c>
      <c r="AQ69" s="228">
        <v>154.07</v>
      </c>
      <c r="AR69" s="228">
        <v>0</v>
      </c>
      <c r="AS69" s="228">
        <v>123</v>
      </c>
      <c r="AT69" s="228">
        <v>332</v>
      </c>
      <c r="AU69" s="228">
        <v>-209</v>
      </c>
      <c r="AV69" s="229">
        <v>-0.62960000000000005</v>
      </c>
      <c r="AW69" s="228">
        <v>110</v>
      </c>
      <c r="AX69" s="228">
        <v>315</v>
      </c>
      <c r="AY69" s="228">
        <v>-204</v>
      </c>
      <c r="AZ69" s="229">
        <v>-0.6492</v>
      </c>
      <c r="BA69" s="228">
        <v>12</v>
      </c>
      <c r="BB69" s="228">
        <v>16</v>
      </c>
      <c r="BC69" s="228">
        <v>-4</v>
      </c>
      <c r="BD69" s="229">
        <v>-0.24310000000000001</v>
      </c>
      <c r="BE69" s="228">
        <v>1</v>
      </c>
      <c r="BF69" s="228">
        <v>2</v>
      </c>
      <c r="BG69" s="228">
        <v>-1</v>
      </c>
      <c r="BH69" s="229">
        <v>-0.56410000000000005</v>
      </c>
      <c r="BI69" s="228">
        <v>188</v>
      </c>
      <c r="BJ69" s="228">
        <v>611</v>
      </c>
      <c r="BK69" s="228">
        <v>-423</v>
      </c>
      <c r="BL69" s="229">
        <v>-0.69269999999999998</v>
      </c>
      <c r="BM69" s="228">
        <v>125</v>
      </c>
      <c r="BN69" s="228">
        <v>455</v>
      </c>
      <c r="BO69" s="228">
        <v>-330</v>
      </c>
      <c r="BP69" s="229">
        <v>-0.72560000000000002</v>
      </c>
      <c r="BQ69" s="228">
        <v>436</v>
      </c>
      <c r="BR69" s="230">
        <v>1398</v>
      </c>
      <c r="BS69" s="228">
        <v>-963</v>
      </c>
      <c r="BT69" s="229">
        <v>-0.68840000000000001</v>
      </c>
      <c r="BU69" s="230">
        <v>10712190</v>
      </c>
      <c r="BV69" s="230">
        <v>22348523</v>
      </c>
      <c r="BW69" s="230">
        <v>-11636333</v>
      </c>
      <c r="BX69" s="229">
        <v>-0.52070000000000005</v>
      </c>
      <c r="BY69" s="230">
        <v>1242</v>
      </c>
      <c r="BZ69" s="230">
        <v>1251</v>
      </c>
      <c r="CA69" s="228">
        <v>-9</v>
      </c>
      <c r="CB69" s="229">
        <v>-7.3000000000000001E-3</v>
      </c>
      <c r="CC69" s="230">
        <v>1198</v>
      </c>
      <c r="CD69" s="230">
        <v>1209</v>
      </c>
      <c r="CE69" s="228">
        <v>-11</v>
      </c>
      <c r="CF69" s="229">
        <v>-9.1000000000000004E-3</v>
      </c>
      <c r="CG69" s="228">
        <v>41</v>
      </c>
      <c r="CH69" s="228">
        <v>39</v>
      </c>
      <c r="CI69" s="228">
        <v>1</v>
      </c>
      <c r="CJ69" s="229">
        <v>3.6600000000000001E-2</v>
      </c>
      <c r="CK69" s="228">
        <v>3</v>
      </c>
      <c r="CL69" s="228">
        <v>3</v>
      </c>
      <c r="CM69" s="228">
        <v>0</v>
      </c>
      <c r="CN69" s="229">
        <v>0.15090000000000001</v>
      </c>
      <c r="CO69" s="228">
        <v>409</v>
      </c>
      <c r="CP69" s="228">
        <v>407</v>
      </c>
      <c r="CQ69" s="228">
        <v>2</v>
      </c>
      <c r="CR69" s="229">
        <v>4.1000000000000003E-3</v>
      </c>
      <c r="CS69" s="228">
        <v>455</v>
      </c>
      <c r="CT69" s="228">
        <v>453</v>
      </c>
      <c r="CU69" s="228">
        <v>1</v>
      </c>
      <c r="CV69" s="229">
        <v>3.2000000000000002E-3</v>
      </c>
      <c r="CW69" s="230">
        <v>2106</v>
      </c>
      <c r="CX69" s="230">
        <v>2112</v>
      </c>
      <c r="CY69" s="228">
        <v>-6</v>
      </c>
      <c r="CZ69" s="229">
        <v>-2.8E-3</v>
      </c>
      <c r="DA69" s="228">
        <v>31.45</v>
      </c>
      <c r="DB69" s="228">
        <v>32.590000000000003</v>
      </c>
      <c r="DC69" s="228">
        <v>-1.1399999999999999</v>
      </c>
      <c r="DD69" s="228">
        <v>-1.1399999999999999</v>
      </c>
      <c r="DE69" s="228">
        <v>35.85</v>
      </c>
      <c r="DF69" s="228">
        <v>35.93</v>
      </c>
      <c r="DG69" s="228">
        <v>-4.4000000000000004</v>
      </c>
      <c r="DH69" s="228">
        <v>-0.08</v>
      </c>
      <c r="DI69" s="228">
        <v>30.45</v>
      </c>
      <c r="DJ69" s="228">
        <v>30.5</v>
      </c>
      <c r="DK69" s="228">
        <v>-0.05</v>
      </c>
      <c r="DL69" s="228">
        <v>-0.05</v>
      </c>
      <c r="DM69" s="228">
        <v>32.950000000000003</v>
      </c>
      <c r="DN69" s="228">
        <v>35.380000000000003</v>
      </c>
      <c r="DO69" s="228">
        <v>-2.4300000000000002</v>
      </c>
      <c r="DP69" s="228">
        <v>-2.4300000000000002</v>
      </c>
      <c r="DQ69" s="228">
        <v>1.1100000000000001</v>
      </c>
      <c r="DR69" s="228">
        <v>1.1100000000000001</v>
      </c>
      <c r="DS69" s="228">
        <v>0</v>
      </c>
      <c r="DT69" s="229">
        <v>0</v>
      </c>
      <c r="DU69" s="228">
        <v>144</v>
      </c>
      <c r="DV69" s="228">
        <v>130</v>
      </c>
      <c r="DW69" s="228">
        <v>0.67</v>
      </c>
      <c r="DX69" s="228">
        <v>0.75</v>
      </c>
      <c r="DY69" s="228">
        <v>-0.08</v>
      </c>
      <c r="DZ69" s="229">
        <v>-0.1067</v>
      </c>
      <c r="EA69" s="229">
        <v>3.5299999999999998E-2</v>
      </c>
      <c r="EB69" s="230">
        <v>2749950</v>
      </c>
      <c r="EC69" s="229">
        <v>5.1999999999999998E-3</v>
      </c>
      <c r="ED69" s="229">
        <v>3.5299999999999998E-2</v>
      </c>
      <c r="EE69" s="228">
        <v>0.61</v>
      </c>
      <c r="EF69" s="229">
        <v>4.0000000000000001E-3</v>
      </c>
      <c r="EG69" s="230">
        <v>5709963</v>
      </c>
      <c r="EH69" s="230">
        <v>11208610</v>
      </c>
      <c r="EI69" s="229">
        <v>-0.49059999999999998</v>
      </c>
      <c r="EJ69" s="229">
        <v>0.53300000000000003</v>
      </c>
      <c r="EK69" s="228">
        <v>198.32</v>
      </c>
      <c r="EL69" s="228">
        <v>121.91</v>
      </c>
      <c r="EM69" s="228">
        <v>123.81</v>
      </c>
      <c r="EN69" s="228">
        <v>45.6</v>
      </c>
      <c r="EO69" s="228">
        <v>444.05</v>
      </c>
      <c r="EP69" s="231">
        <v>1410.89</v>
      </c>
      <c r="EQ69" s="228">
        <v>-966.84</v>
      </c>
      <c r="ER69" s="229">
        <v>-0.68530000000000002</v>
      </c>
      <c r="ES69" s="228">
        <v>409.15</v>
      </c>
      <c r="ET69" s="228">
        <v>440.26</v>
      </c>
      <c r="EU69" s="231">
        <v>1242.49</v>
      </c>
      <c r="EV69" s="231">
        <v>471255857</v>
      </c>
      <c r="EW69" s="231">
        <v>2091.9</v>
      </c>
      <c r="EX69" s="231">
        <v>2104.9</v>
      </c>
      <c r="EY69" s="228">
        <v>-13</v>
      </c>
      <c r="EZ69" s="229">
        <v>-6.1999999999999998E-3</v>
      </c>
      <c r="FA69" s="229">
        <v>0.29289999999999999</v>
      </c>
      <c r="FB69" s="227" t="s">
        <v>567</v>
      </c>
      <c r="FC69">
        <f t="shared" si="1"/>
        <v>44</v>
      </c>
    </row>
    <row r="70" spans="1:159" ht="17.25" thickBot="1" x14ac:dyDescent="0.3">
      <c r="A70" s="226">
        <v>46121</v>
      </c>
      <c r="B70" s="227" t="s">
        <v>170</v>
      </c>
      <c r="C70" s="227" t="s">
        <v>214</v>
      </c>
      <c r="D70" s="228">
        <v>375</v>
      </c>
      <c r="E70" s="228">
        <v>19</v>
      </c>
      <c r="F70" s="231">
        <v>2173.3000000000002</v>
      </c>
      <c r="G70" s="231">
        <v>2177.6</v>
      </c>
      <c r="H70" s="228">
        <v>-4.3</v>
      </c>
      <c r="I70" s="229">
        <v>-2E-3</v>
      </c>
      <c r="J70" s="231">
        <v>2169.1</v>
      </c>
      <c r="K70" s="231">
        <v>2173.5</v>
      </c>
      <c r="L70" s="228">
        <v>-4.4000000000000004</v>
      </c>
      <c r="M70" s="229">
        <v>-2E-3</v>
      </c>
      <c r="N70" s="231">
        <v>2173.3000000000002</v>
      </c>
      <c r="O70" s="231">
        <v>2177.6</v>
      </c>
      <c r="P70" s="228">
        <v>-4.3</v>
      </c>
      <c r="Q70" s="229">
        <v>-2E-3</v>
      </c>
      <c r="R70" s="231">
        <v>2183.6</v>
      </c>
      <c r="S70" s="231">
        <v>2186.6</v>
      </c>
      <c r="T70" s="228">
        <v>-3</v>
      </c>
      <c r="U70" s="229">
        <v>-1.4E-3</v>
      </c>
      <c r="V70" s="231">
        <v>2194.1999999999998</v>
      </c>
      <c r="W70" s="231">
        <v>2200</v>
      </c>
      <c r="X70" s="228">
        <v>-5.8</v>
      </c>
      <c r="Y70" s="229">
        <v>-2.5999999999999999E-3</v>
      </c>
      <c r="Z70" s="228">
        <v>4.2</v>
      </c>
      <c r="AA70" s="228">
        <v>4.0999999999999996</v>
      </c>
      <c r="AB70" s="228">
        <v>0.1</v>
      </c>
      <c r="AC70" s="229">
        <v>1.9E-3</v>
      </c>
      <c r="AD70" s="228">
        <v>4.2</v>
      </c>
      <c r="AE70" s="228">
        <v>4.0999999999999996</v>
      </c>
      <c r="AF70" s="228">
        <v>0.1</v>
      </c>
      <c r="AG70" s="229">
        <v>1.9E-3</v>
      </c>
      <c r="AH70" s="228">
        <v>14.5</v>
      </c>
      <c r="AI70" s="228">
        <v>13.1</v>
      </c>
      <c r="AJ70" s="228">
        <v>1.4</v>
      </c>
      <c r="AK70" s="229">
        <v>6.7000000000000002E-3</v>
      </c>
      <c r="AL70" s="228">
        <v>25.1</v>
      </c>
      <c r="AM70" s="228">
        <v>26.5</v>
      </c>
      <c r="AN70" s="228">
        <v>-1.4</v>
      </c>
      <c r="AO70" s="229">
        <v>1.1599999999999999E-2</v>
      </c>
      <c r="AP70" s="231">
        <v>2168</v>
      </c>
      <c r="AQ70" s="231">
        <v>2176.94</v>
      </c>
      <c r="AR70" s="228">
        <v>0</v>
      </c>
      <c r="AS70" s="228">
        <v>185</v>
      </c>
      <c r="AT70" s="228">
        <v>223</v>
      </c>
      <c r="AU70" s="228">
        <v>-38</v>
      </c>
      <c r="AV70" s="229">
        <v>-0.17230000000000001</v>
      </c>
      <c r="AW70" s="228">
        <v>182</v>
      </c>
      <c r="AX70" s="228">
        <v>219</v>
      </c>
      <c r="AY70" s="228">
        <v>-37</v>
      </c>
      <c r="AZ70" s="229">
        <v>-0.16980000000000001</v>
      </c>
      <c r="BA70" s="228">
        <v>3</v>
      </c>
      <c r="BB70" s="228">
        <v>4</v>
      </c>
      <c r="BC70" s="228">
        <v>-1</v>
      </c>
      <c r="BD70" s="229">
        <v>-0.27450000000000002</v>
      </c>
      <c r="BE70" s="228">
        <v>0</v>
      </c>
      <c r="BF70" s="228">
        <v>0</v>
      </c>
      <c r="BG70" s="228">
        <v>0</v>
      </c>
      <c r="BH70" s="229">
        <v>-0.66669999999999996</v>
      </c>
      <c r="BI70" s="228">
        <v>337</v>
      </c>
      <c r="BJ70" s="228">
        <v>492</v>
      </c>
      <c r="BK70" s="228">
        <v>-155</v>
      </c>
      <c r="BL70" s="229">
        <v>-0.3155</v>
      </c>
      <c r="BM70" s="228">
        <v>258</v>
      </c>
      <c r="BN70" s="228">
        <v>226</v>
      </c>
      <c r="BO70" s="228">
        <v>32</v>
      </c>
      <c r="BP70" s="229">
        <v>0.14069999999999999</v>
      </c>
      <c r="BQ70" s="228">
        <v>779</v>
      </c>
      <c r="BR70" s="228">
        <v>941</v>
      </c>
      <c r="BS70" s="228">
        <v>-162</v>
      </c>
      <c r="BT70" s="229">
        <v>-0.1721</v>
      </c>
      <c r="BU70" s="230">
        <v>684219</v>
      </c>
      <c r="BV70" s="230">
        <v>572344</v>
      </c>
      <c r="BW70" s="230">
        <v>111875</v>
      </c>
      <c r="BX70" s="229">
        <v>0.19550000000000001</v>
      </c>
      <c r="BY70" s="230">
        <v>2269</v>
      </c>
      <c r="BZ70" s="230">
        <v>2324</v>
      </c>
      <c r="CA70" s="228">
        <v>-56</v>
      </c>
      <c r="CB70" s="229">
        <v>-2.3900000000000001E-2</v>
      </c>
      <c r="CC70" s="230">
        <v>2255</v>
      </c>
      <c r="CD70" s="230">
        <v>2311</v>
      </c>
      <c r="CE70" s="228">
        <v>-56</v>
      </c>
      <c r="CF70" s="229">
        <v>-2.4199999999999999E-2</v>
      </c>
      <c r="CG70" s="228">
        <v>13</v>
      </c>
      <c r="CH70" s="228">
        <v>13</v>
      </c>
      <c r="CI70" s="228">
        <v>0</v>
      </c>
      <c r="CJ70" s="229">
        <v>1.9400000000000001E-2</v>
      </c>
      <c r="CK70" s="228">
        <v>1</v>
      </c>
      <c r="CL70" s="228">
        <v>1</v>
      </c>
      <c r="CM70" s="228">
        <v>0</v>
      </c>
      <c r="CN70" s="229">
        <v>8.3299999999999999E-2</v>
      </c>
      <c r="CO70" s="228">
        <v>311</v>
      </c>
      <c r="CP70" s="228">
        <v>297</v>
      </c>
      <c r="CQ70" s="228">
        <v>13</v>
      </c>
      <c r="CR70" s="229">
        <v>4.4999999999999998E-2</v>
      </c>
      <c r="CS70" s="228">
        <v>182</v>
      </c>
      <c r="CT70" s="228">
        <v>169</v>
      </c>
      <c r="CU70" s="228">
        <v>13</v>
      </c>
      <c r="CV70" s="229">
        <v>7.8299999999999995E-2</v>
      </c>
      <c r="CW70" s="230">
        <v>2761</v>
      </c>
      <c r="CX70" s="230">
        <v>2790</v>
      </c>
      <c r="CY70" s="228">
        <v>-29</v>
      </c>
      <c r="CZ70" s="229">
        <v>-1.04E-2</v>
      </c>
      <c r="DA70" s="228">
        <v>34.130000000000003</v>
      </c>
      <c r="DB70" s="228">
        <v>31.68</v>
      </c>
      <c r="DC70" s="228">
        <v>2.4500000000000002</v>
      </c>
      <c r="DD70" s="228">
        <v>2.4500000000000002</v>
      </c>
      <c r="DE70" s="228">
        <v>36.229999999999997</v>
      </c>
      <c r="DF70" s="228">
        <v>36.32</v>
      </c>
      <c r="DG70" s="228">
        <v>-2.1</v>
      </c>
      <c r="DH70" s="228">
        <v>-0.09</v>
      </c>
      <c r="DI70" s="228">
        <v>31.41</v>
      </c>
      <c r="DJ70" s="228">
        <v>30.76</v>
      </c>
      <c r="DK70" s="228">
        <v>0.65</v>
      </c>
      <c r="DL70" s="228">
        <v>0.65</v>
      </c>
      <c r="DM70" s="228">
        <v>37.69</v>
      </c>
      <c r="DN70" s="228">
        <v>33.67</v>
      </c>
      <c r="DO70" s="228">
        <v>4.0199999999999996</v>
      </c>
      <c r="DP70" s="228">
        <v>4.0199999999999996</v>
      </c>
      <c r="DQ70" s="228">
        <v>0.59</v>
      </c>
      <c r="DR70" s="228">
        <v>0.56999999999999995</v>
      </c>
      <c r="DS70" s="228">
        <v>0.02</v>
      </c>
      <c r="DT70" s="229">
        <v>3.5099999999999999E-2</v>
      </c>
      <c r="DU70" s="231">
        <v>2200</v>
      </c>
      <c r="DV70" s="231">
        <v>2100</v>
      </c>
      <c r="DW70" s="228">
        <v>0.76</v>
      </c>
      <c r="DX70" s="228">
        <v>0.46</v>
      </c>
      <c r="DY70" s="228">
        <v>0.3</v>
      </c>
      <c r="DZ70" s="229">
        <v>0.6522</v>
      </c>
      <c r="EA70" s="229">
        <v>6.1000000000000004E-3</v>
      </c>
      <c r="EB70" s="230">
        <v>62625</v>
      </c>
      <c r="EC70" s="229">
        <v>4.7000000000000002E-3</v>
      </c>
      <c r="ED70" s="229">
        <v>6.1000000000000004E-3</v>
      </c>
      <c r="EE70" s="228">
        <v>8.94</v>
      </c>
      <c r="EF70" s="229">
        <v>4.1000000000000003E-3</v>
      </c>
      <c r="EG70" s="230">
        <v>420057</v>
      </c>
      <c r="EH70" s="230">
        <v>281002</v>
      </c>
      <c r="EI70" s="229">
        <v>0.49490000000000001</v>
      </c>
      <c r="EJ70" s="229">
        <v>0.6139</v>
      </c>
      <c r="EK70" s="228">
        <v>353.63</v>
      </c>
      <c r="EL70" s="228">
        <v>240.12</v>
      </c>
      <c r="EM70" s="228">
        <v>184.32</v>
      </c>
      <c r="EN70" s="228">
        <v>26.65</v>
      </c>
      <c r="EO70" s="228">
        <v>778.07</v>
      </c>
      <c r="EP70" s="228">
        <v>956.06</v>
      </c>
      <c r="EQ70" s="228">
        <v>-177.99</v>
      </c>
      <c r="ER70" s="229">
        <v>-0.1862</v>
      </c>
      <c r="ES70" s="228">
        <v>316.26</v>
      </c>
      <c r="ET70" s="228">
        <v>169.76</v>
      </c>
      <c r="EU70" s="231">
        <v>2268.75</v>
      </c>
      <c r="EV70" s="231">
        <v>15844372</v>
      </c>
      <c r="EW70" s="231">
        <v>2754.77</v>
      </c>
      <c r="EX70" s="231">
        <v>2788.44</v>
      </c>
      <c r="EY70" s="228">
        <v>-33.67</v>
      </c>
      <c r="EZ70" s="229">
        <v>-1.21E-2</v>
      </c>
      <c r="FA70" s="229">
        <v>0.80179999999999996</v>
      </c>
      <c r="FB70" s="227" t="s">
        <v>567</v>
      </c>
      <c r="FC70">
        <f t="shared" si="1"/>
        <v>14</v>
      </c>
    </row>
    <row r="71" spans="1:159" ht="17.25" thickBot="1" x14ac:dyDescent="0.3">
      <c r="A71" s="226">
        <v>46121</v>
      </c>
      <c r="B71" s="227" t="s">
        <v>215</v>
      </c>
      <c r="C71" s="227" t="s">
        <v>630</v>
      </c>
      <c r="D71" s="228">
        <v>6975</v>
      </c>
      <c r="E71" s="228">
        <v>19</v>
      </c>
      <c r="F71" s="228">
        <v>94.97</v>
      </c>
      <c r="G71" s="228">
        <v>96.28</v>
      </c>
      <c r="H71" s="228">
        <v>-1.31</v>
      </c>
      <c r="I71" s="229">
        <v>-1.3599999999999999E-2</v>
      </c>
      <c r="J71" s="228">
        <v>94.53</v>
      </c>
      <c r="K71" s="228">
        <v>95.82</v>
      </c>
      <c r="L71" s="228">
        <v>-1.29</v>
      </c>
      <c r="M71" s="229">
        <v>-1.35E-2</v>
      </c>
      <c r="N71" s="228">
        <v>94.97</v>
      </c>
      <c r="O71" s="228">
        <v>96.28</v>
      </c>
      <c r="P71" s="228">
        <v>-1.31</v>
      </c>
      <c r="Q71" s="229">
        <v>-1.3599999999999999E-2</v>
      </c>
      <c r="R71" s="228">
        <v>95.47</v>
      </c>
      <c r="S71" s="228">
        <v>96.7</v>
      </c>
      <c r="T71" s="228">
        <v>-1.23</v>
      </c>
      <c r="U71" s="229">
        <v>-1.2699999999999999E-2</v>
      </c>
      <c r="V71" s="228">
        <v>96.09</v>
      </c>
      <c r="W71" s="228">
        <v>97.5</v>
      </c>
      <c r="X71" s="228">
        <v>-1.41</v>
      </c>
      <c r="Y71" s="229">
        <v>-1.4500000000000001E-2</v>
      </c>
      <c r="Z71" s="228">
        <v>0.44</v>
      </c>
      <c r="AA71" s="228">
        <v>0.46</v>
      </c>
      <c r="AB71" s="228">
        <v>-0.02</v>
      </c>
      <c r="AC71" s="229">
        <v>4.7000000000000002E-3</v>
      </c>
      <c r="AD71" s="228">
        <v>0.44</v>
      </c>
      <c r="AE71" s="228">
        <v>0.46</v>
      </c>
      <c r="AF71" s="228">
        <v>-0.02</v>
      </c>
      <c r="AG71" s="229">
        <v>4.7000000000000002E-3</v>
      </c>
      <c r="AH71" s="228">
        <v>0.94</v>
      </c>
      <c r="AI71" s="228">
        <v>0.88</v>
      </c>
      <c r="AJ71" s="228">
        <v>0.06</v>
      </c>
      <c r="AK71" s="229">
        <v>9.9000000000000008E-3</v>
      </c>
      <c r="AL71" s="228">
        <v>1.56</v>
      </c>
      <c r="AM71" s="228">
        <v>1.68</v>
      </c>
      <c r="AN71" s="228">
        <v>-0.12</v>
      </c>
      <c r="AO71" s="229">
        <v>1.6500000000000001E-2</v>
      </c>
      <c r="AP71" s="228">
        <v>95.05</v>
      </c>
      <c r="AQ71" s="228">
        <v>95.49</v>
      </c>
      <c r="AR71" s="228">
        <v>0</v>
      </c>
      <c r="AS71" s="228">
        <v>180</v>
      </c>
      <c r="AT71" s="228">
        <v>229</v>
      </c>
      <c r="AU71" s="228">
        <v>-49</v>
      </c>
      <c r="AV71" s="229">
        <v>-0.21460000000000001</v>
      </c>
      <c r="AW71" s="228">
        <v>167</v>
      </c>
      <c r="AX71" s="228">
        <v>212</v>
      </c>
      <c r="AY71" s="228">
        <v>-45</v>
      </c>
      <c r="AZ71" s="229">
        <v>-0.21410000000000001</v>
      </c>
      <c r="BA71" s="228">
        <v>7</v>
      </c>
      <c r="BB71" s="228">
        <v>11</v>
      </c>
      <c r="BC71" s="228">
        <v>-4</v>
      </c>
      <c r="BD71" s="229">
        <v>-0.35880000000000001</v>
      </c>
      <c r="BE71" s="228">
        <v>6</v>
      </c>
      <c r="BF71" s="228">
        <v>6</v>
      </c>
      <c r="BG71" s="228">
        <v>0</v>
      </c>
      <c r="BH71" s="229">
        <v>5.9499999999999997E-2</v>
      </c>
      <c r="BI71" s="228">
        <v>272</v>
      </c>
      <c r="BJ71" s="228">
        <v>360</v>
      </c>
      <c r="BK71" s="228">
        <v>-88</v>
      </c>
      <c r="BL71" s="229">
        <v>-0.24410000000000001</v>
      </c>
      <c r="BM71" s="228">
        <v>135</v>
      </c>
      <c r="BN71" s="228">
        <v>213</v>
      </c>
      <c r="BO71" s="228">
        <v>-78</v>
      </c>
      <c r="BP71" s="229">
        <v>-0.36620000000000003</v>
      </c>
      <c r="BQ71" s="228">
        <v>587</v>
      </c>
      <c r="BR71" s="228">
        <v>803</v>
      </c>
      <c r="BS71" s="228">
        <v>-215</v>
      </c>
      <c r="BT71" s="229">
        <v>-0.26819999999999999</v>
      </c>
      <c r="BU71" s="230">
        <v>11784121</v>
      </c>
      <c r="BV71" s="230">
        <v>14529232</v>
      </c>
      <c r="BW71" s="230">
        <v>-2745111</v>
      </c>
      <c r="BX71" s="229">
        <v>-0.18890000000000001</v>
      </c>
      <c r="BY71" s="230">
        <v>1341</v>
      </c>
      <c r="BZ71" s="230">
        <v>1333</v>
      </c>
      <c r="CA71" s="228">
        <v>7</v>
      </c>
      <c r="CB71" s="229">
        <v>5.5999999999999999E-3</v>
      </c>
      <c r="CC71" s="230">
        <v>1299</v>
      </c>
      <c r="CD71" s="230">
        <v>1294</v>
      </c>
      <c r="CE71" s="228">
        <v>5</v>
      </c>
      <c r="CF71" s="229">
        <v>3.8E-3</v>
      </c>
      <c r="CG71" s="228">
        <v>37</v>
      </c>
      <c r="CH71" s="228">
        <v>35</v>
      </c>
      <c r="CI71" s="228">
        <v>2</v>
      </c>
      <c r="CJ71" s="229">
        <v>5.7099999999999998E-2</v>
      </c>
      <c r="CK71" s="228">
        <v>5</v>
      </c>
      <c r="CL71" s="228">
        <v>5</v>
      </c>
      <c r="CM71" s="228">
        <v>0</v>
      </c>
      <c r="CN71" s="229">
        <v>0.1</v>
      </c>
      <c r="CO71" s="228">
        <v>294</v>
      </c>
      <c r="CP71" s="228">
        <v>253</v>
      </c>
      <c r="CQ71" s="228">
        <v>41</v>
      </c>
      <c r="CR71" s="229">
        <v>0.1633</v>
      </c>
      <c r="CS71" s="228">
        <v>226</v>
      </c>
      <c r="CT71" s="228">
        <v>217</v>
      </c>
      <c r="CU71" s="228">
        <v>9</v>
      </c>
      <c r="CV71" s="229">
        <v>3.9600000000000003E-2</v>
      </c>
      <c r="CW71" s="230">
        <v>1861</v>
      </c>
      <c r="CX71" s="230">
        <v>1803</v>
      </c>
      <c r="CY71" s="228">
        <v>57</v>
      </c>
      <c r="CZ71" s="229">
        <v>3.1800000000000002E-2</v>
      </c>
      <c r="DA71" s="228">
        <v>37.369999999999997</v>
      </c>
      <c r="DB71" s="228">
        <v>38.409999999999997</v>
      </c>
      <c r="DC71" s="228">
        <v>-1.04</v>
      </c>
      <c r="DD71" s="228">
        <v>-1.04</v>
      </c>
      <c r="DE71" s="228">
        <v>41.4</v>
      </c>
      <c r="DF71" s="228">
        <v>41.47</v>
      </c>
      <c r="DG71" s="228">
        <v>-4.03</v>
      </c>
      <c r="DH71" s="228">
        <v>-7.0000000000000007E-2</v>
      </c>
      <c r="DI71" s="228">
        <v>36.89</v>
      </c>
      <c r="DJ71" s="228">
        <v>37.1</v>
      </c>
      <c r="DK71" s="228">
        <v>-0.21</v>
      </c>
      <c r="DL71" s="228">
        <v>-0.21</v>
      </c>
      <c r="DM71" s="228">
        <v>38.33</v>
      </c>
      <c r="DN71" s="228">
        <v>40.619999999999997</v>
      </c>
      <c r="DO71" s="228">
        <v>-2.29</v>
      </c>
      <c r="DP71" s="228">
        <v>-2.29</v>
      </c>
      <c r="DQ71" s="228">
        <v>0.77</v>
      </c>
      <c r="DR71" s="228">
        <v>0.86</v>
      </c>
      <c r="DS71" s="228">
        <v>-0.09</v>
      </c>
      <c r="DT71" s="229">
        <v>-0.1047</v>
      </c>
      <c r="DU71" s="228">
        <v>95</v>
      </c>
      <c r="DV71" s="228">
        <v>95</v>
      </c>
      <c r="DW71" s="228">
        <v>0.5</v>
      </c>
      <c r="DX71" s="228">
        <v>0.59</v>
      </c>
      <c r="DY71" s="228">
        <v>-0.09</v>
      </c>
      <c r="DZ71" s="229">
        <v>-0.1525</v>
      </c>
      <c r="EA71" s="229">
        <v>3.1199999999999999E-2</v>
      </c>
      <c r="EB71" s="230">
        <v>4150125</v>
      </c>
      <c r="EC71" s="229">
        <v>5.3E-3</v>
      </c>
      <c r="ED71" s="229">
        <v>3.1199999999999999E-2</v>
      </c>
      <c r="EE71" s="228">
        <v>0.44</v>
      </c>
      <c r="EF71" s="229">
        <v>4.5999999999999999E-3</v>
      </c>
      <c r="EG71" s="230">
        <v>5538366</v>
      </c>
      <c r="EH71" s="230">
        <v>7565527</v>
      </c>
      <c r="EI71" s="229">
        <v>-0.26790000000000003</v>
      </c>
      <c r="EJ71" s="229">
        <v>0.47</v>
      </c>
      <c r="EK71" s="228">
        <v>288.25</v>
      </c>
      <c r="EL71" s="228">
        <v>133.16999999999999</v>
      </c>
      <c r="EM71" s="228">
        <v>179.9</v>
      </c>
      <c r="EN71" s="228">
        <v>25.56</v>
      </c>
      <c r="EO71" s="228">
        <v>601.32000000000005</v>
      </c>
      <c r="EP71" s="228">
        <v>820.89</v>
      </c>
      <c r="EQ71" s="228">
        <v>-219.57</v>
      </c>
      <c r="ER71" s="229">
        <v>-0.26750000000000002</v>
      </c>
      <c r="ES71" s="228">
        <v>299.62</v>
      </c>
      <c r="ET71" s="228">
        <v>215.57</v>
      </c>
      <c r="EU71" s="231">
        <v>1340.98</v>
      </c>
      <c r="EV71" s="231">
        <v>534704421</v>
      </c>
      <c r="EW71" s="231">
        <v>1856.17</v>
      </c>
      <c r="EX71" s="231">
        <v>1814.59</v>
      </c>
      <c r="EY71" s="228">
        <v>41.58</v>
      </c>
      <c r="EZ71" s="229">
        <v>2.29E-2</v>
      </c>
      <c r="FA71" s="229">
        <v>0.3664</v>
      </c>
      <c r="FB71" s="227" t="s">
        <v>566</v>
      </c>
      <c r="FC71">
        <f t="shared" si="1"/>
        <v>42</v>
      </c>
    </row>
    <row r="72" spans="1:159" ht="17.25" thickBot="1" x14ac:dyDescent="0.3">
      <c r="A72" s="226">
        <v>46121</v>
      </c>
      <c r="B72" s="227" t="s">
        <v>702</v>
      </c>
      <c r="C72" s="227" t="s">
        <v>700</v>
      </c>
      <c r="D72" s="228">
        <v>275</v>
      </c>
      <c r="E72" s="228">
        <v>19</v>
      </c>
      <c r="F72" s="231">
        <v>2038.7</v>
      </c>
      <c r="G72" s="231">
        <v>2013.8</v>
      </c>
      <c r="H72" s="228">
        <v>24.9</v>
      </c>
      <c r="I72" s="229">
        <v>1.24E-2</v>
      </c>
      <c r="J72" s="231">
        <v>2034.8</v>
      </c>
      <c r="K72" s="231">
        <v>2005.6</v>
      </c>
      <c r="L72" s="228">
        <v>29.2</v>
      </c>
      <c r="M72" s="229">
        <v>1.46E-2</v>
      </c>
      <c r="N72" s="231">
        <v>2038.7</v>
      </c>
      <c r="O72" s="231">
        <v>2013.8</v>
      </c>
      <c r="P72" s="228">
        <v>24.9</v>
      </c>
      <c r="Q72" s="229">
        <v>1.24E-2</v>
      </c>
      <c r="R72" s="231">
        <v>2039.9</v>
      </c>
      <c r="S72" s="231">
        <v>2011.9</v>
      </c>
      <c r="T72" s="228">
        <v>28</v>
      </c>
      <c r="U72" s="229">
        <v>1.3899999999999999E-2</v>
      </c>
      <c r="V72" s="231">
        <v>2048.4</v>
      </c>
      <c r="W72" s="231">
        <v>2025.4</v>
      </c>
      <c r="X72" s="228">
        <v>23</v>
      </c>
      <c r="Y72" s="229">
        <v>1.14E-2</v>
      </c>
      <c r="Z72" s="228">
        <v>3.9</v>
      </c>
      <c r="AA72" s="228">
        <v>8.1999999999999993</v>
      </c>
      <c r="AB72" s="228">
        <v>-4.3</v>
      </c>
      <c r="AC72" s="229">
        <v>1.9E-3</v>
      </c>
      <c r="AD72" s="228">
        <v>3.9</v>
      </c>
      <c r="AE72" s="228">
        <v>8.1999999999999993</v>
      </c>
      <c r="AF72" s="228">
        <v>-4.3</v>
      </c>
      <c r="AG72" s="229">
        <v>1.9E-3</v>
      </c>
      <c r="AH72" s="228">
        <v>5.0999999999999996</v>
      </c>
      <c r="AI72" s="228">
        <v>6.3</v>
      </c>
      <c r="AJ72" s="228">
        <v>-1.2</v>
      </c>
      <c r="AK72" s="229">
        <v>2.5000000000000001E-3</v>
      </c>
      <c r="AL72" s="228">
        <v>13.6</v>
      </c>
      <c r="AM72" s="228">
        <v>19.8</v>
      </c>
      <c r="AN72" s="228">
        <v>-6.2</v>
      </c>
      <c r="AO72" s="229">
        <v>6.7000000000000002E-3</v>
      </c>
      <c r="AP72" s="231">
        <v>2053.5700000000002</v>
      </c>
      <c r="AQ72" s="231">
        <v>2053.52</v>
      </c>
      <c r="AR72" s="228">
        <v>0</v>
      </c>
      <c r="AS72" s="228">
        <v>66</v>
      </c>
      <c r="AT72" s="228">
        <v>40</v>
      </c>
      <c r="AU72" s="228">
        <v>26</v>
      </c>
      <c r="AV72" s="229">
        <v>0.64080000000000004</v>
      </c>
      <c r="AW72" s="228">
        <v>62</v>
      </c>
      <c r="AX72" s="228">
        <v>35</v>
      </c>
      <c r="AY72" s="228">
        <v>27</v>
      </c>
      <c r="AZ72" s="229">
        <v>0.7792</v>
      </c>
      <c r="BA72" s="228">
        <v>3</v>
      </c>
      <c r="BB72" s="228">
        <v>4</v>
      </c>
      <c r="BC72" s="228">
        <v>-1</v>
      </c>
      <c r="BD72" s="229">
        <v>-0.24049999999999999</v>
      </c>
      <c r="BE72" s="228">
        <v>1</v>
      </c>
      <c r="BF72" s="228">
        <v>1</v>
      </c>
      <c r="BG72" s="228">
        <v>0</v>
      </c>
      <c r="BH72" s="229">
        <v>-0.35289999999999999</v>
      </c>
      <c r="BI72" s="228">
        <v>139</v>
      </c>
      <c r="BJ72" s="228">
        <v>35</v>
      </c>
      <c r="BK72" s="228">
        <v>104</v>
      </c>
      <c r="BL72" s="229">
        <v>2.9984000000000002</v>
      </c>
      <c r="BM72" s="228">
        <v>25</v>
      </c>
      <c r="BN72" s="228">
        <v>15</v>
      </c>
      <c r="BO72" s="228">
        <v>11</v>
      </c>
      <c r="BP72" s="229">
        <v>0.72799999999999998</v>
      </c>
      <c r="BQ72" s="228">
        <v>231</v>
      </c>
      <c r="BR72" s="228">
        <v>90</v>
      </c>
      <c r="BS72" s="228">
        <v>141</v>
      </c>
      <c r="BT72" s="229">
        <v>1.5673999999999999</v>
      </c>
      <c r="BU72" s="230">
        <v>1281411</v>
      </c>
      <c r="BV72" s="230">
        <v>1050645</v>
      </c>
      <c r="BW72" s="230">
        <v>230766</v>
      </c>
      <c r="BX72" s="229">
        <v>0.21959999999999999</v>
      </c>
      <c r="BY72" s="228">
        <v>59</v>
      </c>
      <c r="BZ72" s="228">
        <v>47</v>
      </c>
      <c r="CA72" s="228">
        <v>12</v>
      </c>
      <c r="CB72" s="229">
        <v>0.25690000000000002</v>
      </c>
      <c r="CC72" s="228">
        <v>53</v>
      </c>
      <c r="CD72" s="228">
        <v>42</v>
      </c>
      <c r="CE72" s="228">
        <v>10</v>
      </c>
      <c r="CF72" s="229">
        <v>0.248</v>
      </c>
      <c r="CG72" s="228">
        <v>3</v>
      </c>
      <c r="CH72" s="228">
        <v>3</v>
      </c>
      <c r="CI72" s="228">
        <v>1</v>
      </c>
      <c r="CJ72" s="229">
        <v>0.3478</v>
      </c>
      <c r="CK72" s="228">
        <v>2</v>
      </c>
      <c r="CL72" s="228">
        <v>2</v>
      </c>
      <c r="CM72" s="228">
        <v>1</v>
      </c>
      <c r="CN72" s="229">
        <v>0.33329999999999999</v>
      </c>
      <c r="CO72" s="228">
        <v>32</v>
      </c>
      <c r="CP72" s="228">
        <v>14</v>
      </c>
      <c r="CQ72" s="228">
        <v>18</v>
      </c>
      <c r="CR72" s="229">
        <v>1.3143</v>
      </c>
      <c r="CS72" s="228">
        <v>16</v>
      </c>
      <c r="CT72" s="228">
        <v>14</v>
      </c>
      <c r="CU72" s="228">
        <v>2</v>
      </c>
      <c r="CV72" s="229">
        <v>0.1736</v>
      </c>
      <c r="CW72" s="228">
        <v>106</v>
      </c>
      <c r="CX72" s="228">
        <v>74</v>
      </c>
      <c r="CY72" s="228">
        <v>32</v>
      </c>
      <c r="CZ72" s="229">
        <v>0.43790000000000001</v>
      </c>
      <c r="DA72" s="228">
        <v>51.56</v>
      </c>
      <c r="DB72" s="228">
        <v>48.79</v>
      </c>
      <c r="DC72" s="228">
        <v>2.77</v>
      </c>
      <c r="DD72" s="228">
        <v>2.77</v>
      </c>
      <c r="DE72" s="228">
        <v>71.64</v>
      </c>
      <c r="DF72" s="228">
        <v>71.8</v>
      </c>
      <c r="DG72" s="228">
        <v>-20.079999999999998</v>
      </c>
      <c r="DH72" s="228">
        <v>-0.16</v>
      </c>
      <c r="DI72" s="228">
        <v>50.64</v>
      </c>
      <c r="DJ72" s="228">
        <v>46.54</v>
      </c>
      <c r="DK72" s="228">
        <v>4.0999999999999996</v>
      </c>
      <c r="DL72" s="228">
        <v>4.0999999999999996</v>
      </c>
      <c r="DM72" s="228">
        <v>56.62</v>
      </c>
      <c r="DN72" s="228">
        <v>54.12</v>
      </c>
      <c r="DO72" s="228">
        <v>2.5</v>
      </c>
      <c r="DP72" s="228">
        <v>2.5</v>
      </c>
      <c r="DQ72" s="228">
        <v>0.5</v>
      </c>
      <c r="DR72" s="228">
        <v>0.99</v>
      </c>
      <c r="DS72" s="228">
        <v>-0.49</v>
      </c>
      <c r="DT72" s="229">
        <v>-0.49490000000000001</v>
      </c>
      <c r="DU72" s="231">
        <v>2100</v>
      </c>
      <c r="DV72" s="231">
        <v>2000</v>
      </c>
      <c r="DW72" s="228">
        <v>0.18</v>
      </c>
      <c r="DX72" s="228">
        <v>0.42</v>
      </c>
      <c r="DY72" s="228">
        <v>-0.24</v>
      </c>
      <c r="DZ72" s="229">
        <v>-0.57140000000000002</v>
      </c>
      <c r="EA72" s="229">
        <v>0.1012</v>
      </c>
      <c r="EB72" s="230">
        <v>21725</v>
      </c>
      <c r="EC72" s="229">
        <v>5.9999999999999995E-4</v>
      </c>
      <c r="ED72" s="229">
        <v>0.1012</v>
      </c>
      <c r="EE72" s="228">
        <v>-0.05</v>
      </c>
      <c r="EF72" s="229">
        <v>0</v>
      </c>
      <c r="EG72" s="230">
        <v>247736</v>
      </c>
      <c r="EH72" s="230">
        <v>287253</v>
      </c>
      <c r="EI72" s="229">
        <v>-0.1376</v>
      </c>
      <c r="EJ72" s="229">
        <v>0.1933</v>
      </c>
      <c r="EK72" s="228">
        <v>149.71</v>
      </c>
      <c r="EL72" s="228">
        <v>23.57</v>
      </c>
      <c r="EM72" s="228">
        <v>66.81</v>
      </c>
      <c r="EN72" s="228">
        <v>5.41</v>
      </c>
      <c r="EO72" s="228">
        <v>240.1</v>
      </c>
      <c r="EP72" s="228">
        <v>89.71</v>
      </c>
      <c r="EQ72" s="228">
        <v>150.38999999999999</v>
      </c>
      <c r="ER72" s="229">
        <v>1.6765000000000001</v>
      </c>
      <c r="ES72" s="228">
        <v>32.69</v>
      </c>
      <c r="ET72" s="228">
        <v>14.64</v>
      </c>
      <c r="EU72" s="228">
        <v>58.71</v>
      </c>
      <c r="EV72" s="231">
        <v>6329596</v>
      </c>
      <c r="EW72" s="228">
        <v>106.04</v>
      </c>
      <c r="EX72" s="228">
        <v>72.09</v>
      </c>
      <c r="EY72" s="228">
        <v>33.950000000000003</v>
      </c>
      <c r="EZ72" s="229">
        <v>0.47089999999999999</v>
      </c>
      <c r="FA72" s="229">
        <v>8.2500000000000004E-2</v>
      </c>
      <c r="FB72" s="227" t="s">
        <v>555</v>
      </c>
      <c r="FC72">
        <f t="shared" si="1"/>
        <v>6</v>
      </c>
    </row>
    <row r="73" spans="1:159" ht="17.25" thickBot="1" x14ac:dyDescent="0.3">
      <c r="A73" s="226">
        <v>46121</v>
      </c>
      <c r="B73" s="227" t="s">
        <v>168</v>
      </c>
      <c r="C73" s="227" t="s">
        <v>217</v>
      </c>
      <c r="D73" s="228">
        <v>500</v>
      </c>
      <c r="E73" s="228">
        <v>19</v>
      </c>
      <c r="F73" s="231">
        <v>1066.8</v>
      </c>
      <c r="G73" s="231">
        <v>1080.7</v>
      </c>
      <c r="H73" s="228">
        <v>-13.9</v>
      </c>
      <c r="I73" s="229">
        <v>-1.29E-2</v>
      </c>
      <c r="J73" s="231">
        <v>1063.3499999999999</v>
      </c>
      <c r="K73" s="231">
        <v>1075.1500000000001</v>
      </c>
      <c r="L73" s="228">
        <v>-11.8</v>
      </c>
      <c r="M73" s="229">
        <v>-1.0999999999999999E-2</v>
      </c>
      <c r="N73" s="231">
        <v>1066.8</v>
      </c>
      <c r="O73" s="231">
        <v>1080.7</v>
      </c>
      <c r="P73" s="228">
        <v>-13.9</v>
      </c>
      <c r="Q73" s="229">
        <v>-1.29E-2</v>
      </c>
      <c r="R73" s="231">
        <v>1066.95</v>
      </c>
      <c r="S73" s="231">
        <v>1083.25</v>
      </c>
      <c r="T73" s="228">
        <v>-16.3</v>
      </c>
      <c r="U73" s="229">
        <v>-1.4999999999999999E-2</v>
      </c>
      <c r="V73" s="231">
        <v>1091</v>
      </c>
      <c r="W73" s="231">
        <v>1085</v>
      </c>
      <c r="X73" s="228">
        <v>6</v>
      </c>
      <c r="Y73" s="229">
        <v>5.4999999999999997E-3</v>
      </c>
      <c r="Z73" s="228">
        <v>3.45</v>
      </c>
      <c r="AA73" s="228">
        <v>5.55</v>
      </c>
      <c r="AB73" s="228">
        <v>-2.1</v>
      </c>
      <c r="AC73" s="229">
        <v>3.2000000000000002E-3</v>
      </c>
      <c r="AD73" s="228">
        <v>3.45</v>
      </c>
      <c r="AE73" s="228">
        <v>5.55</v>
      </c>
      <c r="AF73" s="228">
        <v>-2.1</v>
      </c>
      <c r="AG73" s="229">
        <v>3.2000000000000002E-3</v>
      </c>
      <c r="AH73" s="228">
        <v>3.6</v>
      </c>
      <c r="AI73" s="228">
        <v>8.1</v>
      </c>
      <c r="AJ73" s="228">
        <v>-4.5</v>
      </c>
      <c r="AK73" s="229">
        <v>3.3999999999999998E-3</v>
      </c>
      <c r="AL73" s="228">
        <v>27.65</v>
      </c>
      <c r="AM73" s="228">
        <v>9.85</v>
      </c>
      <c r="AN73" s="228">
        <v>17.8</v>
      </c>
      <c r="AO73" s="229">
        <v>2.5999999999999999E-2</v>
      </c>
      <c r="AP73" s="231">
        <v>1070.8399999999999</v>
      </c>
      <c r="AQ73" s="231">
        <v>1074.42</v>
      </c>
      <c r="AR73" s="228">
        <v>0</v>
      </c>
      <c r="AS73" s="228">
        <v>142</v>
      </c>
      <c r="AT73" s="228">
        <v>371</v>
      </c>
      <c r="AU73" s="228">
        <v>-229</v>
      </c>
      <c r="AV73" s="229">
        <v>-0.61709999999999998</v>
      </c>
      <c r="AW73" s="228">
        <v>140</v>
      </c>
      <c r="AX73" s="228">
        <v>367</v>
      </c>
      <c r="AY73" s="228">
        <v>-228</v>
      </c>
      <c r="AZ73" s="229">
        <v>-0.61960000000000004</v>
      </c>
      <c r="BA73" s="228">
        <v>2</v>
      </c>
      <c r="BB73" s="228">
        <v>4</v>
      </c>
      <c r="BC73" s="228">
        <v>-1</v>
      </c>
      <c r="BD73" s="229">
        <v>-0.35820000000000002</v>
      </c>
      <c r="BE73" s="228">
        <v>0</v>
      </c>
      <c r="BF73" s="228">
        <v>0</v>
      </c>
      <c r="BG73" s="228">
        <v>0</v>
      </c>
      <c r="BH73" s="229">
        <v>-0.66669999999999996</v>
      </c>
      <c r="BI73" s="228">
        <v>87</v>
      </c>
      <c r="BJ73" s="228">
        <v>309</v>
      </c>
      <c r="BK73" s="228">
        <v>-221</v>
      </c>
      <c r="BL73" s="229">
        <v>-0.71699999999999997</v>
      </c>
      <c r="BM73" s="228">
        <v>58</v>
      </c>
      <c r="BN73" s="228">
        <v>169</v>
      </c>
      <c r="BO73" s="228">
        <v>-111</v>
      </c>
      <c r="BP73" s="229">
        <v>-0.65849999999999997</v>
      </c>
      <c r="BQ73" s="228">
        <v>287</v>
      </c>
      <c r="BR73" s="228">
        <v>849</v>
      </c>
      <c r="BS73" s="228">
        <v>-561</v>
      </c>
      <c r="BT73" s="229">
        <v>-0.66159999999999997</v>
      </c>
      <c r="BU73" s="230">
        <v>1207544</v>
      </c>
      <c r="BV73" s="230">
        <v>3362644</v>
      </c>
      <c r="BW73" s="230">
        <v>-2155100</v>
      </c>
      <c r="BX73" s="229">
        <v>-0.64090000000000003</v>
      </c>
      <c r="BY73" s="230">
        <v>1331</v>
      </c>
      <c r="BZ73" s="230">
        <v>1309</v>
      </c>
      <c r="CA73" s="228">
        <v>22</v>
      </c>
      <c r="CB73" s="229">
        <v>1.7100000000000001E-2</v>
      </c>
      <c r="CC73" s="230">
        <v>1323</v>
      </c>
      <c r="CD73" s="230">
        <v>1301</v>
      </c>
      <c r="CE73" s="228">
        <v>22</v>
      </c>
      <c r="CF73" s="229">
        <v>1.7100000000000001E-2</v>
      </c>
      <c r="CG73" s="228">
        <v>8</v>
      </c>
      <c r="CH73" s="228">
        <v>8</v>
      </c>
      <c r="CI73" s="228">
        <v>0</v>
      </c>
      <c r="CJ73" s="229">
        <v>6.4999999999999997E-3</v>
      </c>
      <c r="CK73" s="228">
        <v>0</v>
      </c>
      <c r="CL73" s="228">
        <v>0</v>
      </c>
      <c r="CM73" s="228">
        <v>0</v>
      </c>
      <c r="CN73" s="229">
        <v>0.25</v>
      </c>
      <c r="CO73" s="228">
        <v>122</v>
      </c>
      <c r="CP73" s="228">
        <v>117</v>
      </c>
      <c r="CQ73" s="228">
        <v>4</v>
      </c>
      <c r="CR73" s="229">
        <v>3.7699999999999997E-2</v>
      </c>
      <c r="CS73" s="228">
        <v>113</v>
      </c>
      <c r="CT73" s="228">
        <v>109</v>
      </c>
      <c r="CU73" s="228">
        <v>3</v>
      </c>
      <c r="CV73" s="229">
        <v>2.93E-2</v>
      </c>
      <c r="CW73" s="230">
        <v>1566</v>
      </c>
      <c r="CX73" s="230">
        <v>1536</v>
      </c>
      <c r="CY73" s="228">
        <v>30</v>
      </c>
      <c r="CZ73" s="229">
        <v>1.9599999999999999E-2</v>
      </c>
      <c r="DA73" s="228">
        <v>31.47</v>
      </c>
      <c r="DB73" s="228">
        <v>30.98</v>
      </c>
      <c r="DC73" s="228">
        <v>0.49</v>
      </c>
      <c r="DD73" s="228">
        <v>0.49</v>
      </c>
      <c r="DE73" s="228">
        <v>30.26</v>
      </c>
      <c r="DF73" s="228">
        <v>30.3</v>
      </c>
      <c r="DG73" s="228">
        <v>1.21</v>
      </c>
      <c r="DH73" s="228">
        <v>-0.04</v>
      </c>
      <c r="DI73" s="228">
        <v>30.62</v>
      </c>
      <c r="DJ73" s="228">
        <v>30.32</v>
      </c>
      <c r="DK73" s="228">
        <v>0.3</v>
      </c>
      <c r="DL73" s="228">
        <v>0.3</v>
      </c>
      <c r="DM73" s="228">
        <v>32.76</v>
      </c>
      <c r="DN73" s="228">
        <v>32.18</v>
      </c>
      <c r="DO73" s="228">
        <v>0.57999999999999996</v>
      </c>
      <c r="DP73" s="228">
        <v>0.57999999999999996</v>
      </c>
      <c r="DQ73" s="228">
        <v>0.92</v>
      </c>
      <c r="DR73" s="228">
        <v>0.93</v>
      </c>
      <c r="DS73" s="228">
        <v>-0.01</v>
      </c>
      <c r="DT73" s="229">
        <v>-1.0800000000000001E-2</v>
      </c>
      <c r="DU73" s="231">
        <v>1100</v>
      </c>
      <c r="DV73" s="231">
        <v>1000</v>
      </c>
      <c r="DW73" s="228">
        <v>0.66</v>
      </c>
      <c r="DX73" s="228">
        <v>0.55000000000000004</v>
      </c>
      <c r="DY73" s="228">
        <v>0.11</v>
      </c>
      <c r="DZ73" s="229">
        <v>0.2</v>
      </c>
      <c r="EA73" s="229">
        <v>6.4000000000000003E-3</v>
      </c>
      <c r="EB73" s="230">
        <v>78500</v>
      </c>
      <c r="EC73" s="229">
        <v>1E-4</v>
      </c>
      <c r="ED73" s="229">
        <v>6.4000000000000003E-3</v>
      </c>
      <c r="EE73" s="228">
        <v>3.58</v>
      </c>
      <c r="EF73" s="229">
        <v>3.3E-3</v>
      </c>
      <c r="EG73" s="230">
        <v>644734</v>
      </c>
      <c r="EH73" s="230">
        <v>2143424</v>
      </c>
      <c r="EI73" s="229">
        <v>-0.69920000000000004</v>
      </c>
      <c r="EJ73" s="229">
        <v>0.53390000000000004</v>
      </c>
      <c r="EK73" s="228">
        <v>91.71</v>
      </c>
      <c r="EL73" s="228">
        <v>57.23</v>
      </c>
      <c r="EM73" s="228">
        <v>142.63999999999999</v>
      </c>
      <c r="EN73" s="228">
        <v>53.43</v>
      </c>
      <c r="EO73" s="228">
        <v>291.58</v>
      </c>
      <c r="EP73" s="228">
        <v>868.27</v>
      </c>
      <c r="EQ73" s="228">
        <v>-576.67999999999995</v>
      </c>
      <c r="ER73" s="229">
        <v>-0.66420000000000001</v>
      </c>
      <c r="ES73" s="228">
        <v>123.04</v>
      </c>
      <c r="ET73" s="228">
        <v>106.94</v>
      </c>
      <c r="EU73" s="231">
        <v>1331.37</v>
      </c>
      <c r="EV73" s="231">
        <v>53250524</v>
      </c>
      <c r="EW73" s="231">
        <v>1561.36</v>
      </c>
      <c r="EX73" s="231">
        <v>1548.77</v>
      </c>
      <c r="EY73" s="228">
        <v>12.59</v>
      </c>
      <c r="EZ73" s="229">
        <v>8.0999999999999996E-3</v>
      </c>
      <c r="FA73" s="229">
        <v>0.27560000000000001</v>
      </c>
      <c r="FB73" s="227" t="s">
        <v>566</v>
      </c>
      <c r="FC73">
        <f t="shared" si="1"/>
        <v>8</v>
      </c>
    </row>
    <row r="74" spans="1:159" ht="17.25" thickBot="1" x14ac:dyDescent="0.3">
      <c r="A74" s="226">
        <v>46121</v>
      </c>
      <c r="B74" s="227" t="s">
        <v>206</v>
      </c>
      <c r="C74" s="227" t="s">
        <v>218</v>
      </c>
      <c r="D74" s="228">
        <v>275</v>
      </c>
      <c r="E74" s="228">
        <v>19</v>
      </c>
      <c r="F74" s="231">
        <v>1700.1</v>
      </c>
      <c r="G74" s="231">
        <v>1711.3</v>
      </c>
      <c r="H74" s="228">
        <v>-11.2</v>
      </c>
      <c r="I74" s="229">
        <v>-6.4999999999999997E-3</v>
      </c>
      <c r="J74" s="231">
        <v>1695.5</v>
      </c>
      <c r="K74" s="231">
        <v>1702.2</v>
      </c>
      <c r="L74" s="228">
        <v>-6.7</v>
      </c>
      <c r="M74" s="229">
        <v>-3.8999999999999998E-3</v>
      </c>
      <c r="N74" s="231">
        <v>1700.1</v>
      </c>
      <c r="O74" s="231">
        <v>1711.3</v>
      </c>
      <c r="P74" s="228">
        <v>-11.2</v>
      </c>
      <c r="Q74" s="229">
        <v>-6.4999999999999997E-3</v>
      </c>
      <c r="R74" s="231">
        <v>1709.6</v>
      </c>
      <c r="S74" s="231">
        <v>1722</v>
      </c>
      <c r="T74" s="228">
        <v>-12.4</v>
      </c>
      <c r="U74" s="229">
        <v>-7.1999999999999998E-3</v>
      </c>
      <c r="V74" s="231">
        <v>1713.3</v>
      </c>
      <c r="W74" s="231">
        <v>1732.2</v>
      </c>
      <c r="X74" s="228">
        <v>-18.899999999999999</v>
      </c>
      <c r="Y74" s="229">
        <v>-1.09E-2</v>
      </c>
      <c r="Z74" s="228">
        <v>4.5999999999999996</v>
      </c>
      <c r="AA74" s="228">
        <v>9.1</v>
      </c>
      <c r="AB74" s="228">
        <v>-4.5</v>
      </c>
      <c r="AC74" s="229">
        <v>2.7000000000000001E-3</v>
      </c>
      <c r="AD74" s="228">
        <v>4.5999999999999996</v>
      </c>
      <c r="AE74" s="228">
        <v>9.1</v>
      </c>
      <c r="AF74" s="228">
        <v>-4.5</v>
      </c>
      <c r="AG74" s="229">
        <v>2.7000000000000001E-3</v>
      </c>
      <c r="AH74" s="228">
        <v>14.1</v>
      </c>
      <c r="AI74" s="228">
        <v>19.8</v>
      </c>
      <c r="AJ74" s="228">
        <v>-5.7</v>
      </c>
      <c r="AK74" s="229">
        <v>8.3000000000000001E-3</v>
      </c>
      <c r="AL74" s="228">
        <v>17.8</v>
      </c>
      <c r="AM74" s="228">
        <v>30</v>
      </c>
      <c r="AN74" s="228">
        <v>-12.2</v>
      </c>
      <c r="AO74" s="229">
        <v>1.0500000000000001E-2</v>
      </c>
      <c r="AP74" s="231">
        <v>1700.1</v>
      </c>
      <c r="AQ74" s="231">
        <v>1709.39</v>
      </c>
      <c r="AR74" s="228">
        <v>0</v>
      </c>
      <c r="AS74" s="228">
        <v>158</v>
      </c>
      <c r="AT74" s="228">
        <v>235</v>
      </c>
      <c r="AU74" s="228">
        <v>-76</v>
      </c>
      <c r="AV74" s="229">
        <v>-0.3261</v>
      </c>
      <c r="AW74" s="228">
        <v>149</v>
      </c>
      <c r="AX74" s="228">
        <v>218</v>
      </c>
      <c r="AY74" s="228">
        <v>-69</v>
      </c>
      <c r="AZ74" s="229">
        <v>-0.31590000000000001</v>
      </c>
      <c r="BA74" s="228">
        <v>7</v>
      </c>
      <c r="BB74" s="228">
        <v>13</v>
      </c>
      <c r="BC74" s="228">
        <v>-5</v>
      </c>
      <c r="BD74" s="229">
        <v>-0.40300000000000002</v>
      </c>
      <c r="BE74" s="228">
        <v>1</v>
      </c>
      <c r="BF74" s="228">
        <v>4</v>
      </c>
      <c r="BG74" s="228">
        <v>-3</v>
      </c>
      <c r="BH74" s="229">
        <v>-0.65059999999999996</v>
      </c>
      <c r="BI74" s="228">
        <v>223</v>
      </c>
      <c r="BJ74" s="228">
        <v>590</v>
      </c>
      <c r="BK74" s="228">
        <v>-367</v>
      </c>
      <c r="BL74" s="229">
        <v>-0.62239999999999995</v>
      </c>
      <c r="BM74" s="228">
        <v>207</v>
      </c>
      <c r="BN74" s="228">
        <v>344</v>
      </c>
      <c r="BO74" s="228">
        <v>-137</v>
      </c>
      <c r="BP74" s="229">
        <v>-0.3977</v>
      </c>
      <c r="BQ74" s="228">
        <v>588</v>
      </c>
      <c r="BR74" s="230">
        <v>1168</v>
      </c>
      <c r="BS74" s="228">
        <v>-580</v>
      </c>
      <c r="BT74" s="229">
        <v>-0.49680000000000002</v>
      </c>
      <c r="BU74" s="230">
        <v>822104</v>
      </c>
      <c r="BV74" s="230">
        <v>1522339</v>
      </c>
      <c r="BW74" s="230">
        <v>-700235</v>
      </c>
      <c r="BX74" s="229">
        <v>-0.46</v>
      </c>
      <c r="BY74" s="230">
        <v>1360</v>
      </c>
      <c r="BZ74" s="230">
        <v>1353</v>
      </c>
      <c r="CA74" s="228">
        <v>7</v>
      </c>
      <c r="CB74" s="229">
        <v>5.1999999999999998E-3</v>
      </c>
      <c r="CC74" s="230">
        <v>1320</v>
      </c>
      <c r="CD74" s="230">
        <v>1315</v>
      </c>
      <c r="CE74" s="228">
        <v>4</v>
      </c>
      <c r="CF74" s="229">
        <v>3.3999999999999998E-3</v>
      </c>
      <c r="CG74" s="228">
        <v>36</v>
      </c>
      <c r="CH74" s="228">
        <v>33</v>
      </c>
      <c r="CI74" s="228">
        <v>3</v>
      </c>
      <c r="CJ74" s="229">
        <v>8.7300000000000003E-2</v>
      </c>
      <c r="CK74" s="228">
        <v>4</v>
      </c>
      <c r="CL74" s="228">
        <v>4</v>
      </c>
      <c r="CM74" s="228">
        <v>0</v>
      </c>
      <c r="CN74" s="229">
        <v>-0.1</v>
      </c>
      <c r="CO74" s="228">
        <v>366</v>
      </c>
      <c r="CP74" s="228">
        <v>373</v>
      </c>
      <c r="CQ74" s="228">
        <v>-8</v>
      </c>
      <c r="CR74" s="229">
        <v>-2.0299999999999999E-2</v>
      </c>
      <c r="CS74" s="228">
        <v>293</v>
      </c>
      <c r="CT74" s="228">
        <v>284</v>
      </c>
      <c r="CU74" s="228">
        <v>8</v>
      </c>
      <c r="CV74" s="229">
        <v>2.9399999999999999E-2</v>
      </c>
      <c r="CW74" s="230">
        <v>2018</v>
      </c>
      <c r="CX74" s="230">
        <v>2010</v>
      </c>
      <c r="CY74" s="228">
        <v>8</v>
      </c>
      <c r="CZ74" s="229">
        <v>3.8999999999999998E-3</v>
      </c>
      <c r="DA74" s="228">
        <v>42.82</v>
      </c>
      <c r="DB74" s="228">
        <v>42.81</v>
      </c>
      <c r="DC74" s="228">
        <v>0.01</v>
      </c>
      <c r="DD74" s="228">
        <v>0.01</v>
      </c>
      <c r="DE74" s="228">
        <v>46.2</v>
      </c>
      <c r="DF74" s="228">
        <v>46.31</v>
      </c>
      <c r="DG74" s="228">
        <v>-3.38</v>
      </c>
      <c r="DH74" s="228">
        <v>-0.11</v>
      </c>
      <c r="DI74" s="228">
        <v>41.1</v>
      </c>
      <c r="DJ74" s="228">
        <v>40.89</v>
      </c>
      <c r="DK74" s="228">
        <v>0.21</v>
      </c>
      <c r="DL74" s="228">
        <v>0.21</v>
      </c>
      <c r="DM74" s="228">
        <v>44.66</v>
      </c>
      <c r="DN74" s="228">
        <v>46.09</v>
      </c>
      <c r="DO74" s="228">
        <v>-1.43</v>
      </c>
      <c r="DP74" s="228">
        <v>-1.43</v>
      </c>
      <c r="DQ74" s="228">
        <v>0.8</v>
      </c>
      <c r="DR74" s="228">
        <v>0.76</v>
      </c>
      <c r="DS74" s="228">
        <v>0.04</v>
      </c>
      <c r="DT74" s="229">
        <v>5.2600000000000001E-2</v>
      </c>
      <c r="DU74" s="231">
        <v>1700</v>
      </c>
      <c r="DV74" s="231">
        <v>1500</v>
      </c>
      <c r="DW74" s="228">
        <v>0.93</v>
      </c>
      <c r="DX74" s="228">
        <v>0.57999999999999996</v>
      </c>
      <c r="DY74" s="228">
        <v>0.35</v>
      </c>
      <c r="DZ74" s="229">
        <v>0.60340000000000005</v>
      </c>
      <c r="EA74" s="229">
        <v>2.93E-2</v>
      </c>
      <c r="EB74" s="230">
        <v>220000</v>
      </c>
      <c r="EC74" s="229">
        <v>5.5999999999999999E-3</v>
      </c>
      <c r="ED74" s="229">
        <v>2.93E-2</v>
      </c>
      <c r="EE74" s="228">
        <v>9.2899999999999991</v>
      </c>
      <c r="EF74" s="229">
        <v>5.4999999999999997E-3</v>
      </c>
      <c r="EG74" s="230">
        <v>353841</v>
      </c>
      <c r="EH74" s="230">
        <v>720759</v>
      </c>
      <c r="EI74" s="229">
        <v>-0.5091</v>
      </c>
      <c r="EJ74" s="229">
        <v>0.4304</v>
      </c>
      <c r="EK74" s="228">
        <v>236.68</v>
      </c>
      <c r="EL74" s="228">
        <v>202.16</v>
      </c>
      <c r="EM74" s="228">
        <v>158.13</v>
      </c>
      <c r="EN74" s="228">
        <v>50.57</v>
      </c>
      <c r="EO74" s="228">
        <v>596.97</v>
      </c>
      <c r="EP74" s="231">
        <v>1189.1400000000001</v>
      </c>
      <c r="EQ74" s="228">
        <v>-592.16999999999996</v>
      </c>
      <c r="ER74" s="229">
        <v>-0.498</v>
      </c>
      <c r="ES74" s="228">
        <v>363.03</v>
      </c>
      <c r="ET74" s="228">
        <v>265.70999999999998</v>
      </c>
      <c r="EU74" s="231">
        <v>1359.8</v>
      </c>
      <c r="EV74" s="231">
        <v>23870110</v>
      </c>
      <c r="EW74" s="231">
        <v>1988.54</v>
      </c>
      <c r="EX74" s="231">
        <v>1989.49</v>
      </c>
      <c r="EY74" s="228">
        <v>-0.95</v>
      </c>
      <c r="EZ74" s="229">
        <v>-5.0000000000000001E-4</v>
      </c>
      <c r="FA74" s="229">
        <v>0.49719999999999998</v>
      </c>
      <c r="FB74" s="227" t="s">
        <v>566</v>
      </c>
      <c r="FC74">
        <f t="shared" si="1"/>
        <v>40</v>
      </c>
    </row>
    <row r="75" spans="1:159" ht="17.25" thickBot="1" x14ac:dyDescent="0.3">
      <c r="A75" s="226">
        <v>46121</v>
      </c>
      <c r="B75" s="227" t="s">
        <v>157</v>
      </c>
      <c r="C75" s="227" t="s">
        <v>219</v>
      </c>
      <c r="D75" s="228">
        <v>250</v>
      </c>
      <c r="E75" s="228">
        <v>19</v>
      </c>
      <c r="F75" s="231">
        <v>2746.7</v>
      </c>
      <c r="G75" s="231">
        <v>2766.4</v>
      </c>
      <c r="H75" s="228">
        <v>-19.7</v>
      </c>
      <c r="I75" s="229">
        <v>-7.1000000000000004E-3</v>
      </c>
      <c r="J75" s="231">
        <v>2740.5</v>
      </c>
      <c r="K75" s="231">
        <v>2756.2</v>
      </c>
      <c r="L75" s="228">
        <v>-15.7</v>
      </c>
      <c r="M75" s="229">
        <v>-5.7000000000000002E-3</v>
      </c>
      <c r="N75" s="231">
        <v>2746.7</v>
      </c>
      <c r="O75" s="231">
        <v>2766.4</v>
      </c>
      <c r="P75" s="228">
        <v>-19.7</v>
      </c>
      <c r="Q75" s="229">
        <v>-7.1000000000000004E-3</v>
      </c>
      <c r="R75" s="231">
        <v>2760.2</v>
      </c>
      <c r="S75" s="231">
        <v>2785.6</v>
      </c>
      <c r="T75" s="228">
        <v>-25.4</v>
      </c>
      <c r="U75" s="229">
        <v>-9.1000000000000004E-3</v>
      </c>
      <c r="V75" s="231">
        <v>2777.6</v>
      </c>
      <c r="W75" s="231">
        <v>2798.6</v>
      </c>
      <c r="X75" s="228">
        <v>-21</v>
      </c>
      <c r="Y75" s="229">
        <v>-7.4999999999999997E-3</v>
      </c>
      <c r="Z75" s="228">
        <v>6.2</v>
      </c>
      <c r="AA75" s="228">
        <v>10.199999999999999</v>
      </c>
      <c r="AB75" s="228">
        <v>-4</v>
      </c>
      <c r="AC75" s="229">
        <v>2.3E-3</v>
      </c>
      <c r="AD75" s="228">
        <v>6.2</v>
      </c>
      <c r="AE75" s="228">
        <v>10.199999999999999</v>
      </c>
      <c r="AF75" s="228">
        <v>-4</v>
      </c>
      <c r="AG75" s="229">
        <v>2.3E-3</v>
      </c>
      <c r="AH75" s="228">
        <v>19.7</v>
      </c>
      <c r="AI75" s="228">
        <v>29.4</v>
      </c>
      <c r="AJ75" s="228">
        <v>-9.6999999999999993</v>
      </c>
      <c r="AK75" s="229">
        <v>7.1999999999999998E-3</v>
      </c>
      <c r="AL75" s="228">
        <v>37.1</v>
      </c>
      <c r="AM75" s="228">
        <v>42.4</v>
      </c>
      <c r="AN75" s="228">
        <v>-5.3</v>
      </c>
      <c r="AO75" s="229">
        <v>1.35E-2</v>
      </c>
      <c r="AP75" s="231">
        <v>2750.96</v>
      </c>
      <c r="AQ75" s="231">
        <v>2770.33</v>
      </c>
      <c r="AR75" s="228">
        <v>0</v>
      </c>
      <c r="AS75" s="228">
        <v>214</v>
      </c>
      <c r="AT75" s="228">
        <v>305</v>
      </c>
      <c r="AU75" s="228">
        <v>-91</v>
      </c>
      <c r="AV75" s="229">
        <v>-0.29920000000000002</v>
      </c>
      <c r="AW75" s="228">
        <v>204</v>
      </c>
      <c r="AX75" s="228">
        <v>293</v>
      </c>
      <c r="AY75" s="228">
        <v>-89</v>
      </c>
      <c r="AZ75" s="229">
        <v>-0.30280000000000001</v>
      </c>
      <c r="BA75" s="228">
        <v>9</v>
      </c>
      <c r="BB75" s="228">
        <v>11</v>
      </c>
      <c r="BC75" s="228">
        <v>-2</v>
      </c>
      <c r="BD75" s="229">
        <v>-0.20860000000000001</v>
      </c>
      <c r="BE75" s="228">
        <v>1</v>
      </c>
      <c r="BF75" s="228">
        <v>1</v>
      </c>
      <c r="BG75" s="228">
        <v>0</v>
      </c>
      <c r="BH75" s="229">
        <v>-0.26669999999999999</v>
      </c>
      <c r="BI75" s="228">
        <v>203</v>
      </c>
      <c r="BJ75" s="228">
        <v>439</v>
      </c>
      <c r="BK75" s="228">
        <v>-236</v>
      </c>
      <c r="BL75" s="229">
        <v>-0.53849999999999998</v>
      </c>
      <c r="BM75" s="228">
        <v>154</v>
      </c>
      <c r="BN75" s="228">
        <v>295</v>
      </c>
      <c r="BO75" s="228">
        <v>-141</v>
      </c>
      <c r="BP75" s="229">
        <v>-0.47770000000000001</v>
      </c>
      <c r="BQ75" s="228">
        <v>570</v>
      </c>
      <c r="BR75" s="230">
        <v>1039</v>
      </c>
      <c r="BS75" s="228">
        <v>-469</v>
      </c>
      <c r="BT75" s="229">
        <v>-0.45100000000000001</v>
      </c>
      <c r="BU75" s="230">
        <v>822992</v>
      </c>
      <c r="BV75" s="230">
        <v>828080</v>
      </c>
      <c r="BW75" s="230">
        <v>-5088</v>
      </c>
      <c r="BX75" s="229">
        <v>-6.1000000000000004E-3</v>
      </c>
      <c r="BY75" s="230">
        <v>3871</v>
      </c>
      <c r="BZ75" s="230">
        <v>3900</v>
      </c>
      <c r="CA75" s="228">
        <v>-29</v>
      </c>
      <c r="CB75" s="229">
        <v>-7.4000000000000003E-3</v>
      </c>
      <c r="CC75" s="230">
        <v>3790</v>
      </c>
      <c r="CD75" s="230">
        <v>3821</v>
      </c>
      <c r="CE75" s="228">
        <v>-31</v>
      </c>
      <c r="CF75" s="229">
        <v>-8.2000000000000007E-3</v>
      </c>
      <c r="CG75" s="228">
        <v>51</v>
      </c>
      <c r="CH75" s="228">
        <v>48</v>
      </c>
      <c r="CI75" s="228">
        <v>2</v>
      </c>
      <c r="CJ75" s="229">
        <v>4.6800000000000001E-2</v>
      </c>
      <c r="CK75" s="228">
        <v>31</v>
      </c>
      <c r="CL75" s="228">
        <v>30</v>
      </c>
      <c r="CM75" s="228">
        <v>0</v>
      </c>
      <c r="CN75" s="229">
        <v>8.9999999999999993E-3</v>
      </c>
      <c r="CO75" s="228">
        <v>458</v>
      </c>
      <c r="CP75" s="228">
        <v>425</v>
      </c>
      <c r="CQ75" s="228">
        <v>34</v>
      </c>
      <c r="CR75" s="229">
        <v>7.9699999999999993E-2</v>
      </c>
      <c r="CS75" s="228">
        <v>335</v>
      </c>
      <c r="CT75" s="228">
        <v>314</v>
      </c>
      <c r="CU75" s="228">
        <v>21</v>
      </c>
      <c r="CV75" s="229">
        <v>6.7299999999999999E-2</v>
      </c>
      <c r="CW75" s="230">
        <v>4665</v>
      </c>
      <c r="CX75" s="230">
        <v>4639</v>
      </c>
      <c r="CY75" s="228">
        <v>26</v>
      </c>
      <c r="CZ75" s="229">
        <v>5.5999999999999999E-3</v>
      </c>
      <c r="DA75" s="228">
        <v>30.28</v>
      </c>
      <c r="DB75" s="228">
        <v>29.97</v>
      </c>
      <c r="DC75" s="228">
        <v>0.31</v>
      </c>
      <c r="DD75" s="228">
        <v>0.31</v>
      </c>
      <c r="DE75" s="228">
        <v>28.61</v>
      </c>
      <c r="DF75" s="228">
        <v>28.66</v>
      </c>
      <c r="DG75" s="228">
        <v>1.67</v>
      </c>
      <c r="DH75" s="228">
        <v>-0.05</v>
      </c>
      <c r="DI75" s="228">
        <v>28.34</v>
      </c>
      <c r="DJ75" s="228">
        <v>28.59</v>
      </c>
      <c r="DK75" s="228">
        <v>-0.25</v>
      </c>
      <c r="DL75" s="228">
        <v>-0.25</v>
      </c>
      <c r="DM75" s="228">
        <v>32.83</v>
      </c>
      <c r="DN75" s="228">
        <v>32.020000000000003</v>
      </c>
      <c r="DO75" s="228">
        <v>0.81</v>
      </c>
      <c r="DP75" s="228">
        <v>0.81</v>
      </c>
      <c r="DQ75" s="228">
        <v>0.73</v>
      </c>
      <c r="DR75" s="228">
        <v>0.74</v>
      </c>
      <c r="DS75" s="228">
        <v>-0.01</v>
      </c>
      <c r="DT75" s="229">
        <v>-1.35E-2</v>
      </c>
      <c r="DU75" s="231">
        <v>2620</v>
      </c>
      <c r="DV75" s="231">
        <v>2600</v>
      </c>
      <c r="DW75" s="228">
        <v>0.76</v>
      </c>
      <c r="DX75" s="228">
        <v>0.67</v>
      </c>
      <c r="DY75" s="228">
        <v>0.09</v>
      </c>
      <c r="DZ75" s="229">
        <v>0.1343</v>
      </c>
      <c r="EA75" s="229">
        <v>2.1000000000000001E-2</v>
      </c>
      <c r="EB75" s="230">
        <v>286750</v>
      </c>
      <c r="EC75" s="229">
        <v>4.8999999999999998E-3</v>
      </c>
      <c r="ED75" s="229">
        <v>2.1000000000000001E-2</v>
      </c>
      <c r="EE75" s="228">
        <v>19.37</v>
      </c>
      <c r="EF75" s="229">
        <v>7.0000000000000001E-3</v>
      </c>
      <c r="EG75" s="230">
        <v>487131</v>
      </c>
      <c r="EH75" s="230">
        <v>402735</v>
      </c>
      <c r="EI75" s="229">
        <v>0.20960000000000001</v>
      </c>
      <c r="EJ75" s="229">
        <v>0.59189999999999998</v>
      </c>
      <c r="EK75" s="228">
        <v>212.25</v>
      </c>
      <c r="EL75" s="228">
        <v>149.63</v>
      </c>
      <c r="EM75" s="228">
        <v>213.96</v>
      </c>
      <c r="EN75" s="228">
        <v>39.79</v>
      </c>
      <c r="EO75" s="228">
        <v>575.85</v>
      </c>
      <c r="EP75" s="231">
        <v>1056.1300000000001</v>
      </c>
      <c r="EQ75" s="228">
        <v>-480.28</v>
      </c>
      <c r="ER75" s="229">
        <v>-0.45479999999999998</v>
      </c>
      <c r="ES75" s="228">
        <v>457.99</v>
      </c>
      <c r="ET75" s="228">
        <v>312.41000000000003</v>
      </c>
      <c r="EU75" s="231">
        <v>3871.72</v>
      </c>
      <c r="EV75" s="231">
        <v>38401443</v>
      </c>
      <c r="EW75" s="231">
        <v>4642.12</v>
      </c>
      <c r="EX75" s="231">
        <v>4644.24</v>
      </c>
      <c r="EY75" s="228">
        <v>-2.12</v>
      </c>
      <c r="EZ75" s="229">
        <v>-5.0000000000000001E-4</v>
      </c>
      <c r="FA75" s="229">
        <v>0.44230000000000003</v>
      </c>
      <c r="FB75" s="227" t="s">
        <v>567</v>
      </c>
      <c r="FC75">
        <f t="shared" si="1"/>
        <v>81</v>
      </c>
    </row>
    <row r="76" spans="1:159" ht="17.25" thickBot="1" x14ac:dyDescent="0.3">
      <c r="A76" s="226">
        <v>46121</v>
      </c>
      <c r="B76" s="227" t="s">
        <v>184</v>
      </c>
      <c r="C76" s="227" t="s">
        <v>513</v>
      </c>
      <c r="D76" s="228">
        <v>150</v>
      </c>
      <c r="E76" s="228">
        <v>19</v>
      </c>
      <c r="F76" s="231">
        <v>4052.7</v>
      </c>
      <c r="G76" s="231">
        <v>3917.5</v>
      </c>
      <c r="H76" s="228">
        <v>135.19999999999999</v>
      </c>
      <c r="I76" s="229">
        <v>3.4500000000000003E-2</v>
      </c>
      <c r="J76" s="231">
        <v>4032.9</v>
      </c>
      <c r="K76" s="231">
        <v>3907.5</v>
      </c>
      <c r="L76" s="228">
        <v>125.4</v>
      </c>
      <c r="M76" s="229">
        <v>3.2099999999999997E-2</v>
      </c>
      <c r="N76" s="231">
        <v>4052.7</v>
      </c>
      <c r="O76" s="231">
        <v>3917.5</v>
      </c>
      <c r="P76" s="228">
        <v>135.19999999999999</v>
      </c>
      <c r="Q76" s="229">
        <v>3.4500000000000003E-2</v>
      </c>
      <c r="R76" s="231">
        <v>4074</v>
      </c>
      <c r="S76" s="231">
        <v>3941.4</v>
      </c>
      <c r="T76" s="228">
        <v>132.6</v>
      </c>
      <c r="U76" s="229">
        <v>3.3599999999999998E-2</v>
      </c>
      <c r="V76" s="231">
        <v>4100.1000000000004</v>
      </c>
      <c r="W76" s="231">
        <v>3962.2</v>
      </c>
      <c r="X76" s="228">
        <v>137.9</v>
      </c>
      <c r="Y76" s="229">
        <v>3.4799999999999998E-2</v>
      </c>
      <c r="Z76" s="228">
        <v>19.8</v>
      </c>
      <c r="AA76" s="228">
        <v>10</v>
      </c>
      <c r="AB76" s="228">
        <v>9.8000000000000007</v>
      </c>
      <c r="AC76" s="229">
        <v>4.8999999999999998E-3</v>
      </c>
      <c r="AD76" s="228">
        <v>19.8</v>
      </c>
      <c r="AE76" s="228">
        <v>10</v>
      </c>
      <c r="AF76" s="228">
        <v>9.8000000000000007</v>
      </c>
      <c r="AG76" s="229">
        <v>4.8999999999999998E-3</v>
      </c>
      <c r="AH76" s="228">
        <v>41.1</v>
      </c>
      <c r="AI76" s="228">
        <v>33.9</v>
      </c>
      <c r="AJ76" s="228">
        <v>7.2</v>
      </c>
      <c r="AK76" s="229">
        <v>1.0200000000000001E-2</v>
      </c>
      <c r="AL76" s="228">
        <v>67.2</v>
      </c>
      <c r="AM76" s="228">
        <v>54.7</v>
      </c>
      <c r="AN76" s="228">
        <v>12.5</v>
      </c>
      <c r="AO76" s="229">
        <v>1.67E-2</v>
      </c>
      <c r="AP76" s="231">
        <v>4049.59</v>
      </c>
      <c r="AQ76" s="231">
        <v>4071.67</v>
      </c>
      <c r="AR76" s="228">
        <v>0</v>
      </c>
      <c r="AS76" s="228">
        <v>915</v>
      </c>
      <c r="AT76" s="228">
        <v>481</v>
      </c>
      <c r="AU76" s="228">
        <v>434</v>
      </c>
      <c r="AV76" s="229">
        <v>0.90239999999999998</v>
      </c>
      <c r="AW76" s="228">
        <v>803</v>
      </c>
      <c r="AX76" s="228">
        <v>428</v>
      </c>
      <c r="AY76" s="228">
        <v>376</v>
      </c>
      <c r="AZ76" s="229">
        <v>0.87860000000000005</v>
      </c>
      <c r="BA76" s="228">
        <v>96</v>
      </c>
      <c r="BB76" s="228">
        <v>43</v>
      </c>
      <c r="BC76" s="228">
        <v>53</v>
      </c>
      <c r="BD76" s="229">
        <v>1.2246999999999999</v>
      </c>
      <c r="BE76" s="228">
        <v>15</v>
      </c>
      <c r="BF76" s="228">
        <v>10</v>
      </c>
      <c r="BG76" s="228">
        <v>5</v>
      </c>
      <c r="BH76" s="229">
        <v>0.52729999999999999</v>
      </c>
      <c r="BI76" s="230">
        <v>6367</v>
      </c>
      <c r="BJ76" s="230">
        <v>1592</v>
      </c>
      <c r="BK76" s="230">
        <v>4774</v>
      </c>
      <c r="BL76" s="229">
        <v>2.9990000000000001</v>
      </c>
      <c r="BM76" s="230">
        <v>2368</v>
      </c>
      <c r="BN76" s="228">
        <v>788</v>
      </c>
      <c r="BO76" s="230">
        <v>1580</v>
      </c>
      <c r="BP76" s="229">
        <v>2.0036999999999998</v>
      </c>
      <c r="BQ76" s="230">
        <v>9649</v>
      </c>
      <c r="BR76" s="230">
        <v>2861</v>
      </c>
      <c r="BS76" s="230">
        <v>6788</v>
      </c>
      <c r="BT76" s="229">
        <v>2.3723000000000001</v>
      </c>
      <c r="BU76" s="230">
        <v>2953099</v>
      </c>
      <c r="BV76" s="230">
        <v>1507741</v>
      </c>
      <c r="BW76" s="230">
        <v>1445358</v>
      </c>
      <c r="BX76" s="229">
        <v>0.95860000000000001</v>
      </c>
      <c r="BY76" s="230">
        <v>3198</v>
      </c>
      <c r="BZ76" s="230">
        <v>3268</v>
      </c>
      <c r="CA76" s="228">
        <v>-70</v>
      </c>
      <c r="CB76" s="229">
        <v>-2.1399999999999999E-2</v>
      </c>
      <c r="CC76" s="230">
        <v>2999</v>
      </c>
      <c r="CD76" s="230">
        <v>3084</v>
      </c>
      <c r="CE76" s="228">
        <v>-85</v>
      </c>
      <c r="CF76" s="229">
        <v>-2.75E-2</v>
      </c>
      <c r="CG76" s="228">
        <v>181</v>
      </c>
      <c r="CH76" s="228">
        <v>168</v>
      </c>
      <c r="CI76" s="228">
        <v>12</v>
      </c>
      <c r="CJ76" s="229">
        <v>7.3700000000000002E-2</v>
      </c>
      <c r="CK76" s="228">
        <v>18</v>
      </c>
      <c r="CL76" s="228">
        <v>16</v>
      </c>
      <c r="CM76" s="228">
        <v>2</v>
      </c>
      <c r="CN76" s="229">
        <v>0.1515</v>
      </c>
      <c r="CO76" s="230">
        <v>1323</v>
      </c>
      <c r="CP76" s="230">
        <v>1135</v>
      </c>
      <c r="CQ76" s="228">
        <v>188</v>
      </c>
      <c r="CR76" s="229">
        <v>0.16600000000000001</v>
      </c>
      <c r="CS76" s="230">
        <v>1150</v>
      </c>
      <c r="CT76" s="230">
        <v>1031</v>
      </c>
      <c r="CU76" s="228">
        <v>119</v>
      </c>
      <c r="CV76" s="229">
        <v>0.1157</v>
      </c>
      <c r="CW76" s="230">
        <v>5671</v>
      </c>
      <c r="CX76" s="230">
        <v>5433</v>
      </c>
      <c r="CY76" s="228">
        <v>238</v>
      </c>
      <c r="CZ76" s="229">
        <v>4.3700000000000003E-2</v>
      </c>
      <c r="DA76" s="228">
        <v>33.26</v>
      </c>
      <c r="DB76" s="228">
        <v>32.14</v>
      </c>
      <c r="DC76" s="228">
        <v>1.1200000000000001</v>
      </c>
      <c r="DD76" s="228">
        <v>1.1200000000000001</v>
      </c>
      <c r="DE76" s="228">
        <v>39.159999999999997</v>
      </c>
      <c r="DF76" s="228">
        <v>38.99</v>
      </c>
      <c r="DG76" s="228">
        <v>-5.9</v>
      </c>
      <c r="DH76" s="228">
        <v>0.17</v>
      </c>
      <c r="DI76" s="228">
        <v>32.65</v>
      </c>
      <c r="DJ76" s="228">
        <v>30.69</v>
      </c>
      <c r="DK76" s="228">
        <v>1.96</v>
      </c>
      <c r="DL76" s="228">
        <v>1.96</v>
      </c>
      <c r="DM76" s="228">
        <v>34.880000000000003</v>
      </c>
      <c r="DN76" s="228">
        <v>35.07</v>
      </c>
      <c r="DO76" s="228">
        <v>-0.19</v>
      </c>
      <c r="DP76" s="228">
        <v>-0.19</v>
      </c>
      <c r="DQ76" s="228">
        <v>0.87</v>
      </c>
      <c r="DR76" s="228">
        <v>0.91</v>
      </c>
      <c r="DS76" s="228">
        <v>-0.04</v>
      </c>
      <c r="DT76" s="229">
        <v>-4.3999999999999997E-2</v>
      </c>
      <c r="DU76" s="231">
        <v>4500</v>
      </c>
      <c r="DV76" s="231">
        <v>3600</v>
      </c>
      <c r="DW76" s="228">
        <v>0.37</v>
      </c>
      <c r="DX76" s="228">
        <v>0.5</v>
      </c>
      <c r="DY76" s="228">
        <v>-0.13</v>
      </c>
      <c r="DZ76" s="229">
        <v>-0.26</v>
      </c>
      <c r="EA76" s="229">
        <v>6.2300000000000001E-2</v>
      </c>
      <c r="EB76" s="230">
        <v>454650</v>
      </c>
      <c r="EC76" s="229">
        <v>5.3E-3</v>
      </c>
      <c r="ED76" s="229">
        <v>6.2300000000000001E-2</v>
      </c>
      <c r="EE76" s="228">
        <v>22.08</v>
      </c>
      <c r="EF76" s="229">
        <v>5.4999999999999997E-3</v>
      </c>
      <c r="EG76" s="230">
        <v>893543</v>
      </c>
      <c r="EH76" s="230">
        <v>764724</v>
      </c>
      <c r="EI76" s="229">
        <v>0.16850000000000001</v>
      </c>
      <c r="EJ76" s="229">
        <v>0.30259999999999998</v>
      </c>
      <c r="EK76" s="231">
        <v>6717.85</v>
      </c>
      <c r="EL76" s="231">
        <v>2332.81</v>
      </c>
      <c r="EM76" s="228">
        <v>914.99</v>
      </c>
      <c r="EN76" s="228">
        <v>94.09</v>
      </c>
      <c r="EO76" s="231">
        <v>9965.64</v>
      </c>
      <c r="EP76" s="231">
        <v>2817.49</v>
      </c>
      <c r="EQ76" s="231">
        <v>7148.15</v>
      </c>
      <c r="ER76" s="229">
        <v>2.5371000000000001</v>
      </c>
      <c r="ES76" s="231">
        <v>1322.93</v>
      </c>
      <c r="ET76" s="231">
        <v>1079.43</v>
      </c>
      <c r="EU76" s="231">
        <v>3199.11</v>
      </c>
      <c r="EV76" s="231">
        <v>28450886</v>
      </c>
      <c r="EW76" s="231">
        <v>5601.48</v>
      </c>
      <c r="EX76" s="231">
        <v>5227.45</v>
      </c>
      <c r="EY76" s="228">
        <v>374.03</v>
      </c>
      <c r="EZ76" s="229">
        <v>7.1599999999999997E-2</v>
      </c>
      <c r="FA76" s="229">
        <v>0.49180000000000001</v>
      </c>
      <c r="FB76" s="227" t="s">
        <v>694</v>
      </c>
      <c r="FC76">
        <f t="shared" si="1"/>
        <v>199</v>
      </c>
    </row>
    <row r="77" spans="1:159" ht="17.25" thickBot="1" x14ac:dyDescent="0.3">
      <c r="A77" s="226">
        <v>46121</v>
      </c>
      <c r="B77" s="227" t="s">
        <v>184</v>
      </c>
      <c r="C77" s="227" t="s">
        <v>220</v>
      </c>
      <c r="D77" s="228">
        <v>500</v>
      </c>
      <c r="E77" s="228">
        <v>19</v>
      </c>
      <c r="F77" s="231">
        <v>1258.5</v>
      </c>
      <c r="G77" s="231">
        <v>1249</v>
      </c>
      <c r="H77" s="228">
        <v>9.5</v>
      </c>
      <c r="I77" s="229">
        <v>7.6E-3</v>
      </c>
      <c r="J77" s="231">
        <v>1257</v>
      </c>
      <c r="K77" s="231">
        <v>1246.4000000000001</v>
      </c>
      <c r="L77" s="228">
        <v>10.6</v>
      </c>
      <c r="M77" s="229">
        <v>8.5000000000000006E-3</v>
      </c>
      <c r="N77" s="231">
        <v>1258.5</v>
      </c>
      <c r="O77" s="231">
        <v>1249</v>
      </c>
      <c r="P77" s="228">
        <v>9.5</v>
      </c>
      <c r="Q77" s="229">
        <v>7.6E-3</v>
      </c>
      <c r="R77" s="231">
        <v>1263.5999999999999</v>
      </c>
      <c r="S77" s="231">
        <v>1254.0999999999999</v>
      </c>
      <c r="T77" s="228">
        <v>9.5</v>
      </c>
      <c r="U77" s="229">
        <v>7.6E-3</v>
      </c>
      <c r="V77" s="231">
        <v>1266.5</v>
      </c>
      <c r="W77" s="231">
        <v>1258</v>
      </c>
      <c r="X77" s="228">
        <v>8.5</v>
      </c>
      <c r="Y77" s="229">
        <v>6.7999999999999996E-3</v>
      </c>
      <c r="Z77" s="228">
        <v>1.5</v>
      </c>
      <c r="AA77" s="228">
        <v>2.6</v>
      </c>
      <c r="AB77" s="228">
        <v>-1.1000000000000001</v>
      </c>
      <c r="AC77" s="229">
        <v>1.1999999999999999E-3</v>
      </c>
      <c r="AD77" s="228">
        <v>1.5</v>
      </c>
      <c r="AE77" s="228">
        <v>2.6</v>
      </c>
      <c r="AF77" s="228">
        <v>-1.1000000000000001</v>
      </c>
      <c r="AG77" s="229">
        <v>1.1999999999999999E-3</v>
      </c>
      <c r="AH77" s="228">
        <v>6.6</v>
      </c>
      <c r="AI77" s="228">
        <v>7.7</v>
      </c>
      <c r="AJ77" s="228">
        <v>-1.1000000000000001</v>
      </c>
      <c r="AK77" s="229">
        <v>5.3E-3</v>
      </c>
      <c r="AL77" s="228">
        <v>9.5</v>
      </c>
      <c r="AM77" s="228">
        <v>11.6</v>
      </c>
      <c r="AN77" s="228">
        <v>-2.1</v>
      </c>
      <c r="AO77" s="229">
        <v>7.6E-3</v>
      </c>
      <c r="AP77" s="231">
        <v>1257.69</v>
      </c>
      <c r="AQ77" s="231">
        <v>1260.96</v>
      </c>
      <c r="AR77" s="228">
        <v>0</v>
      </c>
      <c r="AS77" s="228">
        <v>164</v>
      </c>
      <c r="AT77" s="228">
        <v>194</v>
      </c>
      <c r="AU77" s="228">
        <v>-31</v>
      </c>
      <c r="AV77" s="229">
        <v>-0.1578</v>
      </c>
      <c r="AW77" s="228">
        <v>157</v>
      </c>
      <c r="AX77" s="228">
        <v>183</v>
      </c>
      <c r="AY77" s="228">
        <v>-26</v>
      </c>
      <c r="AZ77" s="229">
        <v>-0.14069999999999999</v>
      </c>
      <c r="BA77" s="228">
        <v>6</v>
      </c>
      <c r="BB77" s="228">
        <v>10</v>
      </c>
      <c r="BC77" s="228">
        <v>-5</v>
      </c>
      <c r="BD77" s="229">
        <v>-0.44790000000000002</v>
      </c>
      <c r="BE77" s="228">
        <v>1</v>
      </c>
      <c r="BF77" s="228">
        <v>1</v>
      </c>
      <c r="BG77" s="228">
        <v>0</v>
      </c>
      <c r="BH77" s="229">
        <v>-0.29409999999999997</v>
      </c>
      <c r="BI77" s="228">
        <v>175</v>
      </c>
      <c r="BJ77" s="228">
        <v>304</v>
      </c>
      <c r="BK77" s="228">
        <v>-128</v>
      </c>
      <c r="BL77" s="229">
        <v>-0.42299999999999999</v>
      </c>
      <c r="BM77" s="228">
        <v>80</v>
      </c>
      <c r="BN77" s="228">
        <v>174</v>
      </c>
      <c r="BO77" s="228">
        <v>-94</v>
      </c>
      <c r="BP77" s="229">
        <v>-0.54149999999999998</v>
      </c>
      <c r="BQ77" s="228">
        <v>419</v>
      </c>
      <c r="BR77" s="228">
        <v>672</v>
      </c>
      <c r="BS77" s="228">
        <v>-254</v>
      </c>
      <c r="BT77" s="229">
        <v>-0.37709999999999999</v>
      </c>
      <c r="BU77" s="230">
        <v>1049652</v>
      </c>
      <c r="BV77" s="230">
        <v>784012</v>
      </c>
      <c r="BW77" s="230">
        <v>265640</v>
      </c>
      <c r="BX77" s="229">
        <v>0.33879999999999999</v>
      </c>
      <c r="BY77" s="230">
        <v>1058</v>
      </c>
      <c r="BZ77" s="230">
        <v>1069</v>
      </c>
      <c r="CA77" s="228">
        <v>-11</v>
      </c>
      <c r="CB77" s="229">
        <v>-1.01E-2</v>
      </c>
      <c r="CC77" s="230">
        <v>1037</v>
      </c>
      <c r="CD77" s="230">
        <v>1047</v>
      </c>
      <c r="CE77" s="228">
        <v>-11</v>
      </c>
      <c r="CF77" s="229">
        <v>-1.03E-2</v>
      </c>
      <c r="CG77" s="228">
        <v>19</v>
      </c>
      <c r="CH77" s="228">
        <v>19</v>
      </c>
      <c r="CI77" s="228">
        <v>0</v>
      </c>
      <c r="CJ77" s="229">
        <v>-9.7999999999999997E-3</v>
      </c>
      <c r="CK77" s="228">
        <v>2</v>
      </c>
      <c r="CL77" s="228">
        <v>2</v>
      </c>
      <c r="CM77" s="228">
        <v>0</v>
      </c>
      <c r="CN77" s="229">
        <v>8.5699999999999998E-2</v>
      </c>
      <c r="CO77" s="228">
        <v>235</v>
      </c>
      <c r="CP77" s="228">
        <v>228</v>
      </c>
      <c r="CQ77" s="228">
        <v>7</v>
      </c>
      <c r="CR77" s="229">
        <v>2.8899999999999999E-2</v>
      </c>
      <c r="CS77" s="228">
        <v>202</v>
      </c>
      <c r="CT77" s="228">
        <v>199</v>
      </c>
      <c r="CU77" s="228">
        <v>3</v>
      </c>
      <c r="CV77" s="229">
        <v>1.4200000000000001E-2</v>
      </c>
      <c r="CW77" s="230">
        <v>1495</v>
      </c>
      <c r="CX77" s="230">
        <v>1497</v>
      </c>
      <c r="CY77" s="228">
        <v>-1</v>
      </c>
      <c r="CZ77" s="229">
        <v>-8.9999999999999998E-4</v>
      </c>
      <c r="DA77" s="228">
        <v>35.64</v>
      </c>
      <c r="DB77" s="228">
        <v>36.270000000000003</v>
      </c>
      <c r="DC77" s="228">
        <v>-0.63</v>
      </c>
      <c r="DD77" s="228">
        <v>-0.63</v>
      </c>
      <c r="DE77" s="228">
        <v>29.77</v>
      </c>
      <c r="DF77" s="228">
        <v>29.82</v>
      </c>
      <c r="DG77" s="228">
        <v>5.87</v>
      </c>
      <c r="DH77" s="228">
        <v>-0.05</v>
      </c>
      <c r="DI77" s="228">
        <v>34.89</v>
      </c>
      <c r="DJ77" s="228">
        <v>35.479999999999997</v>
      </c>
      <c r="DK77" s="228">
        <v>-0.59</v>
      </c>
      <c r="DL77" s="228">
        <v>-0.59</v>
      </c>
      <c r="DM77" s="228">
        <v>37.299999999999997</v>
      </c>
      <c r="DN77" s="228">
        <v>37.67</v>
      </c>
      <c r="DO77" s="228">
        <v>-0.37</v>
      </c>
      <c r="DP77" s="228">
        <v>-0.37</v>
      </c>
      <c r="DQ77" s="228">
        <v>0.86</v>
      </c>
      <c r="DR77" s="228">
        <v>0.87</v>
      </c>
      <c r="DS77" s="228">
        <v>-0.01</v>
      </c>
      <c r="DT77" s="229">
        <v>-1.15E-2</v>
      </c>
      <c r="DU77" s="231">
        <v>1300</v>
      </c>
      <c r="DV77" s="231">
        <v>1200</v>
      </c>
      <c r="DW77" s="228">
        <v>0.46</v>
      </c>
      <c r="DX77" s="228">
        <v>0.56999999999999995</v>
      </c>
      <c r="DY77" s="228">
        <v>-0.11</v>
      </c>
      <c r="DZ77" s="229">
        <v>-0.193</v>
      </c>
      <c r="EA77" s="229">
        <v>2.0299999999999999E-2</v>
      </c>
      <c r="EB77" s="230">
        <v>171000</v>
      </c>
      <c r="EC77" s="229">
        <v>4.1000000000000003E-3</v>
      </c>
      <c r="ED77" s="229">
        <v>2.0299999999999999E-2</v>
      </c>
      <c r="EE77" s="228">
        <v>3.27</v>
      </c>
      <c r="EF77" s="229">
        <v>2.5999999999999999E-3</v>
      </c>
      <c r="EG77" s="230">
        <v>610366</v>
      </c>
      <c r="EH77" s="230">
        <v>426513</v>
      </c>
      <c r="EI77" s="229">
        <v>0.43109999999999998</v>
      </c>
      <c r="EJ77" s="229">
        <v>0.58150000000000002</v>
      </c>
      <c r="EK77" s="228">
        <v>186.21</v>
      </c>
      <c r="EL77" s="228">
        <v>78.92</v>
      </c>
      <c r="EM77" s="228">
        <v>163.46</v>
      </c>
      <c r="EN77" s="228">
        <v>29.76</v>
      </c>
      <c r="EO77" s="228">
        <v>428.59</v>
      </c>
      <c r="EP77" s="228">
        <v>689.02</v>
      </c>
      <c r="EQ77" s="228">
        <v>-260.43</v>
      </c>
      <c r="ER77" s="229">
        <v>-0.378</v>
      </c>
      <c r="ES77" s="228">
        <v>242.68</v>
      </c>
      <c r="ET77" s="228">
        <v>194.69</v>
      </c>
      <c r="EU77" s="231">
        <v>1058.24</v>
      </c>
      <c r="EV77" s="231">
        <v>29751886</v>
      </c>
      <c r="EW77" s="231">
        <v>1495.61</v>
      </c>
      <c r="EX77" s="231">
        <v>1488.29</v>
      </c>
      <c r="EY77" s="228">
        <v>7.32</v>
      </c>
      <c r="EZ77" s="229">
        <v>4.8999999999999998E-3</v>
      </c>
      <c r="FA77" s="229">
        <v>0.39929999999999999</v>
      </c>
      <c r="FB77" s="227" t="s">
        <v>694</v>
      </c>
      <c r="FC77">
        <f t="shared" si="1"/>
        <v>21</v>
      </c>
    </row>
    <row r="78" spans="1:159" ht="17.25" thickBot="1" x14ac:dyDescent="0.3">
      <c r="A78" s="226">
        <v>46121</v>
      </c>
      <c r="B78" s="227" t="s">
        <v>221</v>
      </c>
      <c r="C78" s="227" t="s">
        <v>222</v>
      </c>
      <c r="D78" s="228">
        <v>350</v>
      </c>
      <c r="E78" s="228">
        <v>19</v>
      </c>
      <c r="F78" s="231">
        <v>1444.3</v>
      </c>
      <c r="G78" s="231">
        <v>1427.4</v>
      </c>
      <c r="H78" s="228">
        <v>16.899999999999999</v>
      </c>
      <c r="I78" s="229">
        <v>1.18E-2</v>
      </c>
      <c r="J78" s="231">
        <v>1464.9</v>
      </c>
      <c r="K78" s="231">
        <v>1461</v>
      </c>
      <c r="L78" s="228">
        <v>3.9</v>
      </c>
      <c r="M78" s="229">
        <v>2.7000000000000001E-3</v>
      </c>
      <c r="N78" s="231">
        <v>1444.3</v>
      </c>
      <c r="O78" s="231">
        <v>1427.4</v>
      </c>
      <c r="P78" s="228">
        <v>16.899999999999999</v>
      </c>
      <c r="Q78" s="229">
        <v>1.18E-2</v>
      </c>
      <c r="R78" s="231">
        <v>1434.7</v>
      </c>
      <c r="S78" s="231">
        <v>1419.2</v>
      </c>
      <c r="T78" s="228">
        <v>15.5</v>
      </c>
      <c r="U78" s="229">
        <v>1.09E-2</v>
      </c>
      <c r="V78" s="231">
        <v>1428.6</v>
      </c>
      <c r="W78" s="231">
        <v>1413.7</v>
      </c>
      <c r="X78" s="228">
        <v>14.9</v>
      </c>
      <c r="Y78" s="229">
        <v>1.0500000000000001E-2</v>
      </c>
      <c r="Z78" s="228">
        <v>-20.6</v>
      </c>
      <c r="AA78" s="228">
        <v>-33.6</v>
      </c>
      <c r="AB78" s="228">
        <v>13</v>
      </c>
      <c r="AC78" s="229">
        <v>-1.41E-2</v>
      </c>
      <c r="AD78" s="228">
        <v>-20.6</v>
      </c>
      <c r="AE78" s="228">
        <v>-33.6</v>
      </c>
      <c r="AF78" s="228">
        <v>13</v>
      </c>
      <c r="AG78" s="229">
        <v>-1.41E-2</v>
      </c>
      <c r="AH78" s="228">
        <v>-30.2</v>
      </c>
      <c r="AI78" s="228">
        <v>-41.8</v>
      </c>
      <c r="AJ78" s="228">
        <v>11.6</v>
      </c>
      <c r="AK78" s="229">
        <v>-2.06E-2</v>
      </c>
      <c r="AL78" s="228">
        <v>-36.299999999999997</v>
      </c>
      <c r="AM78" s="228">
        <v>-47.3</v>
      </c>
      <c r="AN78" s="228">
        <v>11</v>
      </c>
      <c r="AO78" s="229">
        <v>-2.4799999999999999E-2</v>
      </c>
      <c r="AP78" s="231">
        <v>1428.31</v>
      </c>
      <c r="AQ78" s="231">
        <v>1416.2</v>
      </c>
      <c r="AR78" s="228">
        <v>0</v>
      </c>
      <c r="AS78" s="228">
        <v>535</v>
      </c>
      <c r="AT78" s="228">
        <v>569</v>
      </c>
      <c r="AU78" s="228">
        <v>-34</v>
      </c>
      <c r="AV78" s="229">
        <v>-5.9700000000000003E-2</v>
      </c>
      <c r="AW78" s="228">
        <v>490</v>
      </c>
      <c r="AX78" s="228">
        <v>450</v>
      </c>
      <c r="AY78" s="228">
        <v>40</v>
      </c>
      <c r="AZ78" s="229">
        <v>8.7900000000000006E-2</v>
      </c>
      <c r="BA78" s="228">
        <v>39</v>
      </c>
      <c r="BB78" s="228">
        <v>110</v>
      </c>
      <c r="BC78" s="228">
        <v>-71</v>
      </c>
      <c r="BD78" s="229">
        <v>-0.64649999999999996</v>
      </c>
      <c r="BE78" s="228">
        <v>7</v>
      </c>
      <c r="BF78" s="228">
        <v>9</v>
      </c>
      <c r="BG78" s="228">
        <v>-2</v>
      </c>
      <c r="BH78" s="229">
        <v>-0.25280000000000002</v>
      </c>
      <c r="BI78" s="230">
        <v>1320</v>
      </c>
      <c r="BJ78" s="230">
        <v>1136</v>
      </c>
      <c r="BK78" s="228">
        <v>183</v>
      </c>
      <c r="BL78" s="229">
        <v>0.1613</v>
      </c>
      <c r="BM78" s="228">
        <v>868</v>
      </c>
      <c r="BN78" s="228">
        <v>575</v>
      </c>
      <c r="BO78" s="228">
        <v>293</v>
      </c>
      <c r="BP78" s="229">
        <v>0.51060000000000005</v>
      </c>
      <c r="BQ78" s="230">
        <v>2723</v>
      </c>
      <c r="BR78" s="230">
        <v>2280</v>
      </c>
      <c r="BS78" s="228">
        <v>443</v>
      </c>
      <c r="BT78" s="229">
        <v>0.19420000000000001</v>
      </c>
      <c r="BU78" s="230">
        <v>4052080</v>
      </c>
      <c r="BV78" s="230">
        <v>4478980</v>
      </c>
      <c r="BW78" s="230">
        <v>-426900</v>
      </c>
      <c r="BX78" s="229">
        <v>-9.5299999999999996E-2</v>
      </c>
      <c r="BY78" s="230">
        <v>5351</v>
      </c>
      <c r="BZ78" s="230">
        <v>5318</v>
      </c>
      <c r="CA78" s="228">
        <v>33</v>
      </c>
      <c r="CB78" s="229">
        <v>6.1999999999999998E-3</v>
      </c>
      <c r="CC78" s="230">
        <v>5066</v>
      </c>
      <c r="CD78" s="230">
        <v>5048</v>
      </c>
      <c r="CE78" s="228">
        <v>18</v>
      </c>
      <c r="CF78" s="229">
        <v>3.5000000000000001E-3</v>
      </c>
      <c r="CG78" s="228">
        <v>264</v>
      </c>
      <c r="CH78" s="228">
        <v>250</v>
      </c>
      <c r="CI78" s="228">
        <v>14</v>
      </c>
      <c r="CJ78" s="229">
        <v>5.7700000000000001E-2</v>
      </c>
      <c r="CK78" s="228">
        <v>21</v>
      </c>
      <c r="CL78" s="228">
        <v>20</v>
      </c>
      <c r="CM78" s="228">
        <v>1</v>
      </c>
      <c r="CN78" s="229">
        <v>3.7199999999999997E-2</v>
      </c>
      <c r="CO78" s="228">
        <v>705</v>
      </c>
      <c r="CP78" s="228">
        <v>558</v>
      </c>
      <c r="CQ78" s="228">
        <v>147</v>
      </c>
      <c r="CR78" s="229">
        <v>0.26419999999999999</v>
      </c>
      <c r="CS78" s="228">
        <v>716</v>
      </c>
      <c r="CT78" s="228">
        <v>547</v>
      </c>
      <c r="CU78" s="228">
        <v>169</v>
      </c>
      <c r="CV78" s="229">
        <v>0.30890000000000001</v>
      </c>
      <c r="CW78" s="230">
        <v>6772</v>
      </c>
      <c r="CX78" s="230">
        <v>6423</v>
      </c>
      <c r="CY78" s="228">
        <v>349</v>
      </c>
      <c r="CZ78" s="229">
        <v>5.4399999999999997E-2</v>
      </c>
      <c r="DA78" s="228">
        <v>34.39</v>
      </c>
      <c r="DB78" s="228">
        <v>34.07</v>
      </c>
      <c r="DC78" s="228">
        <v>0.32</v>
      </c>
      <c r="DD78" s="228">
        <v>0.32</v>
      </c>
      <c r="DE78" s="228">
        <v>29.53</v>
      </c>
      <c r="DF78" s="228">
        <v>29.6</v>
      </c>
      <c r="DG78" s="228">
        <v>4.8600000000000003</v>
      </c>
      <c r="DH78" s="228">
        <v>-7.0000000000000007E-2</v>
      </c>
      <c r="DI78" s="228">
        <v>33.04</v>
      </c>
      <c r="DJ78" s="228">
        <v>33.21</v>
      </c>
      <c r="DK78" s="228">
        <v>-0.17</v>
      </c>
      <c r="DL78" s="228">
        <v>-0.17</v>
      </c>
      <c r="DM78" s="228">
        <v>36.450000000000003</v>
      </c>
      <c r="DN78" s="228">
        <v>35.75</v>
      </c>
      <c r="DO78" s="228">
        <v>0.7</v>
      </c>
      <c r="DP78" s="228">
        <v>0.7</v>
      </c>
      <c r="DQ78" s="228">
        <v>1.02</v>
      </c>
      <c r="DR78" s="228">
        <v>0.98</v>
      </c>
      <c r="DS78" s="228">
        <v>0.04</v>
      </c>
      <c r="DT78" s="229">
        <v>4.0800000000000003E-2</v>
      </c>
      <c r="DU78" s="231">
        <v>1500</v>
      </c>
      <c r="DV78" s="231">
        <v>1360</v>
      </c>
      <c r="DW78" s="228">
        <v>0.66</v>
      </c>
      <c r="DX78" s="228">
        <v>0.51</v>
      </c>
      <c r="DY78" s="228">
        <v>0.15</v>
      </c>
      <c r="DZ78" s="229">
        <v>0.29409999999999997</v>
      </c>
      <c r="EA78" s="229">
        <v>5.33E-2</v>
      </c>
      <c r="EB78" s="230">
        <v>1869350</v>
      </c>
      <c r="EC78" s="229">
        <v>-6.6E-3</v>
      </c>
      <c r="ED78" s="229">
        <v>5.33E-2</v>
      </c>
      <c r="EE78" s="228">
        <v>-12.11</v>
      </c>
      <c r="EF78" s="229">
        <v>-8.5000000000000006E-3</v>
      </c>
      <c r="EG78" s="230">
        <v>2584221</v>
      </c>
      <c r="EH78" s="230">
        <v>2510607</v>
      </c>
      <c r="EI78" s="229">
        <v>2.93E-2</v>
      </c>
      <c r="EJ78" s="229">
        <v>0.63780000000000003</v>
      </c>
      <c r="EK78" s="231">
        <v>1370.02</v>
      </c>
      <c r="EL78" s="228">
        <v>849.53</v>
      </c>
      <c r="EM78" s="228">
        <v>529.01</v>
      </c>
      <c r="EN78" s="228">
        <v>108.13</v>
      </c>
      <c r="EO78" s="231">
        <v>2748.57</v>
      </c>
      <c r="EP78" s="231">
        <v>2295.98</v>
      </c>
      <c r="EQ78" s="228">
        <v>452.59</v>
      </c>
      <c r="ER78" s="229">
        <v>0.1971</v>
      </c>
      <c r="ES78" s="228">
        <v>711.72</v>
      </c>
      <c r="ET78" s="228">
        <v>669.7</v>
      </c>
      <c r="EU78" s="231">
        <v>5348.94</v>
      </c>
      <c r="EV78" s="231">
        <v>145140505</v>
      </c>
      <c r="EW78" s="231">
        <v>6730.36</v>
      </c>
      <c r="EX78" s="231">
        <v>6322.33</v>
      </c>
      <c r="EY78" s="228">
        <v>408.03</v>
      </c>
      <c r="EZ78" s="229">
        <v>6.4500000000000002E-2</v>
      </c>
      <c r="FA78" s="229">
        <v>0.3231</v>
      </c>
      <c r="FB78" s="227" t="s">
        <v>555</v>
      </c>
      <c r="FC78">
        <f t="shared" si="1"/>
        <v>285</v>
      </c>
    </row>
    <row r="79" spans="1:159" ht="17.25" thickBot="1" x14ac:dyDescent="0.3">
      <c r="A79" s="226">
        <v>46121</v>
      </c>
      <c r="B79" s="227" t="s">
        <v>175</v>
      </c>
      <c r="C79" s="227" t="s">
        <v>475</v>
      </c>
      <c r="D79" s="228">
        <v>300</v>
      </c>
      <c r="E79" s="228">
        <v>19</v>
      </c>
      <c r="F79" s="231">
        <v>2523.6999999999998</v>
      </c>
      <c r="G79" s="231">
        <v>2546.8000000000002</v>
      </c>
      <c r="H79" s="228">
        <v>-23.1</v>
      </c>
      <c r="I79" s="229">
        <v>-9.1000000000000004E-3</v>
      </c>
      <c r="J79" s="231">
        <v>2515</v>
      </c>
      <c r="K79" s="231">
        <v>2539.4</v>
      </c>
      <c r="L79" s="228">
        <v>-24.4</v>
      </c>
      <c r="M79" s="229">
        <v>-9.5999999999999992E-3</v>
      </c>
      <c r="N79" s="231">
        <v>2523.6999999999998</v>
      </c>
      <c r="O79" s="231">
        <v>2546.8000000000002</v>
      </c>
      <c r="P79" s="228">
        <v>-23.1</v>
      </c>
      <c r="Q79" s="229">
        <v>-9.1000000000000004E-3</v>
      </c>
      <c r="R79" s="231">
        <v>2530.1</v>
      </c>
      <c r="S79" s="231">
        <v>2563.3000000000002</v>
      </c>
      <c r="T79" s="228">
        <v>-33.200000000000003</v>
      </c>
      <c r="U79" s="229">
        <v>-1.2999999999999999E-2</v>
      </c>
      <c r="V79" s="231">
        <v>2529.4</v>
      </c>
      <c r="W79" s="231">
        <v>2565.9</v>
      </c>
      <c r="X79" s="228">
        <v>-36.5</v>
      </c>
      <c r="Y79" s="229">
        <v>-1.4200000000000001E-2</v>
      </c>
      <c r="Z79" s="228">
        <v>8.6999999999999993</v>
      </c>
      <c r="AA79" s="228">
        <v>7.4</v>
      </c>
      <c r="AB79" s="228">
        <v>1.3</v>
      </c>
      <c r="AC79" s="229">
        <v>3.5000000000000001E-3</v>
      </c>
      <c r="AD79" s="228">
        <v>8.6999999999999993</v>
      </c>
      <c r="AE79" s="228">
        <v>7.4</v>
      </c>
      <c r="AF79" s="228">
        <v>1.3</v>
      </c>
      <c r="AG79" s="229">
        <v>3.5000000000000001E-3</v>
      </c>
      <c r="AH79" s="228">
        <v>15.1</v>
      </c>
      <c r="AI79" s="228">
        <v>23.9</v>
      </c>
      <c r="AJ79" s="228">
        <v>-8.8000000000000007</v>
      </c>
      <c r="AK79" s="229">
        <v>6.0000000000000001E-3</v>
      </c>
      <c r="AL79" s="228">
        <v>14.4</v>
      </c>
      <c r="AM79" s="228">
        <v>26.5</v>
      </c>
      <c r="AN79" s="228">
        <v>-12.1</v>
      </c>
      <c r="AO79" s="229">
        <v>5.7000000000000002E-3</v>
      </c>
      <c r="AP79" s="231">
        <v>2526.5100000000002</v>
      </c>
      <c r="AQ79" s="231">
        <v>2538.13</v>
      </c>
      <c r="AR79" s="228">
        <v>0</v>
      </c>
      <c r="AS79" s="228">
        <v>277</v>
      </c>
      <c r="AT79" s="228">
        <v>591</v>
      </c>
      <c r="AU79" s="228">
        <v>-314</v>
      </c>
      <c r="AV79" s="229">
        <v>-0.53110000000000002</v>
      </c>
      <c r="AW79" s="228">
        <v>268</v>
      </c>
      <c r="AX79" s="228">
        <v>570</v>
      </c>
      <c r="AY79" s="228">
        <v>-302</v>
      </c>
      <c r="AZ79" s="229">
        <v>-0.53</v>
      </c>
      <c r="BA79" s="228">
        <v>8</v>
      </c>
      <c r="BB79" s="228">
        <v>20</v>
      </c>
      <c r="BC79" s="228">
        <v>-12</v>
      </c>
      <c r="BD79" s="229">
        <v>-0.59299999999999997</v>
      </c>
      <c r="BE79" s="228">
        <v>1</v>
      </c>
      <c r="BF79" s="228">
        <v>2</v>
      </c>
      <c r="BG79" s="228">
        <v>0</v>
      </c>
      <c r="BH79" s="229">
        <v>-0.15</v>
      </c>
      <c r="BI79" s="228">
        <v>265</v>
      </c>
      <c r="BJ79" s="228">
        <v>698</v>
      </c>
      <c r="BK79" s="228">
        <v>-432</v>
      </c>
      <c r="BL79" s="229">
        <v>-0.61950000000000005</v>
      </c>
      <c r="BM79" s="228">
        <v>195</v>
      </c>
      <c r="BN79" s="228">
        <v>324</v>
      </c>
      <c r="BO79" s="228">
        <v>-129</v>
      </c>
      <c r="BP79" s="229">
        <v>-0.39860000000000001</v>
      </c>
      <c r="BQ79" s="228">
        <v>738</v>
      </c>
      <c r="BR79" s="230">
        <v>1613</v>
      </c>
      <c r="BS79" s="228">
        <v>-875</v>
      </c>
      <c r="BT79" s="229">
        <v>-0.54269999999999996</v>
      </c>
      <c r="BU79" s="230">
        <v>1305014</v>
      </c>
      <c r="BV79" s="230">
        <v>2176725</v>
      </c>
      <c r="BW79" s="230">
        <v>-871711</v>
      </c>
      <c r="BX79" s="229">
        <v>-0.40050000000000002</v>
      </c>
      <c r="BY79" s="230">
        <v>1490</v>
      </c>
      <c r="BZ79" s="230">
        <v>1462</v>
      </c>
      <c r="CA79" s="228">
        <v>27</v>
      </c>
      <c r="CB79" s="229">
        <v>1.8700000000000001E-2</v>
      </c>
      <c r="CC79" s="230">
        <v>1466</v>
      </c>
      <c r="CD79" s="230">
        <v>1440</v>
      </c>
      <c r="CE79" s="228">
        <v>26</v>
      </c>
      <c r="CF79" s="229">
        <v>1.84E-2</v>
      </c>
      <c r="CG79" s="228">
        <v>22</v>
      </c>
      <c r="CH79" s="228">
        <v>21</v>
      </c>
      <c r="CI79" s="228">
        <v>1</v>
      </c>
      <c r="CJ79" s="229">
        <v>2.87E-2</v>
      </c>
      <c r="CK79" s="228">
        <v>2</v>
      </c>
      <c r="CL79" s="228">
        <v>1</v>
      </c>
      <c r="CM79" s="228">
        <v>0</v>
      </c>
      <c r="CN79" s="229">
        <v>0.21049999999999999</v>
      </c>
      <c r="CO79" s="228">
        <v>231</v>
      </c>
      <c r="CP79" s="228">
        <v>216</v>
      </c>
      <c r="CQ79" s="228">
        <v>15</v>
      </c>
      <c r="CR79" s="229">
        <v>6.8000000000000005E-2</v>
      </c>
      <c r="CS79" s="228">
        <v>178</v>
      </c>
      <c r="CT79" s="228">
        <v>178</v>
      </c>
      <c r="CU79" s="228">
        <v>-1</v>
      </c>
      <c r="CV79" s="229">
        <v>-3.0000000000000001E-3</v>
      </c>
      <c r="CW79" s="230">
        <v>1898</v>
      </c>
      <c r="CX79" s="230">
        <v>1857</v>
      </c>
      <c r="CY79" s="228">
        <v>42</v>
      </c>
      <c r="CZ79" s="229">
        <v>2.24E-2</v>
      </c>
      <c r="DA79" s="228">
        <v>38.97</v>
      </c>
      <c r="DB79" s="228">
        <v>38.659999999999997</v>
      </c>
      <c r="DC79" s="228">
        <v>0.31</v>
      </c>
      <c r="DD79" s="228">
        <v>0.31</v>
      </c>
      <c r="DE79" s="228">
        <v>38.31</v>
      </c>
      <c r="DF79" s="228">
        <v>38.380000000000003</v>
      </c>
      <c r="DG79" s="228">
        <v>0.66</v>
      </c>
      <c r="DH79" s="228">
        <v>-7.0000000000000007E-2</v>
      </c>
      <c r="DI79" s="228">
        <v>38.08</v>
      </c>
      <c r="DJ79" s="228">
        <v>37.5</v>
      </c>
      <c r="DK79" s="228">
        <v>0.57999999999999996</v>
      </c>
      <c r="DL79" s="228">
        <v>0.57999999999999996</v>
      </c>
      <c r="DM79" s="228">
        <v>40.17</v>
      </c>
      <c r="DN79" s="228">
        <v>41.16</v>
      </c>
      <c r="DO79" s="228">
        <v>-0.99</v>
      </c>
      <c r="DP79" s="228">
        <v>-0.99</v>
      </c>
      <c r="DQ79" s="228">
        <v>0.77</v>
      </c>
      <c r="DR79" s="228">
        <v>0.83</v>
      </c>
      <c r="DS79" s="228">
        <v>-0.06</v>
      </c>
      <c r="DT79" s="229">
        <v>-7.2300000000000003E-2</v>
      </c>
      <c r="DU79" s="231">
        <v>2400</v>
      </c>
      <c r="DV79" s="231">
        <v>2500</v>
      </c>
      <c r="DW79" s="228">
        <v>0.73</v>
      </c>
      <c r="DX79" s="228">
        <v>0.46</v>
      </c>
      <c r="DY79" s="228">
        <v>0.27</v>
      </c>
      <c r="DZ79" s="229">
        <v>0.58699999999999997</v>
      </c>
      <c r="EA79" s="229">
        <v>1.5800000000000002E-2</v>
      </c>
      <c r="EB79" s="230">
        <v>89400</v>
      </c>
      <c r="EC79" s="229">
        <v>2.5000000000000001E-3</v>
      </c>
      <c r="ED79" s="229">
        <v>1.5800000000000002E-2</v>
      </c>
      <c r="EE79" s="228">
        <v>11.62</v>
      </c>
      <c r="EF79" s="229">
        <v>4.5999999999999999E-3</v>
      </c>
      <c r="EG79" s="230">
        <v>783836</v>
      </c>
      <c r="EH79" s="230">
        <v>1243776</v>
      </c>
      <c r="EI79" s="229">
        <v>-0.36980000000000002</v>
      </c>
      <c r="EJ79" s="229">
        <v>0.60060000000000002</v>
      </c>
      <c r="EK79" s="228">
        <v>283.16000000000003</v>
      </c>
      <c r="EL79" s="228">
        <v>192.81</v>
      </c>
      <c r="EM79" s="228">
        <v>277.45</v>
      </c>
      <c r="EN79" s="228">
        <v>55.87</v>
      </c>
      <c r="EO79" s="228">
        <v>753.42</v>
      </c>
      <c r="EP79" s="231">
        <v>1639.92</v>
      </c>
      <c r="EQ79" s="228">
        <v>-886.5</v>
      </c>
      <c r="ER79" s="229">
        <v>-0.54059999999999997</v>
      </c>
      <c r="ES79" s="228">
        <v>234.37</v>
      </c>
      <c r="ET79" s="228">
        <v>162.04</v>
      </c>
      <c r="EU79" s="231">
        <v>1489.6</v>
      </c>
      <c r="EV79" s="231">
        <v>30592324</v>
      </c>
      <c r="EW79" s="231">
        <v>1886.01</v>
      </c>
      <c r="EX79" s="231">
        <v>1856.12</v>
      </c>
      <c r="EY79" s="228">
        <v>29.89</v>
      </c>
      <c r="EZ79" s="229">
        <v>1.61E-2</v>
      </c>
      <c r="FA79" s="229">
        <v>0.24579999999999999</v>
      </c>
      <c r="FB79" s="227" t="s">
        <v>566</v>
      </c>
      <c r="FC79">
        <f t="shared" si="1"/>
        <v>24</v>
      </c>
    </row>
    <row r="80" spans="1:159" ht="17.25" thickBot="1" x14ac:dyDescent="0.3">
      <c r="A80" s="226">
        <v>46121</v>
      </c>
      <c r="B80" s="227" t="s">
        <v>172</v>
      </c>
      <c r="C80" s="227" t="s">
        <v>224</v>
      </c>
      <c r="D80" s="228">
        <v>550</v>
      </c>
      <c r="E80" s="228">
        <v>19</v>
      </c>
      <c r="F80" s="228">
        <v>801.1</v>
      </c>
      <c r="G80" s="228">
        <v>818.05</v>
      </c>
      <c r="H80" s="228">
        <v>-16.95</v>
      </c>
      <c r="I80" s="229">
        <v>-2.07E-2</v>
      </c>
      <c r="J80" s="228">
        <v>797.7</v>
      </c>
      <c r="K80" s="228">
        <v>816.1</v>
      </c>
      <c r="L80" s="228">
        <v>-18.399999999999999</v>
      </c>
      <c r="M80" s="229">
        <v>-2.2499999999999999E-2</v>
      </c>
      <c r="N80" s="228">
        <v>801.1</v>
      </c>
      <c r="O80" s="228">
        <v>818.05</v>
      </c>
      <c r="P80" s="228">
        <v>-16.95</v>
      </c>
      <c r="Q80" s="229">
        <v>-2.07E-2</v>
      </c>
      <c r="R80" s="228">
        <v>801.95</v>
      </c>
      <c r="S80" s="228">
        <v>819.3</v>
      </c>
      <c r="T80" s="228">
        <v>-17.350000000000001</v>
      </c>
      <c r="U80" s="229">
        <v>-2.12E-2</v>
      </c>
      <c r="V80" s="228">
        <v>798.8</v>
      </c>
      <c r="W80" s="228">
        <v>817.35</v>
      </c>
      <c r="X80" s="228">
        <v>-18.55</v>
      </c>
      <c r="Y80" s="229">
        <v>-2.2700000000000001E-2</v>
      </c>
      <c r="Z80" s="228">
        <v>3.4</v>
      </c>
      <c r="AA80" s="228">
        <v>1.95</v>
      </c>
      <c r="AB80" s="228">
        <v>1.45</v>
      </c>
      <c r="AC80" s="229">
        <v>4.3E-3</v>
      </c>
      <c r="AD80" s="228">
        <v>3.4</v>
      </c>
      <c r="AE80" s="228">
        <v>1.95</v>
      </c>
      <c r="AF80" s="228">
        <v>1.45</v>
      </c>
      <c r="AG80" s="229">
        <v>4.3E-3</v>
      </c>
      <c r="AH80" s="228">
        <v>4.25</v>
      </c>
      <c r="AI80" s="228">
        <v>3.2</v>
      </c>
      <c r="AJ80" s="228">
        <v>1.05</v>
      </c>
      <c r="AK80" s="229">
        <v>5.3E-3</v>
      </c>
      <c r="AL80" s="228">
        <v>1.1000000000000001</v>
      </c>
      <c r="AM80" s="228">
        <v>1.25</v>
      </c>
      <c r="AN80" s="228">
        <v>-0.15</v>
      </c>
      <c r="AO80" s="229">
        <v>1.4E-3</v>
      </c>
      <c r="AP80" s="228">
        <v>803.05</v>
      </c>
      <c r="AQ80" s="228">
        <v>804.63</v>
      </c>
      <c r="AR80" s="228">
        <v>0</v>
      </c>
      <c r="AS80" s="230">
        <v>3949</v>
      </c>
      <c r="AT80" s="230">
        <v>3935</v>
      </c>
      <c r="AU80" s="228">
        <v>14</v>
      </c>
      <c r="AV80" s="229">
        <v>3.5000000000000001E-3</v>
      </c>
      <c r="AW80" s="230">
        <v>2925</v>
      </c>
      <c r="AX80" s="230">
        <v>3602</v>
      </c>
      <c r="AY80" s="228">
        <v>-678</v>
      </c>
      <c r="AZ80" s="229">
        <v>-0.18809999999999999</v>
      </c>
      <c r="BA80" s="228">
        <v>219</v>
      </c>
      <c r="BB80" s="228">
        <v>255</v>
      </c>
      <c r="BC80" s="228">
        <v>-36</v>
      </c>
      <c r="BD80" s="229">
        <v>-0.14180000000000001</v>
      </c>
      <c r="BE80" s="228">
        <v>805</v>
      </c>
      <c r="BF80" s="228">
        <v>77</v>
      </c>
      <c r="BG80" s="228">
        <v>728</v>
      </c>
      <c r="BH80" s="229">
        <v>9.3931000000000004</v>
      </c>
      <c r="BI80" s="230">
        <v>5543</v>
      </c>
      <c r="BJ80" s="230">
        <v>10141</v>
      </c>
      <c r="BK80" s="230">
        <v>-4598</v>
      </c>
      <c r="BL80" s="229">
        <v>-0.45340000000000003</v>
      </c>
      <c r="BM80" s="230">
        <v>3629</v>
      </c>
      <c r="BN80" s="230">
        <v>5776</v>
      </c>
      <c r="BO80" s="230">
        <v>-2147</v>
      </c>
      <c r="BP80" s="229">
        <v>-0.37169999999999997</v>
      </c>
      <c r="BQ80" s="230">
        <v>13121</v>
      </c>
      <c r="BR80" s="230">
        <v>19852</v>
      </c>
      <c r="BS80" s="230">
        <v>-6731</v>
      </c>
      <c r="BT80" s="229">
        <v>-0.33900000000000002</v>
      </c>
      <c r="BU80" s="230">
        <v>53915984</v>
      </c>
      <c r="BV80" s="230">
        <v>73522672</v>
      </c>
      <c r="BW80" s="230">
        <v>-19606688</v>
      </c>
      <c r="BX80" s="229">
        <v>-0.26669999999999999</v>
      </c>
      <c r="BY80" s="230">
        <v>27085</v>
      </c>
      <c r="BZ80" s="230">
        <v>26619</v>
      </c>
      <c r="CA80" s="228">
        <v>466</v>
      </c>
      <c r="CB80" s="229">
        <v>1.7500000000000002E-2</v>
      </c>
      <c r="CC80" s="230">
        <v>24905</v>
      </c>
      <c r="CD80" s="230">
        <v>25334</v>
      </c>
      <c r="CE80" s="228">
        <v>-429</v>
      </c>
      <c r="CF80" s="229">
        <v>-1.6899999999999998E-2</v>
      </c>
      <c r="CG80" s="230">
        <v>1058</v>
      </c>
      <c r="CH80" s="228">
        <v>944</v>
      </c>
      <c r="CI80" s="228">
        <v>114</v>
      </c>
      <c r="CJ80" s="229">
        <v>0.1212</v>
      </c>
      <c r="CK80" s="230">
        <v>1122</v>
      </c>
      <c r="CL80" s="228">
        <v>342</v>
      </c>
      <c r="CM80" s="228">
        <v>781</v>
      </c>
      <c r="CN80" s="229">
        <v>2.2843</v>
      </c>
      <c r="CO80" s="230">
        <v>5705</v>
      </c>
      <c r="CP80" s="230">
        <v>5334</v>
      </c>
      <c r="CQ80" s="228">
        <v>372</v>
      </c>
      <c r="CR80" s="229">
        <v>6.9699999999999998E-2</v>
      </c>
      <c r="CS80" s="230">
        <v>3369</v>
      </c>
      <c r="CT80" s="230">
        <v>3373</v>
      </c>
      <c r="CU80" s="228">
        <v>-4</v>
      </c>
      <c r="CV80" s="229">
        <v>-1.1000000000000001E-3</v>
      </c>
      <c r="CW80" s="230">
        <v>36160</v>
      </c>
      <c r="CX80" s="230">
        <v>35326</v>
      </c>
      <c r="CY80" s="228">
        <v>834</v>
      </c>
      <c r="CZ80" s="229">
        <v>2.3599999999999999E-2</v>
      </c>
      <c r="DA80" s="228">
        <v>30.74</v>
      </c>
      <c r="DB80" s="228">
        <v>29.2</v>
      </c>
      <c r="DC80" s="228">
        <v>1.54</v>
      </c>
      <c r="DD80" s="228">
        <v>1.54</v>
      </c>
      <c r="DE80" s="228">
        <v>25.18</v>
      </c>
      <c r="DF80" s="228">
        <v>25.06</v>
      </c>
      <c r="DG80" s="228">
        <v>5.56</v>
      </c>
      <c r="DH80" s="228">
        <v>0.12</v>
      </c>
      <c r="DI80" s="228">
        <v>30.08</v>
      </c>
      <c r="DJ80" s="228">
        <v>28.33</v>
      </c>
      <c r="DK80" s="228">
        <v>1.75</v>
      </c>
      <c r="DL80" s="228">
        <v>1.75</v>
      </c>
      <c r="DM80" s="228">
        <v>31.74</v>
      </c>
      <c r="DN80" s="228">
        <v>30.71</v>
      </c>
      <c r="DO80" s="228">
        <v>1.03</v>
      </c>
      <c r="DP80" s="228">
        <v>1.03</v>
      </c>
      <c r="DQ80" s="228">
        <v>0.59</v>
      </c>
      <c r="DR80" s="228">
        <v>0.63</v>
      </c>
      <c r="DS80" s="228">
        <v>-0.04</v>
      </c>
      <c r="DT80" s="229">
        <v>-6.3500000000000001E-2</v>
      </c>
      <c r="DU80" s="228">
        <v>800</v>
      </c>
      <c r="DV80" s="228">
        <v>750</v>
      </c>
      <c r="DW80" s="228">
        <v>0.65</v>
      </c>
      <c r="DX80" s="228">
        <v>0.56999999999999995</v>
      </c>
      <c r="DY80" s="228">
        <v>0.08</v>
      </c>
      <c r="DZ80" s="229">
        <v>0.1404</v>
      </c>
      <c r="EA80" s="229">
        <v>8.0500000000000002E-2</v>
      </c>
      <c r="EB80" s="230">
        <v>16045700</v>
      </c>
      <c r="EC80" s="229">
        <v>1.1000000000000001E-3</v>
      </c>
      <c r="ED80" s="229">
        <v>8.0500000000000002E-2</v>
      </c>
      <c r="EE80" s="228">
        <v>1.58</v>
      </c>
      <c r="EF80" s="229">
        <v>2E-3</v>
      </c>
      <c r="EG80" s="230">
        <v>22278392</v>
      </c>
      <c r="EH80" s="230">
        <v>43557505</v>
      </c>
      <c r="EI80" s="229">
        <v>-0.48849999999999999</v>
      </c>
      <c r="EJ80" s="229">
        <v>0.41320000000000001</v>
      </c>
      <c r="EK80" s="231">
        <v>5857.29</v>
      </c>
      <c r="EL80" s="231">
        <v>3582.8</v>
      </c>
      <c r="EM80" s="231">
        <v>3954.43</v>
      </c>
      <c r="EN80" s="228">
        <v>617.20000000000005</v>
      </c>
      <c r="EO80" s="231">
        <v>13394.52</v>
      </c>
      <c r="EP80" s="231">
        <v>20431.810000000001</v>
      </c>
      <c r="EQ80" s="231">
        <v>-7037.29</v>
      </c>
      <c r="ER80" s="229">
        <v>-0.34439999999999998</v>
      </c>
      <c r="ES80" s="231">
        <v>5936.05</v>
      </c>
      <c r="ET80" s="231">
        <v>3252.18</v>
      </c>
      <c r="EU80" s="231">
        <v>27083.39</v>
      </c>
      <c r="EV80" s="231">
        <v>1496665645</v>
      </c>
      <c r="EW80" s="231">
        <v>36271.61</v>
      </c>
      <c r="EX80" s="231">
        <v>35971.360000000001</v>
      </c>
      <c r="EY80" s="228">
        <v>300.25</v>
      </c>
      <c r="EZ80" s="229">
        <v>8.3000000000000001E-3</v>
      </c>
      <c r="FA80" s="229">
        <v>0.30159999999999998</v>
      </c>
      <c r="FB80" s="227" t="s">
        <v>566</v>
      </c>
      <c r="FC80">
        <f t="shared" si="1"/>
        <v>2180</v>
      </c>
    </row>
    <row r="81" spans="1:159" ht="17.25" thickBot="1" x14ac:dyDescent="0.3">
      <c r="A81" s="226">
        <v>46121</v>
      </c>
      <c r="B81" s="227" t="s">
        <v>175</v>
      </c>
      <c r="C81" s="227" t="s">
        <v>225</v>
      </c>
      <c r="D81" s="228">
        <v>1100</v>
      </c>
      <c r="E81" s="228">
        <v>19</v>
      </c>
      <c r="F81" s="228">
        <v>593.1</v>
      </c>
      <c r="G81" s="228">
        <v>601.5</v>
      </c>
      <c r="H81" s="228">
        <v>-8.4</v>
      </c>
      <c r="I81" s="229">
        <v>-1.4E-2</v>
      </c>
      <c r="J81" s="228">
        <v>591.20000000000005</v>
      </c>
      <c r="K81" s="228">
        <v>598.29999999999995</v>
      </c>
      <c r="L81" s="228">
        <v>-7.1</v>
      </c>
      <c r="M81" s="229">
        <v>-1.1900000000000001E-2</v>
      </c>
      <c r="N81" s="228">
        <v>593.1</v>
      </c>
      <c r="O81" s="228">
        <v>601.5</v>
      </c>
      <c r="P81" s="228">
        <v>-8.4</v>
      </c>
      <c r="Q81" s="229">
        <v>-1.4E-2</v>
      </c>
      <c r="R81" s="228">
        <v>596.45000000000005</v>
      </c>
      <c r="S81" s="228">
        <v>604.54999999999995</v>
      </c>
      <c r="T81" s="228">
        <v>-8.1</v>
      </c>
      <c r="U81" s="229">
        <v>-1.34E-2</v>
      </c>
      <c r="V81" s="228">
        <v>598.15</v>
      </c>
      <c r="W81" s="228">
        <v>606.35</v>
      </c>
      <c r="X81" s="228">
        <v>-8.1999999999999993</v>
      </c>
      <c r="Y81" s="229">
        <v>-1.35E-2</v>
      </c>
      <c r="Z81" s="228">
        <v>1.9</v>
      </c>
      <c r="AA81" s="228">
        <v>3.2</v>
      </c>
      <c r="AB81" s="228">
        <v>-1.3</v>
      </c>
      <c r="AC81" s="229">
        <v>3.2000000000000002E-3</v>
      </c>
      <c r="AD81" s="228">
        <v>1.9</v>
      </c>
      <c r="AE81" s="228">
        <v>3.2</v>
      </c>
      <c r="AF81" s="228">
        <v>-1.3</v>
      </c>
      <c r="AG81" s="229">
        <v>3.2000000000000002E-3</v>
      </c>
      <c r="AH81" s="228">
        <v>5.25</v>
      </c>
      <c r="AI81" s="228">
        <v>6.25</v>
      </c>
      <c r="AJ81" s="228">
        <v>-1</v>
      </c>
      <c r="AK81" s="229">
        <v>8.8999999999999999E-3</v>
      </c>
      <c r="AL81" s="228">
        <v>6.95</v>
      </c>
      <c r="AM81" s="228">
        <v>8.0500000000000007</v>
      </c>
      <c r="AN81" s="228">
        <v>-1.1000000000000001</v>
      </c>
      <c r="AO81" s="229">
        <v>1.18E-2</v>
      </c>
      <c r="AP81" s="228">
        <v>592.92999999999995</v>
      </c>
      <c r="AQ81" s="228">
        <v>596.33000000000004</v>
      </c>
      <c r="AR81" s="228">
        <v>0</v>
      </c>
      <c r="AS81" s="228">
        <v>234</v>
      </c>
      <c r="AT81" s="228">
        <v>321</v>
      </c>
      <c r="AU81" s="228">
        <v>-86</v>
      </c>
      <c r="AV81" s="229">
        <v>-0.26939999999999997</v>
      </c>
      <c r="AW81" s="228">
        <v>208</v>
      </c>
      <c r="AX81" s="228">
        <v>297</v>
      </c>
      <c r="AY81" s="228">
        <v>-89</v>
      </c>
      <c r="AZ81" s="229">
        <v>-0.30059999999999998</v>
      </c>
      <c r="BA81" s="228">
        <v>23</v>
      </c>
      <c r="BB81" s="228">
        <v>17</v>
      </c>
      <c r="BC81" s="228">
        <v>6</v>
      </c>
      <c r="BD81" s="229">
        <v>0.35610000000000003</v>
      </c>
      <c r="BE81" s="228">
        <v>3</v>
      </c>
      <c r="BF81" s="228">
        <v>7</v>
      </c>
      <c r="BG81" s="228">
        <v>-3</v>
      </c>
      <c r="BH81" s="229">
        <v>-0.495</v>
      </c>
      <c r="BI81" s="228">
        <v>573</v>
      </c>
      <c r="BJ81" s="228">
        <v>756</v>
      </c>
      <c r="BK81" s="228">
        <v>-183</v>
      </c>
      <c r="BL81" s="229">
        <v>-0.24160000000000001</v>
      </c>
      <c r="BM81" s="228">
        <v>268</v>
      </c>
      <c r="BN81" s="228">
        <v>340</v>
      </c>
      <c r="BO81" s="228">
        <v>-72</v>
      </c>
      <c r="BP81" s="229">
        <v>-0.21190000000000001</v>
      </c>
      <c r="BQ81" s="230">
        <v>1076</v>
      </c>
      <c r="BR81" s="230">
        <v>1417</v>
      </c>
      <c r="BS81" s="228">
        <v>-341</v>
      </c>
      <c r="BT81" s="229">
        <v>-0.24079999999999999</v>
      </c>
      <c r="BU81" s="230">
        <v>4226364</v>
      </c>
      <c r="BV81" s="230">
        <v>6110627</v>
      </c>
      <c r="BW81" s="230">
        <v>-1884263</v>
      </c>
      <c r="BX81" s="229">
        <v>-0.30840000000000001</v>
      </c>
      <c r="BY81" s="230">
        <v>2713</v>
      </c>
      <c r="BZ81" s="230">
        <v>2680</v>
      </c>
      <c r="CA81" s="228">
        <v>33</v>
      </c>
      <c r="CB81" s="229">
        <v>1.2200000000000001E-2</v>
      </c>
      <c r="CC81" s="230">
        <v>2610</v>
      </c>
      <c r="CD81" s="230">
        <v>2592</v>
      </c>
      <c r="CE81" s="228">
        <v>18</v>
      </c>
      <c r="CF81" s="229">
        <v>7.0000000000000001E-3</v>
      </c>
      <c r="CG81" s="228">
        <v>92</v>
      </c>
      <c r="CH81" s="228">
        <v>80</v>
      </c>
      <c r="CI81" s="228">
        <v>13</v>
      </c>
      <c r="CJ81" s="229">
        <v>0.16070000000000001</v>
      </c>
      <c r="CK81" s="228">
        <v>10</v>
      </c>
      <c r="CL81" s="228">
        <v>9</v>
      </c>
      <c r="CM81" s="228">
        <v>2</v>
      </c>
      <c r="CN81" s="229">
        <v>0.17910000000000001</v>
      </c>
      <c r="CO81" s="228">
        <v>662</v>
      </c>
      <c r="CP81" s="228">
        <v>655</v>
      </c>
      <c r="CQ81" s="228">
        <v>7</v>
      </c>
      <c r="CR81" s="229">
        <v>1.03E-2</v>
      </c>
      <c r="CS81" s="228">
        <v>412</v>
      </c>
      <c r="CT81" s="228">
        <v>388</v>
      </c>
      <c r="CU81" s="228">
        <v>24</v>
      </c>
      <c r="CV81" s="229">
        <v>6.2399999999999997E-2</v>
      </c>
      <c r="CW81" s="230">
        <v>3787</v>
      </c>
      <c r="CX81" s="230">
        <v>3723</v>
      </c>
      <c r="CY81" s="228">
        <v>64</v>
      </c>
      <c r="CZ81" s="229">
        <v>1.7100000000000001E-2</v>
      </c>
      <c r="DA81" s="228">
        <v>29.74</v>
      </c>
      <c r="DB81" s="228">
        <v>28.05</v>
      </c>
      <c r="DC81" s="228">
        <v>1.69</v>
      </c>
      <c r="DD81" s="228">
        <v>1.69</v>
      </c>
      <c r="DE81" s="228">
        <v>27.13</v>
      </c>
      <c r="DF81" s="228">
        <v>27.15</v>
      </c>
      <c r="DG81" s="228">
        <v>2.61</v>
      </c>
      <c r="DH81" s="228">
        <v>-0.02</v>
      </c>
      <c r="DI81" s="228">
        <v>29.32</v>
      </c>
      <c r="DJ81" s="228">
        <v>27.51</v>
      </c>
      <c r="DK81" s="228">
        <v>1.81</v>
      </c>
      <c r="DL81" s="228">
        <v>1.81</v>
      </c>
      <c r="DM81" s="228">
        <v>30.63</v>
      </c>
      <c r="DN81" s="228">
        <v>29.25</v>
      </c>
      <c r="DO81" s="228">
        <v>1.38</v>
      </c>
      <c r="DP81" s="228">
        <v>1.38</v>
      </c>
      <c r="DQ81" s="228">
        <v>0.62</v>
      </c>
      <c r="DR81" s="228">
        <v>0.59</v>
      </c>
      <c r="DS81" s="228">
        <v>0.03</v>
      </c>
      <c r="DT81" s="229">
        <v>5.0799999999999998E-2</v>
      </c>
      <c r="DU81" s="228">
        <v>600</v>
      </c>
      <c r="DV81" s="228">
        <v>520</v>
      </c>
      <c r="DW81" s="228">
        <v>0.47</v>
      </c>
      <c r="DX81" s="228">
        <v>0.45</v>
      </c>
      <c r="DY81" s="228">
        <v>0.02</v>
      </c>
      <c r="DZ81" s="229">
        <v>4.4400000000000002E-2</v>
      </c>
      <c r="EA81" s="229">
        <v>3.7900000000000003E-2</v>
      </c>
      <c r="EB81" s="230">
        <v>1489400</v>
      </c>
      <c r="EC81" s="229">
        <v>5.5999999999999999E-3</v>
      </c>
      <c r="ED81" s="229">
        <v>3.7900000000000003E-2</v>
      </c>
      <c r="EE81" s="228">
        <v>3.4</v>
      </c>
      <c r="EF81" s="229">
        <v>5.7000000000000002E-3</v>
      </c>
      <c r="EG81" s="230">
        <v>2704997</v>
      </c>
      <c r="EH81" s="230">
        <v>4001311</v>
      </c>
      <c r="EI81" s="229">
        <v>-0.32400000000000001</v>
      </c>
      <c r="EJ81" s="229">
        <v>0.64</v>
      </c>
      <c r="EK81" s="228">
        <v>615.23</v>
      </c>
      <c r="EL81" s="228">
        <v>266.81</v>
      </c>
      <c r="EM81" s="228">
        <v>234.57</v>
      </c>
      <c r="EN81" s="228">
        <v>39.119999999999997</v>
      </c>
      <c r="EO81" s="231">
        <v>1116.6099999999999</v>
      </c>
      <c r="EP81" s="231">
        <v>1477.14</v>
      </c>
      <c r="EQ81" s="228">
        <v>-360.54</v>
      </c>
      <c r="ER81" s="229">
        <v>-0.24410000000000001</v>
      </c>
      <c r="ES81" s="228">
        <v>700.74</v>
      </c>
      <c r="ET81" s="228">
        <v>394.94</v>
      </c>
      <c r="EU81" s="231">
        <v>2713.46</v>
      </c>
      <c r="EV81" s="231">
        <v>156090005</v>
      </c>
      <c r="EW81" s="231">
        <v>3809.14</v>
      </c>
      <c r="EX81" s="231">
        <v>3787.05</v>
      </c>
      <c r="EY81" s="228">
        <v>22.09</v>
      </c>
      <c r="EZ81" s="229">
        <v>5.7999999999999996E-3</v>
      </c>
      <c r="FA81" s="229">
        <v>0.40899999999999997</v>
      </c>
      <c r="FB81" s="227" t="s">
        <v>566</v>
      </c>
      <c r="FC81">
        <f t="shared" si="1"/>
        <v>103</v>
      </c>
    </row>
    <row r="82" spans="1:159" ht="17.25" thickBot="1" x14ac:dyDescent="0.3">
      <c r="A82" s="226">
        <v>46121</v>
      </c>
      <c r="B82" s="227" t="s">
        <v>162</v>
      </c>
      <c r="C82" s="227" t="s">
        <v>226</v>
      </c>
      <c r="D82" s="228">
        <v>150</v>
      </c>
      <c r="E82" s="228">
        <v>19</v>
      </c>
      <c r="F82" s="231">
        <v>5309.5</v>
      </c>
      <c r="G82" s="231">
        <v>5314.5</v>
      </c>
      <c r="H82" s="228">
        <v>-5</v>
      </c>
      <c r="I82" s="229">
        <v>-8.9999999999999998E-4</v>
      </c>
      <c r="J82" s="231">
        <v>5284</v>
      </c>
      <c r="K82" s="231">
        <v>5287.5</v>
      </c>
      <c r="L82" s="228">
        <v>-3.5</v>
      </c>
      <c r="M82" s="229">
        <v>-6.9999999999999999E-4</v>
      </c>
      <c r="N82" s="231">
        <v>5309.5</v>
      </c>
      <c r="O82" s="231">
        <v>5314.5</v>
      </c>
      <c r="P82" s="228">
        <v>-5</v>
      </c>
      <c r="Q82" s="229">
        <v>-8.9999999999999998E-4</v>
      </c>
      <c r="R82" s="231">
        <v>5338</v>
      </c>
      <c r="S82" s="231">
        <v>5343</v>
      </c>
      <c r="T82" s="228">
        <v>-5</v>
      </c>
      <c r="U82" s="229">
        <v>-8.9999999999999998E-4</v>
      </c>
      <c r="V82" s="231">
        <v>5390</v>
      </c>
      <c r="W82" s="231">
        <v>5363.5</v>
      </c>
      <c r="X82" s="228">
        <v>26.5</v>
      </c>
      <c r="Y82" s="229">
        <v>4.8999999999999998E-3</v>
      </c>
      <c r="Z82" s="228">
        <v>25.5</v>
      </c>
      <c r="AA82" s="228">
        <v>27</v>
      </c>
      <c r="AB82" s="228">
        <v>-1.5</v>
      </c>
      <c r="AC82" s="229">
        <v>4.7999999999999996E-3</v>
      </c>
      <c r="AD82" s="228">
        <v>25.5</v>
      </c>
      <c r="AE82" s="228">
        <v>27</v>
      </c>
      <c r="AF82" s="228">
        <v>-1.5</v>
      </c>
      <c r="AG82" s="229">
        <v>4.7999999999999996E-3</v>
      </c>
      <c r="AH82" s="228">
        <v>54</v>
      </c>
      <c r="AI82" s="228">
        <v>55.5</v>
      </c>
      <c r="AJ82" s="228">
        <v>-1.5</v>
      </c>
      <c r="AK82" s="229">
        <v>1.0200000000000001E-2</v>
      </c>
      <c r="AL82" s="228">
        <v>106</v>
      </c>
      <c r="AM82" s="228">
        <v>76</v>
      </c>
      <c r="AN82" s="228">
        <v>30</v>
      </c>
      <c r="AO82" s="229">
        <v>2.01E-2</v>
      </c>
      <c r="AP82" s="231">
        <v>5329.76</v>
      </c>
      <c r="AQ82" s="231">
        <v>5369.69</v>
      </c>
      <c r="AR82" s="228">
        <v>0</v>
      </c>
      <c r="AS82" s="228">
        <v>312</v>
      </c>
      <c r="AT82" s="228">
        <v>415</v>
      </c>
      <c r="AU82" s="228">
        <v>-103</v>
      </c>
      <c r="AV82" s="229">
        <v>-0.24759999999999999</v>
      </c>
      <c r="AW82" s="228">
        <v>291</v>
      </c>
      <c r="AX82" s="228">
        <v>393</v>
      </c>
      <c r="AY82" s="228">
        <v>-103</v>
      </c>
      <c r="AZ82" s="229">
        <v>-0.26090000000000002</v>
      </c>
      <c r="BA82" s="228">
        <v>21</v>
      </c>
      <c r="BB82" s="228">
        <v>20</v>
      </c>
      <c r="BC82" s="228">
        <v>0</v>
      </c>
      <c r="BD82" s="229">
        <v>1.5599999999999999E-2</v>
      </c>
      <c r="BE82" s="228">
        <v>1</v>
      </c>
      <c r="BF82" s="228">
        <v>1</v>
      </c>
      <c r="BG82" s="228">
        <v>0</v>
      </c>
      <c r="BH82" s="229">
        <v>-0.41670000000000001</v>
      </c>
      <c r="BI82" s="228">
        <v>985</v>
      </c>
      <c r="BJ82" s="230">
        <v>1198</v>
      </c>
      <c r="BK82" s="228">
        <v>-213</v>
      </c>
      <c r="BL82" s="229">
        <v>-0.17780000000000001</v>
      </c>
      <c r="BM82" s="228">
        <v>560</v>
      </c>
      <c r="BN82" s="228">
        <v>764</v>
      </c>
      <c r="BO82" s="228">
        <v>-204</v>
      </c>
      <c r="BP82" s="229">
        <v>-0.26729999999999998</v>
      </c>
      <c r="BQ82" s="230">
        <v>1856</v>
      </c>
      <c r="BR82" s="230">
        <v>2376</v>
      </c>
      <c r="BS82" s="228">
        <v>-520</v>
      </c>
      <c r="BT82" s="229">
        <v>-0.21879999999999999</v>
      </c>
      <c r="BU82" s="230">
        <v>797346</v>
      </c>
      <c r="BV82" s="230">
        <v>805279</v>
      </c>
      <c r="BW82" s="230">
        <v>-7933</v>
      </c>
      <c r="BX82" s="229">
        <v>-9.9000000000000008E-3</v>
      </c>
      <c r="BY82" s="230">
        <v>2071</v>
      </c>
      <c r="BZ82" s="230">
        <v>2009</v>
      </c>
      <c r="CA82" s="228">
        <v>62</v>
      </c>
      <c r="CB82" s="229">
        <v>3.09E-2</v>
      </c>
      <c r="CC82" s="230">
        <v>2039</v>
      </c>
      <c r="CD82" s="230">
        <v>1988</v>
      </c>
      <c r="CE82" s="228">
        <v>51</v>
      </c>
      <c r="CF82" s="229">
        <v>2.5700000000000001E-2</v>
      </c>
      <c r="CG82" s="228">
        <v>30</v>
      </c>
      <c r="CH82" s="228">
        <v>19</v>
      </c>
      <c r="CI82" s="228">
        <v>11</v>
      </c>
      <c r="CJ82" s="229">
        <v>0.56299999999999994</v>
      </c>
      <c r="CK82" s="228">
        <v>2</v>
      </c>
      <c r="CL82" s="228">
        <v>1</v>
      </c>
      <c r="CM82" s="228">
        <v>0</v>
      </c>
      <c r="CN82" s="229">
        <v>0.29409999999999997</v>
      </c>
      <c r="CO82" s="228">
        <v>667</v>
      </c>
      <c r="CP82" s="228">
        <v>618</v>
      </c>
      <c r="CQ82" s="228">
        <v>49</v>
      </c>
      <c r="CR82" s="229">
        <v>7.8700000000000006E-2</v>
      </c>
      <c r="CS82" s="228">
        <v>559</v>
      </c>
      <c r="CT82" s="228">
        <v>537</v>
      </c>
      <c r="CU82" s="228">
        <v>22</v>
      </c>
      <c r="CV82" s="229">
        <v>4.02E-2</v>
      </c>
      <c r="CW82" s="230">
        <v>3296</v>
      </c>
      <c r="CX82" s="230">
        <v>3164</v>
      </c>
      <c r="CY82" s="228">
        <v>132</v>
      </c>
      <c r="CZ82" s="229">
        <v>4.1799999999999997E-2</v>
      </c>
      <c r="DA82" s="228">
        <v>33.21</v>
      </c>
      <c r="DB82" s="228">
        <v>33.01</v>
      </c>
      <c r="DC82" s="228">
        <v>0.2</v>
      </c>
      <c r="DD82" s="228">
        <v>0.2</v>
      </c>
      <c r="DE82" s="228">
        <v>32.99</v>
      </c>
      <c r="DF82" s="228">
        <v>33.07</v>
      </c>
      <c r="DG82" s="228">
        <v>0.22</v>
      </c>
      <c r="DH82" s="228">
        <v>-0.08</v>
      </c>
      <c r="DI82" s="228">
        <v>32.68</v>
      </c>
      <c r="DJ82" s="228">
        <v>32.369999999999997</v>
      </c>
      <c r="DK82" s="228">
        <v>0.31</v>
      </c>
      <c r="DL82" s="228">
        <v>0.31</v>
      </c>
      <c r="DM82" s="228">
        <v>34.15</v>
      </c>
      <c r="DN82" s="228">
        <v>34.01</v>
      </c>
      <c r="DO82" s="228">
        <v>0.14000000000000001</v>
      </c>
      <c r="DP82" s="228">
        <v>0.14000000000000001</v>
      </c>
      <c r="DQ82" s="228">
        <v>0.84</v>
      </c>
      <c r="DR82" s="228">
        <v>0.87</v>
      </c>
      <c r="DS82" s="228">
        <v>-0.03</v>
      </c>
      <c r="DT82" s="229">
        <v>-3.4500000000000003E-2</v>
      </c>
      <c r="DU82" s="231">
        <v>5200</v>
      </c>
      <c r="DV82" s="231">
        <v>5000</v>
      </c>
      <c r="DW82" s="228">
        <v>0.56999999999999995</v>
      </c>
      <c r="DX82" s="228">
        <v>0.64</v>
      </c>
      <c r="DY82" s="228">
        <v>-7.0000000000000007E-2</v>
      </c>
      <c r="DZ82" s="229">
        <v>-0.1094</v>
      </c>
      <c r="EA82" s="229">
        <v>1.52E-2</v>
      </c>
      <c r="EB82" s="230">
        <v>38250</v>
      </c>
      <c r="EC82" s="229">
        <v>5.4000000000000003E-3</v>
      </c>
      <c r="ED82" s="229">
        <v>1.52E-2</v>
      </c>
      <c r="EE82" s="228">
        <v>39.93</v>
      </c>
      <c r="EF82" s="229">
        <v>7.4999999999999997E-3</v>
      </c>
      <c r="EG82" s="230">
        <v>379341</v>
      </c>
      <c r="EH82" s="230">
        <v>453224</v>
      </c>
      <c r="EI82" s="229">
        <v>-0.16300000000000001</v>
      </c>
      <c r="EJ82" s="229">
        <v>0.4758</v>
      </c>
      <c r="EK82" s="231">
        <v>1044.07</v>
      </c>
      <c r="EL82" s="228">
        <v>554.41</v>
      </c>
      <c r="EM82" s="228">
        <v>313.23</v>
      </c>
      <c r="EN82" s="228">
        <v>42.06</v>
      </c>
      <c r="EO82" s="231">
        <v>1911.71</v>
      </c>
      <c r="EP82" s="231">
        <v>2436.39</v>
      </c>
      <c r="EQ82" s="228">
        <v>-524.67999999999995</v>
      </c>
      <c r="ER82" s="229">
        <v>-0.21540000000000001</v>
      </c>
      <c r="ES82" s="228">
        <v>686.98</v>
      </c>
      <c r="ET82" s="228">
        <v>524.16</v>
      </c>
      <c r="EU82" s="231">
        <v>2070.81</v>
      </c>
      <c r="EV82" s="231">
        <v>19589014</v>
      </c>
      <c r="EW82" s="231">
        <v>3281.95</v>
      </c>
      <c r="EX82" s="231">
        <v>3149.7</v>
      </c>
      <c r="EY82" s="228">
        <v>132.25</v>
      </c>
      <c r="EZ82" s="229">
        <v>4.2000000000000003E-2</v>
      </c>
      <c r="FA82" s="229">
        <v>0.31690000000000002</v>
      </c>
      <c r="FB82" s="227" t="s">
        <v>566</v>
      </c>
      <c r="FC82">
        <f t="shared" si="1"/>
        <v>32</v>
      </c>
    </row>
    <row r="83" spans="1:159" ht="17.25" thickBot="1" x14ac:dyDescent="0.3">
      <c r="A83" s="226">
        <v>46121</v>
      </c>
      <c r="B83" s="227" t="s">
        <v>227</v>
      </c>
      <c r="C83" s="227" t="s">
        <v>228</v>
      </c>
      <c r="D83" s="228">
        <v>700</v>
      </c>
      <c r="E83" s="228">
        <v>19</v>
      </c>
      <c r="F83" s="228">
        <v>988.35</v>
      </c>
      <c r="G83" s="228">
        <v>955.75</v>
      </c>
      <c r="H83" s="228">
        <v>32.6</v>
      </c>
      <c r="I83" s="229">
        <v>3.4099999999999998E-2</v>
      </c>
      <c r="J83" s="228">
        <v>985.65</v>
      </c>
      <c r="K83" s="228">
        <v>951.8</v>
      </c>
      <c r="L83" s="228">
        <v>33.85</v>
      </c>
      <c r="M83" s="229">
        <v>3.56E-2</v>
      </c>
      <c r="N83" s="228">
        <v>988.35</v>
      </c>
      <c r="O83" s="228">
        <v>955.75</v>
      </c>
      <c r="P83" s="228">
        <v>32.6</v>
      </c>
      <c r="Q83" s="229">
        <v>3.4099999999999998E-2</v>
      </c>
      <c r="R83" s="228">
        <v>993.95</v>
      </c>
      <c r="S83" s="228">
        <v>961.7</v>
      </c>
      <c r="T83" s="228">
        <v>32.25</v>
      </c>
      <c r="U83" s="229">
        <v>3.3500000000000002E-2</v>
      </c>
      <c r="V83" s="228">
        <v>999.9</v>
      </c>
      <c r="W83" s="228">
        <v>967.35</v>
      </c>
      <c r="X83" s="228">
        <v>32.549999999999997</v>
      </c>
      <c r="Y83" s="229">
        <v>3.3599999999999998E-2</v>
      </c>
      <c r="Z83" s="228">
        <v>2.7</v>
      </c>
      <c r="AA83" s="228">
        <v>3.95</v>
      </c>
      <c r="AB83" s="228">
        <v>-1.25</v>
      </c>
      <c r="AC83" s="229">
        <v>2.7000000000000001E-3</v>
      </c>
      <c r="AD83" s="228">
        <v>2.7</v>
      </c>
      <c r="AE83" s="228">
        <v>3.95</v>
      </c>
      <c r="AF83" s="228">
        <v>-1.25</v>
      </c>
      <c r="AG83" s="229">
        <v>2.7000000000000001E-3</v>
      </c>
      <c r="AH83" s="228">
        <v>8.3000000000000007</v>
      </c>
      <c r="AI83" s="228">
        <v>9.9</v>
      </c>
      <c r="AJ83" s="228">
        <v>-1.6</v>
      </c>
      <c r="AK83" s="229">
        <v>8.3999999999999995E-3</v>
      </c>
      <c r="AL83" s="228">
        <v>14.25</v>
      </c>
      <c r="AM83" s="228">
        <v>15.55</v>
      </c>
      <c r="AN83" s="228">
        <v>-1.3</v>
      </c>
      <c r="AO83" s="229">
        <v>1.4500000000000001E-2</v>
      </c>
      <c r="AP83" s="228">
        <v>982.76</v>
      </c>
      <c r="AQ83" s="228">
        <v>987.98</v>
      </c>
      <c r="AR83" s="228">
        <v>0</v>
      </c>
      <c r="AS83" s="230">
        <v>1012</v>
      </c>
      <c r="AT83" s="230">
        <v>1050</v>
      </c>
      <c r="AU83" s="228">
        <v>-38</v>
      </c>
      <c r="AV83" s="229">
        <v>-3.6400000000000002E-2</v>
      </c>
      <c r="AW83" s="228">
        <v>929</v>
      </c>
      <c r="AX83" s="228">
        <v>995</v>
      </c>
      <c r="AY83" s="228">
        <v>-66</v>
      </c>
      <c r="AZ83" s="229">
        <v>-6.6299999999999998E-2</v>
      </c>
      <c r="BA83" s="228">
        <v>43</v>
      </c>
      <c r="BB83" s="228">
        <v>51</v>
      </c>
      <c r="BC83" s="228">
        <v>-8</v>
      </c>
      <c r="BD83" s="229">
        <v>-0.16420000000000001</v>
      </c>
      <c r="BE83" s="228">
        <v>40</v>
      </c>
      <c r="BF83" s="228">
        <v>4</v>
      </c>
      <c r="BG83" s="228">
        <v>36</v>
      </c>
      <c r="BH83" s="229">
        <v>8.6999999999999993</v>
      </c>
      <c r="BI83" s="230">
        <v>4399</v>
      </c>
      <c r="BJ83" s="230">
        <v>2214</v>
      </c>
      <c r="BK83" s="230">
        <v>2185</v>
      </c>
      <c r="BL83" s="229">
        <v>0.98670000000000002</v>
      </c>
      <c r="BM83" s="230">
        <v>1896</v>
      </c>
      <c r="BN83" s="230">
        <v>1492</v>
      </c>
      <c r="BO83" s="228">
        <v>404</v>
      </c>
      <c r="BP83" s="229">
        <v>0.27089999999999997</v>
      </c>
      <c r="BQ83" s="230">
        <v>7307</v>
      </c>
      <c r="BR83" s="230">
        <v>4756</v>
      </c>
      <c r="BS83" s="230">
        <v>2551</v>
      </c>
      <c r="BT83" s="229">
        <v>0.5363</v>
      </c>
      <c r="BU83" s="230">
        <v>10318662</v>
      </c>
      <c r="BV83" s="230">
        <v>8752775</v>
      </c>
      <c r="BW83" s="230">
        <v>1565887</v>
      </c>
      <c r="BX83" s="229">
        <v>0.1789</v>
      </c>
      <c r="BY83" s="230">
        <v>3780</v>
      </c>
      <c r="BZ83" s="230">
        <v>3737</v>
      </c>
      <c r="CA83" s="228">
        <v>43</v>
      </c>
      <c r="CB83" s="229">
        <v>1.1599999999999999E-2</v>
      </c>
      <c r="CC83" s="230">
        <v>3462</v>
      </c>
      <c r="CD83" s="230">
        <v>3461</v>
      </c>
      <c r="CE83" s="228">
        <v>1</v>
      </c>
      <c r="CF83" s="229">
        <v>2.0000000000000001E-4</v>
      </c>
      <c r="CG83" s="228">
        <v>223</v>
      </c>
      <c r="CH83" s="228">
        <v>215</v>
      </c>
      <c r="CI83" s="228">
        <v>8</v>
      </c>
      <c r="CJ83" s="229">
        <v>3.7699999999999997E-2</v>
      </c>
      <c r="CK83" s="228">
        <v>95</v>
      </c>
      <c r="CL83" s="228">
        <v>61</v>
      </c>
      <c r="CM83" s="228">
        <v>35</v>
      </c>
      <c r="CN83" s="229">
        <v>0.57130000000000003</v>
      </c>
      <c r="CO83" s="230">
        <v>1285</v>
      </c>
      <c r="CP83" s="230">
        <v>1269</v>
      </c>
      <c r="CQ83" s="228">
        <v>16</v>
      </c>
      <c r="CR83" s="229">
        <v>1.23E-2</v>
      </c>
      <c r="CS83" s="228">
        <v>922</v>
      </c>
      <c r="CT83" s="228">
        <v>782</v>
      </c>
      <c r="CU83" s="228">
        <v>139</v>
      </c>
      <c r="CV83" s="229">
        <v>0.17829999999999999</v>
      </c>
      <c r="CW83" s="230">
        <v>5987</v>
      </c>
      <c r="CX83" s="230">
        <v>5788</v>
      </c>
      <c r="CY83" s="228">
        <v>199</v>
      </c>
      <c r="CZ83" s="229">
        <v>3.4299999999999997E-2</v>
      </c>
      <c r="DA83" s="228">
        <v>36.159999999999997</v>
      </c>
      <c r="DB83" s="228">
        <v>35.340000000000003</v>
      </c>
      <c r="DC83" s="228">
        <v>0.82</v>
      </c>
      <c r="DD83" s="228">
        <v>0.82</v>
      </c>
      <c r="DE83" s="228">
        <v>36.51</v>
      </c>
      <c r="DF83" s="228">
        <v>36.29</v>
      </c>
      <c r="DG83" s="228">
        <v>-0.35</v>
      </c>
      <c r="DH83" s="228">
        <v>0.22</v>
      </c>
      <c r="DI83" s="228">
        <v>35.74</v>
      </c>
      <c r="DJ83" s="228">
        <v>35.07</v>
      </c>
      <c r="DK83" s="228">
        <v>0.67</v>
      </c>
      <c r="DL83" s="228">
        <v>0.67</v>
      </c>
      <c r="DM83" s="228">
        <v>37.130000000000003</v>
      </c>
      <c r="DN83" s="228">
        <v>35.729999999999997</v>
      </c>
      <c r="DO83" s="228">
        <v>1.4</v>
      </c>
      <c r="DP83" s="228">
        <v>1.4</v>
      </c>
      <c r="DQ83" s="228">
        <v>0.72</v>
      </c>
      <c r="DR83" s="228">
        <v>0.62</v>
      </c>
      <c r="DS83" s="228">
        <v>0.1</v>
      </c>
      <c r="DT83" s="229">
        <v>0.1613</v>
      </c>
      <c r="DU83" s="228">
        <v>900</v>
      </c>
      <c r="DV83" s="228">
        <v>900</v>
      </c>
      <c r="DW83" s="228">
        <v>0.43</v>
      </c>
      <c r="DX83" s="228">
        <v>0.67</v>
      </c>
      <c r="DY83" s="228">
        <v>-0.24</v>
      </c>
      <c r="DZ83" s="229">
        <v>-0.35820000000000002</v>
      </c>
      <c r="EA83" s="229">
        <v>8.4199999999999997E-2</v>
      </c>
      <c r="EB83" s="230">
        <v>2788800</v>
      </c>
      <c r="EC83" s="229">
        <v>5.7000000000000002E-3</v>
      </c>
      <c r="ED83" s="229">
        <v>8.4199999999999997E-2</v>
      </c>
      <c r="EE83" s="228">
        <v>5.22</v>
      </c>
      <c r="EF83" s="229">
        <v>5.3E-3</v>
      </c>
      <c r="EG83" s="230">
        <v>4117375</v>
      </c>
      <c r="EH83" s="230">
        <v>4366969</v>
      </c>
      <c r="EI83" s="229">
        <v>-5.7200000000000001E-2</v>
      </c>
      <c r="EJ83" s="229">
        <v>0.39900000000000002</v>
      </c>
      <c r="EK83" s="231">
        <v>4582.24</v>
      </c>
      <c r="EL83" s="231">
        <v>1850.33</v>
      </c>
      <c r="EM83" s="231">
        <v>1006.82</v>
      </c>
      <c r="EN83" s="228">
        <v>139.19999999999999</v>
      </c>
      <c r="EO83" s="231">
        <v>7439.39</v>
      </c>
      <c r="EP83" s="231">
        <v>4704.78</v>
      </c>
      <c r="EQ83" s="231">
        <v>2734.62</v>
      </c>
      <c r="ER83" s="229">
        <v>0.58120000000000005</v>
      </c>
      <c r="ES83" s="231">
        <v>1258.27</v>
      </c>
      <c r="ET83" s="228">
        <v>843.91</v>
      </c>
      <c r="EU83" s="231">
        <v>3782.41</v>
      </c>
      <c r="EV83" s="231">
        <v>218611634</v>
      </c>
      <c r="EW83" s="231">
        <v>5884.6</v>
      </c>
      <c r="EX83" s="231">
        <v>5554.26</v>
      </c>
      <c r="EY83" s="228">
        <v>330.34</v>
      </c>
      <c r="EZ83" s="229">
        <v>5.9499999999999997E-2</v>
      </c>
      <c r="FA83" s="229">
        <v>0.27710000000000001</v>
      </c>
      <c r="FB83" s="227" t="s">
        <v>555</v>
      </c>
      <c r="FC83">
        <f t="shared" si="1"/>
        <v>318</v>
      </c>
    </row>
    <row r="84" spans="1:159" ht="17.25" thickBot="1" x14ac:dyDescent="0.3">
      <c r="A84" s="226">
        <v>46121</v>
      </c>
      <c r="B84" s="227" t="s">
        <v>193</v>
      </c>
      <c r="C84" s="227" t="s">
        <v>229</v>
      </c>
      <c r="D84" s="228">
        <v>2025</v>
      </c>
      <c r="E84" s="228">
        <v>19</v>
      </c>
      <c r="F84" s="228">
        <v>358.85</v>
      </c>
      <c r="G84" s="228">
        <v>364.95</v>
      </c>
      <c r="H84" s="228">
        <v>-6.1</v>
      </c>
      <c r="I84" s="229">
        <v>-1.67E-2</v>
      </c>
      <c r="J84" s="228">
        <v>358</v>
      </c>
      <c r="K84" s="228">
        <v>364.25</v>
      </c>
      <c r="L84" s="228">
        <v>-6.25</v>
      </c>
      <c r="M84" s="229">
        <v>-1.72E-2</v>
      </c>
      <c r="N84" s="228">
        <v>358.85</v>
      </c>
      <c r="O84" s="228">
        <v>364.95</v>
      </c>
      <c r="P84" s="228">
        <v>-6.1</v>
      </c>
      <c r="Q84" s="229">
        <v>-1.67E-2</v>
      </c>
      <c r="R84" s="228">
        <v>360.7</v>
      </c>
      <c r="S84" s="228">
        <v>366.45</v>
      </c>
      <c r="T84" s="228">
        <v>-5.75</v>
      </c>
      <c r="U84" s="229">
        <v>-1.5699999999999999E-2</v>
      </c>
      <c r="V84" s="228">
        <v>361.6</v>
      </c>
      <c r="W84" s="228">
        <v>368.25</v>
      </c>
      <c r="X84" s="228">
        <v>-6.65</v>
      </c>
      <c r="Y84" s="229">
        <v>-1.8100000000000002E-2</v>
      </c>
      <c r="Z84" s="228">
        <v>0.85</v>
      </c>
      <c r="AA84" s="228">
        <v>0.7</v>
      </c>
      <c r="AB84" s="228">
        <v>0.15</v>
      </c>
      <c r="AC84" s="229">
        <v>2.3999999999999998E-3</v>
      </c>
      <c r="AD84" s="228">
        <v>0.85</v>
      </c>
      <c r="AE84" s="228">
        <v>0.7</v>
      </c>
      <c r="AF84" s="228">
        <v>0.15</v>
      </c>
      <c r="AG84" s="229">
        <v>2.3999999999999998E-3</v>
      </c>
      <c r="AH84" s="228">
        <v>2.7</v>
      </c>
      <c r="AI84" s="228">
        <v>2.2000000000000002</v>
      </c>
      <c r="AJ84" s="228">
        <v>0.5</v>
      </c>
      <c r="AK84" s="229">
        <v>7.4999999999999997E-3</v>
      </c>
      <c r="AL84" s="228">
        <v>3.6</v>
      </c>
      <c r="AM84" s="228">
        <v>4</v>
      </c>
      <c r="AN84" s="228">
        <v>-0.4</v>
      </c>
      <c r="AO84" s="229">
        <v>1.01E-2</v>
      </c>
      <c r="AP84" s="228">
        <v>358.84</v>
      </c>
      <c r="AQ84" s="228">
        <v>360.93</v>
      </c>
      <c r="AR84" s="228">
        <v>0</v>
      </c>
      <c r="AS84" s="228">
        <v>453</v>
      </c>
      <c r="AT84" s="230">
        <v>1027</v>
      </c>
      <c r="AU84" s="228">
        <v>-574</v>
      </c>
      <c r="AV84" s="229">
        <v>-0.55879999999999996</v>
      </c>
      <c r="AW84" s="228">
        <v>430</v>
      </c>
      <c r="AX84" s="228">
        <v>981</v>
      </c>
      <c r="AY84" s="228">
        <v>-551</v>
      </c>
      <c r="AZ84" s="229">
        <v>-0.5615</v>
      </c>
      <c r="BA84" s="228">
        <v>20</v>
      </c>
      <c r="BB84" s="228">
        <v>41</v>
      </c>
      <c r="BC84" s="228">
        <v>-21</v>
      </c>
      <c r="BD84" s="229">
        <v>-0.50439999999999996</v>
      </c>
      <c r="BE84" s="228">
        <v>3</v>
      </c>
      <c r="BF84" s="228">
        <v>5</v>
      </c>
      <c r="BG84" s="228">
        <v>-2</v>
      </c>
      <c r="BH84" s="229">
        <v>-0.48570000000000002</v>
      </c>
      <c r="BI84" s="228">
        <v>770</v>
      </c>
      <c r="BJ84" s="230">
        <v>2186</v>
      </c>
      <c r="BK84" s="230">
        <v>-1415</v>
      </c>
      <c r="BL84" s="229">
        <v>-0.64759999999999995</v>
      </c>
      <c r="BM84" s="228">
        <v>511</v>
      </c>
      <c r="BN84" s="230">
        <v>1128</v>
      </c>
      <c r="BO84" s="228">
        <v>-617</v>
      </c>
      <c r="BP84" s="229">
        <v>-0.54679999999999995</v>
      </c>
      <c r="BQ84" s="230">
        <v>1735</v>
      </c>
      <c r="BR84" s="230">
        <v>4341</v>
      </c>
      <c r="BS84" s="230">
        <v>-2606</v>
      </c>
      <c r="BT84" s="229">
        <v>-0.60040000000000004</v>
      </c>
      <c r="BU84" s="230">
        <v>13833026</v>
      </c>
      <c r="BV84" s="230">
        <v>27135229</v>
      </c>
      <c r="BW84" s="230">
        <v>-13302203</v>
      </c>
      <c r="BX84" s="229">
        <v>-0.49020000000000002</v>
      </c>
      <c r="BY84" s="230">
        <v>1578</v>
      </c>
      <c r="BZ84" s="230">
        <v>1577</v>
      </c>
      <c r="CA84" s="228">
        <v>1</v>
      </c>
      <c r="CB84" s="229">
        <v>4.0000000000000002E-4</v>
      </c>
      <c r="CC84" s="230">
        <v>1540</v>
      </c>
      <c r="CD84" s="230">
        <v>1539</v>
      </c>
      <c r="CE84" s="228">
        <v>0</v>
      </c>
      <c r="CF84" s="229">
        <v>2.9999999999999997E-4</v>
      </c>
      <c r="CG84" s="228">
        <v>35</v>
      </c>
      <c r="CH84" s="228">
        <v>35</v>
      </c>
      <c r="CI84" s="228">
        <v>0</v>
      </c>
      <c r="CJ84" s="229">
        <v>-1.03E-2</v>
      </c>
      <c r="CK84" s="228">
        <v>4</v>
      </c>
      <c r="CL84" s="228">
        <v>3</v>
      </c>
      <c r="CM84" s="228">
        <v>1</v>
      </c>
      <c r="CN84" s="229">
        <v>0.186</v>
      </c>
      <c r="CO84" s="228">
        <v>633</v>
      </c>
      <c r="CP84" s="228">
        <v>606</v>
      </c>
      <c r="CQ84" s="228">
        <v>27</v>
      </c>
      <c r="CR84" s="229">
        <v>4.48E-2</v>
      </c>
      <c r="CS84" s="228">
        <v>561</v>
      </c>
      <c r="CT84" s="228">
        <v>547</v>
      </c>
      <c r="CU84" s="228">
        <v>14</v>
      </c>
      <c r="CV84" s="229">
        <v>2.5399999999999999E-2</v>
      </c>
      <c r="CW84" s="230">
        <v>2771</v>
      </c>
      <c r="CX84" s="230">
        <v>2730</v>
      </c>
      <c r="CY84" s="228">
        <v>42</v>
      </c>
      <c r="CZ84" s="229">
        <v>1.5299999999999999E-2</v>
      </c>
      <c r="DA84" s="228">
        <v>43.81</v>
      </c>
      <c r="DB84" s="228">
        <v>44.94</v>
      </c>
      <c r="DC84" s="228">
        <v>-1.1299999999999999</v>
      </c>
      <c r="DD84" s="228">
        <v>-1.1299999999999999</v>
      </c>
      <c r="DE84" s="228">
        <v>44.13</v>
      </c>
      <c r="DF84" s="228">
        <v>44.18</v>
      </c>
      <c r="DG84" s="228">
        <v>-0.32</v>
      </c>
      <c r="DH84" s="228">
        <v>-0.05</v>
      </c>
      <c r="DI84" s="228">
        <v>42.61</v>
      </c>
      <c r="DJ84" s="228">
        <v>43.56</v>
      </c>
      <c r="DK84" s="228">
        <v>-0.95</v>
      </c>
      <c r="DL84" s="228">
        <v>-0.95</v>
      </c>
      <c r="DM84" s="228">
        <v>45.63</v>
      </c>
      <c r="DN84" s="228">
        <v>47.6</v>
      </c>
      <c r="DO84" s="228">
        <v>-1.97</v>
      </c>
      <c r="DP84" s="228">
        <v>-1.97</v>
      </c>
      <c r="DQ84" s="228">
        <v>0.89</v>
      </c>
      <c r="DR84" s="228">
        <v>0.9</v>
      </c>
      <c r="DS84" s="228">
        <v>-0.01</v>
      </c>
      <c r="DT84" s="229">
        <v>-1.11E-2</v>
      </c>
      <c r="DU84" s="228">
        <v>400</v>
      </c>
      <c r="DV84" s="228">
        <v>320</v>
      </c>
      <c r="DW84" s="228">
        <v>0.66</v>
      </c>
      <c r="DX84" s="228">
        <v>0.52</v>
      </c>
      <c r="DY84" s="228">
        <v>0.14000000000000001</v>
      </c>
      <c r="DZ84" s="229">
        <v>0.26919999999999999</v>
      </c>
      <c r="EA84" s="229">
        <v>2.4500000000000001E-2</v>
      </c>
      <c r="EB84" s="230">
        <v>1069200</v>
      </c>
      <c r="EC84" s="229">
        <v>5.1999999999999998E-3</v>
      </c>
      <c r="ED84" s="229">
        <v>2.4500000000000001E-2</v>
      </c>
      <c r="EE84" s="228">
        <v>2.09</v>
      </c>
      <c r="EF84" s="229">
        <v>5.7999999999999996E-3</v>
      </c>
      <c r="EG84" s="230">
        <v>6560929</v>
      </c>
      <c r="EH84" s="230">
        <v>9376342</v>
      </c>
      <c r="EI84" s="229">
        <v>-0.30030000000000001</v>
      </c>
      <c r="EJ84" s="229">
        <v>0.4743</v>
      </c>
      <c r="EK84" s="228">
        <v>825.7</v>
      </c>
      <c r="EL84" s="228">
        <v>501.3</v>
      </c>
      <c r="EM84" s="228">
        <v>453.06</v>
      </c>
      <c r="EN84" s="228">
        <v>82.35</v>
      </c>
      <c r="EO84" s="231">
        <v>1780.05</v>
      </c>
      <c r="EP84" s="231">
        <v>4470.46</v>
      </c>
      <c r="EQ84" s="231">
        <v>-2690.41</v>
      </c>
      <c r="ER84" s="229">
        <v>-0.6018</v>
      </c>
      <c r="ES84" s="228">
        <v>658.79</v>
      </c>
      <c r="ET84" s="228">
        <v>523.39</v>
      </c>
      <c r="EU84" s="231">
        <v>1578.32</v>
      </c>
      <c r="EV84" s="231">
        <v>143933168</v>
      </c>
      <c r="EW84" s="231">
        <v>2760.5</v>
      </c>
      <c r="EX84" s="231">
        <v>2742.6</v>
      </c>
      <c r="EY84" s="228">
        <v>17.899999999999999</v>
      </c>
      <c r="EZ84" s="229">
        <v>6.4999999999999997E-3</v>
      </c>
      <c r="FA84" s="229">
        <v>0.53659999999999997</v>
      </c>
      <c r="FB84" s="227" t="s">
        <v>566</v>
      </c>
      <c r="FC84">
        <f t="shared" si="1"/>
        <v>38</v>
      </c>
    </row>
    <row r="85" spans="1:159" ht="17.25" thickBot="1" x14ac:dyDescent="0.3">
      <c r="A85" s="226">
        <v>46121</v>
      </c>
      <c r="B85" s="227" t="s">
        <v>168</v>
      </c>
      <c r="C85" s="227" t="s">
        <v>230</v>
      </c>
      <c r="D85" s="228">
        <v>300</v>
      </c>
      <c r="E85" s="228">
        <v>19</v>
      </c>
      <c r="F85" s="231">
        <v>2143.3000000000002</v>
      </c>
      <c r="G85" s="231">
        <v>2156.6999999999998</v>
      </c>
      <c r="H85" s="228">
        <v>-13.4</v>
      </c>
      <c r="I85" s="229">
        <v>-6.1999999999999998E-3</v>
      </c>
      <c r="J85" s="231">
        <v>2133.1999999999998</v>
      </c>
      <c r="K85" s="231">
        <v>2145.6</v>
      </c>
      <c r="L85" s="228">
        <v>-12.4</v>
      </c>
      <c r="M85" s="229">
        <v>-5.7999999999999996E-3</v>
      </c>
      <c r="N85" s="231">
        <v>2143.3000000000002</v>
      </c>
      <c r="O85" s="231">
        <v>2156.6999999999998</v>
      </c>
      <c r="P85" s="228">
        <v>-13.4</v>
      </c>
      <c r="Q85" s="229">
        <v>-6.1999999999999998E-3</v>
      </c>
      <c r="R85" s="231">
        <v>2153.6999999999998</v>
      </c>
      <c r="S85" s="231">
        <v>2168.5</v>
      </c>
      <c r="T85" s="228">
        <v>-14.8</v>
      </c>
      <c r="U85" s="229">
        <v>-6.7999999999999996E-3</v>
      </c>
      <c r="V85" s="231">
        <v>2144.6999999999998</v>
      </c>
      <c r="W85" s="231">
        <v>2159.4</v>
      </c>
      <c r="X85" s="228">
        <v>-14.7</v>
      </c>
      <c r="Y85" s="229">
        <v>-6.7999999999999996E-3</v>
      </c>
      <c r="Z85" s="228">
        <v>10.1</v>
      </c>
      <c r="AA85" s="228">
        <v>11.1</v>
      </c>
      <c r="AB85" s="228">
        <v>-1</v>
      </c>
      <c r="AC85" s="229">
        <v>4.7000000000000002E-3</v>
      </c>
      <c r="AD85" s="228">
        <v>10.1</v>
      </c>
      <c r="AE85" s="228">
        <v>11.1</v>
      </c>
      <c r="AF85" s="228">
        <v>-1</v>
      </c>
      <c r="AG85" s="229">
        <v>4.7000000000000002E-3</v>
      </c>
      <c r="AH85" s="228">
        <v>20.5</v>
      </c>
      <c r="AI85" s="228">
        <v>22.9</v>
      </c>
      <c r="AJ85" s="228">
        <v>-2.4</v>
      </c>
      <c r="AK85" s="229">
        <v>9.5999999999999992E-3</v>
      </c>
      <c r="AL85" s="228">
        <v>11.5</v>
      </c>
      <c r="AM85" s="228">
        <v>13.8</v>
      </c>
      <c r="AN85" s="228">
        <v>-2.2999999999999998</v>
      </c>
      <c r="AO85" s="229">
        <v>5.4000000000000003E-3</v>
      </c>
      <c r="AP85" s="231">
        <v>2143.9299999999998</v>
      </c>
      <c r="AQ85" s="231">
        <v>2154.27</v>
      </c>
      <c r="AR85" s="228">
        <v>0</v>
      </c>
      <c r="AS85" s="228">
        <v>327</v>
      </c>
      <c r="AT85" s="228">
        <v>922</v>
      </c>
      <c r="AU85" s="228">
        <v>-595</v>
      </c>
      <c r="AV85" s="229">
        <v>-0.64549999999999996</v>
      </c>
      <c r="AW85" s="228">
        <v>300</v>
      </c>
      <c r="AX85" s="228">
        <v>882</v>
      </c>
      <c r="AY85" s="228">
        <v>-582</v>
      </c>
      <c r="AZ85" s="229">
        <v>-0.65969999999999995</v>
      </c>
      <c r="BA85" s="228">
        <v>21</v>
      </c>
      <c r="BB85" s="228">
        <v>33</v>
      </c>
      <c r="BC85" s="228">
        <v>-12</v>
      </c>
      <c r="BD85" s="229">
        <v>-0.35659999999999997</v>
      </c>
      <c r="BE85" s="228">
        <v>5</v>
      </c>
      <c r="BF85" s="228">
        <v>7</v>
      </c>
      <c r="BG85" s="228">
        <v>-1</v>
      </c>
      <c r="BH85" s="229">
        <v>-0.2039</v>
      </c>
      <c r="BI85" s="230">
        <v>1073</v>
      </c>
      <c r="BJ85" s="230">
        <v>1815</v>
      </c>
      <c r="BK85" s="228">
        <v>-742</v>
      </c>
      <c r="BL85" s="229">
        <v>-0.40899999999999997</v>
      </c>
      <c r="BM85" s="228">
        <v>564</v>
      </c>
      <c r="BN85" s="230">
        <v>1393</v>
      </c>
      <c r="BO85" s="228">
        <v>-829</v>
      </c>
      <c r="BP85" s="229">
        <v>-0.59509999999999996</v>
      </c>
      <c r="BQ85" s="230">
        <v>1963</v>
      </c>
      <c r="BR85" s="230">
        <v>4130</v>
      </c>
      <c r="BS85" s="230">
        <v>-2166</v>
      </c>
      <c r="BT85" s="229">
        <v>-0.52459999999999996</v>
      </c>
      <c r="BU85" s="230">
        <v>2595377</v>
      </c>
      <c r="BV85" s="230">
        <v>4060526</v>
      </c>
      <c r="BW85" s="230">
        <v>-1465149</v>
      </c>
      <c r="BX85" s="229">
        <v>-0.36080000000000001</v>
      </c>
      <c r="BY85" s="230">
        <v>3667</v>
      </c>
      <c r="BZ85" s="230">
        <v>3598</v>
      </c>
      <c r="CA85" s="228">
        <v>69</v>
      </c>
      <c r="CB85" s="229">
        <v>1.9199999999999998E-2</v>
      </c>
      <c r="CC85" s="230">
        <v>3514</v>
      </c>
      <c r="CD85" s="230">
        <v>3454</v>
      </c>
      <c r="CE85" s="228">
        <v>60</v>
      </c>
      <c r="CF85" s="229">
        <v>1.7399999999999999E-2</v>
      </c>
      <c r="CG85" s="228">
        <v>125</v>
      </c>
      <c r="CH85" s="228">
        <v>119</v>
      </c>
      <c r="CI85" s="228">
        <v>7</v>
      </c>
      <c r="CJ85" s="229">
        <v>5.6300000000000003E-2</v>
      </c>
      <c r="CK85" s="228">
        <v>27</v>
      </c>
      <c r="CL85" s="228">
        <v>25</v>
      </c>
      <c r="CM85" s="228">
        <v>2</v>
      </c>
      <c r="CN85" s="229">
        <v>9.9500000000000005E-2</v>
      </c>
      <c r="CO85" s="228">
        <v>925</v>
      </c>
      <c r="CP85" s="228">
        <v>844</v>
      </c>
      <c r="CQ85" s="228">
        <v>82</v>
      </c>
      <c r="CR85" s="229">
        <v>9.6699999999999994E-2</v>
      </c>
      <c r="CS85" s="228">
        <v>715</v>
      </c>
      <c r="CT85" s="228">
        <v>699</v>
      </c>
      <c r="CU85" s="228">
        <v>16</v>
      </c>
      <c r="CV85" s="229">
        <v>2.3400000000000001E-2</v>
      </c>
      <c r="CW85" s="230">
        <v>5307</v>
      </c>
      <c r="CX85" s="230">
        <v>5140</v>
      </c>
      <c r="CY85" s="228">
        <v>167</v>
      </c>
      <c r="CZ85" s="229">
        <v>3.2500000000000001E-2</v>
      </c>
      <c r="DA85" s="228">
        <v>22.75</v>
      </c>
      <c r="DB85" s="228">
        <v>23.17</v>
      </c>
      <c r="DC85" s="228">
        <v>-0.42</v>
      </c>
      <c r="DD85" s="228">
        <v>-0.42</v>
      </c>
      <c r="DE85" s="228">
        <v>23.16</v>
      </c>
      <c r="DF85" s="228">
        <v>23.21</v>
      </c>
      <c r="DG85" s="228">
        <v>-0.41</v>
      </c>
      <c r="DH85" s="228">
        <v>-0.05</v>
      </c>
      <c r="DI85" s="228">
        <v>22.3</v>
      </c>
      <c r="DJ85" s="228">
        <v>22.2</v>
      </c>
      <c r="DK85" s="228">
        <v>0.1</v>
      </c>
      <c r="DL85" s="228">
        <v>0.1</v>
      </c>
      <c r="DM85" s="228">
        <v>23.6</v>
      </c>
      <c r="DN85" s="228">
        <v>24.42</v>
      </c>
      <c r="DO85" s="228">
        <v>-0.82</v>
      </c>
      <c r="DP85" s="228">
        <v>-0.82</v>
      </c>
      <c r="DQ85" s="228">
        <v>0.77</v>
      </c>
      <c r="DR85" s="228">
        <v>0.83</v>
      </c>
      <c r="DS85" s="228">
        <v>-0.06</v>
      </c>
      <c r="DT85" s="229">
        <v>-7.2300000000000003E-2</v>
      </c>
      <c r="DU85" s="231">
        <v>2100</v>
      </c>
      <c r="DV85" s="231">
        <v>1900</v>
      </c>
      <c r="DW85" s="228">
        <v>0.53</v>
      </c>
      <c r="DX85" s="228">
        <v>0.77</v>
      </c>
      <c r="DY85" s="228">
        <v>-0.24</v>
      </c>
      <c r="DZ85" s="229">
        <v>-0.31169999999999998</v>
      </c>
      <c r="EA85" s="229">
        <v>4.1599999999999998E-2</v>
      </c>
      <c r="EB85" s="230">
        <v>668400</v>
      </c>
      <c r="EC85" s="229">
        <v>4.8999999999999998E-3</v>
      </c>
      <c r="ED85" s="229">
        <v>4.1599999999999998E-2</v>
      </c>
      <c r="EE85" s="228">
        <v>10.34</v>
      </c>
      <c r="EF85" s="229">
        <v>4.7999999999999996E-3</v>
      </c>
      <c r="EG85" s="230">
        <v>1446615</v>
      </c>
      <c r="EH85" s="230">
        <v>2504776</v>
      </c>
      <c r="EI85" s="229">
        <v>-0.42249999999999999</v>
      </c>
      <c r="EJ85" s="229">
        <v>0.55740000000000001</v>
      </c>
      <c r="EK85" s="231">
        <v>1112.6099999999999</v>
      </c>
      <c r="EL85" s="228">
        <v>558.71</v>
      </c>
      <c r="EM85" s="228">
        <v>327.10000000000002</v>
      </c>
      <c r="EN85" s="228">
        <v>90.32</v>
      </c>
      <c r="EO85" s="231">
        <v>1998.42</v>
      </c>
      <c r="EP85" s="231">
        <v>4204.97</v>
      </c>
      <c r="EQ85" s="231">
        <v>-2206.54</v>
      </c>
      <c r="ER85" s="229">
        <v>-0.52470000000000006</v>
      </c>
      <c r="ES85" s="228">
        <v>955.18</v>
      </c>
      <c r="ET85" s="228">
        <v>685.24</v>
      </c>
      <c r="EU85" s="231">
        <v>3667.34</v>
      </c>
      <c r="EV85" s="231">
        <v>89517840</v>
      </c>
      <c r="EW85" s="231">
        <v>5307.76</v>
      </c>
      <c r="EX85" s="231">
        <v>5162.3100000000004</v>
      </c>
      <c r="EY85" s="228">
        <v>145.44999999999999</v>
      </c>
      <c r="EZ85" s="229">
        <v>2.8199999999999999E-2</v>
      </c>
      <c r="FA85" s="229">
        <v>0.27660000000000001</v>
      </c>
      <c r="FB85" s="227" t="s">
        <v>566</v>
      </c>
      <c r="FC85">
        <f t="shared" si="1"/>
        <v>153</v>
      </c>
    </row>
    <row r="86" spans="1:159" ht="17.25" thickBot="1" x14ac:dyDescent="0.3">
      <c r="A86" s="226">
        <v>46121</v>
      </c>
      <c r="B86" s="227" t="s">
        <v>227</v>
      </c>
      <c r="C86" s="227" t="s">
        <v>666</v>
      </c>
      <c r="D86" s="228">
        <v>1225</v>
      </c>
      <c r="E86" s="228">
        <v>19</v>
      </c>
      <c r="F86" s="228">
        <v>559.95000000000005</v>
      </c>
      <c r="G86" s="228">
        <v>560.4</v>
      </c>
      <c r="H86" s="228">
        <v>-0.45</v>
      </c>
      <c r="I86" s="229">
        <v>-8.0000000000000004E-4</v>
      </c>
      <c r="J86" s="228">
        <v>558.5</v>
      </c>
      <c r="K86" s="228">
        <v>559.35</v>
      </c>
      <c r="L86" s="228">
        <v>-0.85</v>
      </c>
      <c r="M86" s="229">
        <v>-1.5E-3</v>
      </c>
      <c r="N86" s="228">
        <v>559.95000000000005</v>
      </c>
      <c r="O86" s="228">
        <v>560.4</v>
      </c>
      <c r="P86" s="228">
        <v>-0.45</v>
      </c>
      <c r="Q86" s="229">
        <v>-8.0000000000000004E-4</v>
      </c>
      <c r="R86" s="228">
        <v>562.20000000000005</v>
      </c>
      <c r="S86" s="228">
        <v>562.54999999999995</v>
      </c>
      <c r="T86" s="228">
        <v>-0.35</v>
      </c>
      <c r="U86" s="229">
        <v>-5.9999999999999995E-4</v>
      </c>
      <c r="V86" s="228">
        <v>564.65</v>
      </c>
      <c r="W86" s="228">
        <v>564.9</v>
      </c>
      <c r="X86" s="228">
        <v>-0.25</v>
      </c>
      <c r="Y86" s="229">
        <v>-4.0000000000000002E-4</v>
      </c>
      <c r="Z86" s="228">
        <v>1.45</v>
      </c>
      <c r="AA86" s="228">
        <v>1.05</v>
      </c>
      <c r="AB86" s="228">
        <v>0.4</v>
      </c>
      <c r="AC86" s="229">
        <v>2.5999999999999999E-3</v>
      </c>
      <c r="AD86" s="228">
        <v>1.45</v>
      </c>
      <c r="AE86" s="228">
        <v>1.05</v>
      </c>
      <c r="AF86" s="228">
        <v>0.4</v>
      </c>
      <c r="AG86" s="229">
        <v>2.5999999999999999E-3</v>
      </c>
      <c r="AH86" s="228">
        <v>3.7</v>
      </c>
      <c r="AI86" s="228">
        <v>3.2</v>
      </c>
      <c r="AJ86" s="228">
        <v>0.5</v>
      </c>
      <c r="AK86" s="229">
        <v>6.6E-3</v>
      </c>
      <c r="AL86" s="228">
        <v>6.15</v>
      </c>
      <c r="AM86" s="228">
        <v>5.55</v>
      </c>
      <c r="AN86" s="228">
        <v>0.6</v>
      </c>
      <c r="AO86" s="229">
        <v>1.0999999999999999E-2</v>
      </c>
      <c r="AP86" s="228">
        <v>559.80999999999995</v>
      </c>
      <c r="AQ86" s="228">
        <v>561.32000000000005</v>
      </c>
      <c r="AR86" s="228">
        <v>0</v>
      </c>
      <c r="AS86" s="228">
        <v>195</v>
      </c>
      <c r="AT86" s="228">
        <v>421</v>
      </c>
      <c r="AU86" s="228">
        <v>-225</v>
      </c>
      <c r="AV86" s="229">
        <v>-0.53600000000000003</v>
      </c>
      <c r="AW86" s="228">
        <v>183</v>
      </c>
      <c r="AX86" s="228">
        <v>380</v>
      </c>
      <c r="AY86" s="228">
        <v>-197</v>
      </c>
      <c r="AZ86" s="229">
        <v>-0.51890000000000003</v>
      </c>
      <c r="BA86" s="228">
        <v>9</v>
      </c>
      <c r="BB86" s="228">
        <v>35</v>
      </c>
      <c r="BC86" s="228">
        <v>-26</v>
      </c>
      <c r="BD86" s="229">
        <v>-0.73260000000000003</v>
      </c>
      <c r="BE86" s="228">
        <v>3</v>
      </c>
      <c r="BF86" s="228">
        <v>5</v>
      </c>
      <c r="BG86" s="228">
        <v>-2</v>
      </c>
      <c r="BH86" s="229">
        <v>-0.45</v>
      </c>
      <c r="BI86" s="228">
        <v>700</v>
      </c>
      <c r="BJ86" s="230">
        <v>1327</v>
      </c>
      <c r="BK86" s="228">
        <v>-627</v>
      </c>
      <c r="BL86" s="229">
        <v>-0.4723</v>
      </c>
      <c r="BM86" s="228">
        <v>466</v>
      </c>
      <c r="BN86" s="228">
        <v>770</v>
      </c>
      <c r="BO86" s="228">
        <v>-304</v>
      </c>
      <c r="BP86" s="229">
        <v>-0.39500000000000002</v>
      </c>
      <c r="BQ86" s="230">
        <v>1361</v>
      </c>
      <c r="BR86" s="230">
        <v>2517</v>
      </c>
      <c r="BS86" s="230">
        <v>-1156</v>
      </c>
      <c r="BT86" s="229">
        <v>-0.45929999999999999</v>
      </c>
      <c r="BU86" s="230">
        <v>3171345</v>
      </c>
      <c r="BV86" s="230">
        <v>7091758</v>
      </c>
      <c r="BW86" s="230">
        <v>-3920413</v>
      </c>
      <c r="BX86" s="229">
        <v>-0.55279999999999996</v>
      </c>
      <c r="BY86" s="230">
        <v>2106</v>
      </c>
      <c r="BZ86" s="230">
        <v>2142</v>
      </c>
      <c r="CA86" s="228">
        <v>-36</v>
      </c>
      <c r="CB86" s="229">
        <v>-1.6899999999999998E-2</v>
      </c>
      <c r="CC86" s="230">
        <v>2003</v>
      </c>
      <c r="CD86" s="230">
        <v>2040</v>
      </c>
      <c r="CE86" s="228">
        <v>-38</v>
      </c>
      <c r="CF86" s="229">
        <v>-1.84E-2</v>
      </c>
      <c r="CG86" s="228">
        <v>94</v>
      </c>
      <c r="CH86" s="228">
        <v>92</v>
      </c>
      <c r="CI86" s="228">
        <v>1</v>
      </c>
      <c r="CJ86" s="229">
        <v>1.34E-2</v>
      </c>
      <c r="CK86" s="228">
        <v>9</v>
      </c>
      <c r="CL86" s="228">
        <v>9</v>
      </c>
      <c r="CM86" s="228">
        <v>0</v>
      </c>
      <c r="CN86" s="229">
        <v>1.49E-2</v>
      </c>
      <c r="CO86" s="228">
        <v>893</v>
      </c>
      <c r="CP86" s="228">
        <v>873</v>
      </c>
      <c r="CQ86" s="228">
        <v>20</v>
      </c>
      <c r="CR86" s="229">
        <v>2.3300000000000001E-2</v>
      </c>
      <c r="CS86" s="228">
        <v>735</v>
      </c>
      <c r="CT86" s="228">
        <v>706</v>
      </c>
      <c r="CU86" s="228">
        <v>29</v>
      </c>
      <c r="CV86" s="229">
        <v>4.1399999999999999E-2</v>
      </c>
      <c r="CW86" s="230">
        <v>3734</v>
      </c>
      <c r="CX86" s="230">
        <v>3720</v>
      </c>
      <c r="CY86" s="228">
        <v>13</v>
      </c>
      <c r="CZ86" s="229">
        <v>3.5999999999999999E-3</v>
      </c>
      <c r="DA86" s="228">
        <v>40.32</v>
      </c>
      <c r="DB86" s="228">
        <v>40.200000000000003</v>
      </c>
      <c r="DC86" s="228">
        <v>0.12</v>
      </c>
      <c r="DD86" s="228">
        <v>0.12</v>
      </c>
      <c r="DE86" s="228">
        <v>50.89</v>
      </c>
      <c r="DF86" s="228">
        <v>51.02</v>
      </c>
      <c r="DG86" s="228">
        <v>-10.57</v>
      </c>
      <c r="DH86" s="228">
        <v>-0.13</v>
      </c>
      <c r="DI86" s="228">
        <v>38.25</v>
      </c>
      <c r="DJ86" s="228">
        <v>38.03</v>
      </c>
      <c r="DK86" s="228">
        <v>0.22</v>
      </c>
      <c r="DL86" s="228">
        <v>0.22</v>
      </c>
      <c r="DM86" s="228">
        <v>43.44</v>
      </c>
      <c r="DN86" s="228">
        <v>43.94</v>
      </c>
      <c r="DO86" s="228">
        <v>-0.5</v>
      </c>
      <c r="DP86" s="228">
        <v>-0.5</v>
      </c>
      <c r="DQ86" s="228">
        <v>0.82</v>
      </c>
      <c r="DR86" s="228">
        <v>0.81</v>
      </c>
      <c r="DS86" s="228">
        <v>0.01</v>
      </c>
      <c r="DT86" s="229">
        <v>1.23E-2</v>
      </c>
      <c r="DU86" s="228">
        <v>600</v>
      </c>
      <c r="DV86" s="228">
        <v>500</v>
      </c>
      <c r="DW86" s="228">
        <v>0.66</v>
      </c>
      <c r="DX86" s="228">
        <v>0.57999999999999996</v>
      </c>
      <c r="DY86" s="228">
        <v>0.08</v>
      </c>
      <c r="DZ86" s="229">
        <v>0.13789999999999999</v>
      </c>
      <c r="EA86" s="229">
        <v>4.8899999999999999E-2</v>
      </c>
      <c r="EB86" s="230">
        <v>1815450</v>
      </c>
      <c r="EC86" s="229">
        <v>4.0000000000000001E-3</v>
      </c>
      <c r="ED86" s="229">
        <v>4.8899999999999999E-2</v>
      </c>
      <c r="EE86" s="228">
        <v>1.51</v>
      </c>
      <c r="EF86" s="229">
        <v>2.7000000000000001E-3</v>
      </c>
      <c r="EG86" s="230">
        <v>1220134</v>
      </c>
      <c r="EH86" s="230">
        <v>3413956</v>
      </c>
      <c r="EI86" s="229">
        <v>-0.64259999999999995</v>
      </c>
      <c r="EJ86" s="229">
        <v>0.38469999999999999</v>
      </c>
      <c r="EK86" s="228">
        <v>747.47</v>
      </c>
      <c r="EL86" s="228">
        <v>449.56</v>
      </c>
      <c r="EM86" s="228">
        <v>195.22</v>
      </c>
      <c r="EN86" s="228">
        <v>53.22</v>
      </c>
      <c r="EO86" s="231">
        <v>1392.25</v>
      </c>
      <c r="EP86" s="231">
        <v>2559.59</v>
      </c>
      <c r="EQ86" s="231">
        <v>-1167.33</v>
      </c>
      <c r="ER86" s="229">
        <v>-0.45610000000000001</v>
      </c>
      <c r="ES86" s="228">
        <v>909.5</v>
      </c>
      <c r="ET86" s="228">
        <v>687.26</v>
      </c>
      <c r="EU86" s="231">
        <v>2106.29</v>
      </c>
      <c r="EV86" s="231">
        <v>241870587</v>
      </c>
      <c r="EW86" s="231">
        <v>3703.04</v>
      </c>
      <c r="EX86" s="231">
        <v>3690.16</v>
      </c>
      <c r="EY86" s="228">
        <v>12.88</v>
      </c>
      <c r="EZ86" s="229">
        <v>3.5000000000000001E-3</v>
      </c>
      <c r="FA86" s="229">
        <v>0.2757</v>
      </c>
      <c r="FB86" s="227" t="s">
        <v>567</v>
      </c>
      <c r="FC86">
        <f t="shared" si="1"/>
        <v>103</v>
      </c>
    </row>
    <row r="87" spans="1:159" ht="17.25" thickBot="1" x14ac:dyDescent="0.3">
      <c r="A87" s="226">
        <v>46121</v>
      </c>
      <c r="B87" s="227" t="s">
        <v>206</v>
      </c>
      <c r="C87" s="227" t="s">
        <v>607</v>
      </c>
      <c r="D87" s="228">
        <v>2775</v>
      </c>
      <c r="E87" s="228">
        <v>19</v>
      </c>
      <c r="F87" s="228">
        <v>182.64</v>
      </c>
      <c r="G87" s="228">
        <v>183.19</v>
      </c>
      <c r="H87" s="228">
        <v>-0.55000000000000004</v>
      </c>
      <c r="I87" s="229">
        <v>-3.0000000000000001E-3</v>
      </c>
      <c r="J87" s="228">
        <v>181.93</v>
      </c>
      <c r="K87" s="228">
        <v>182.15</v>
      </c>
      <c r="L87" s="228">
        <v>-0.22</v>
      </c>
      <c r="M87" s="229">
        <v>-1.1999999999999999E-3</v>
      </c>
      <c r="N87" s="228">
        <v>182.64</v>
      </c>
      <c r="O87" s="228">
        <v>183.19</v>
      </c>
      <c r="P87" s="228">
        <v>-0.55000000000000004</v>
      </c>
      <c r="Q87" s="229">
        <v>-3.0000000000000001E-3</v>
      </c>
      <c r="R87" s="228">
        <v>0</v>
      </c>
      <c r="S87" s="228">
        <v>0</v>
      </c>
      <c r="T87" s="228">
        <v>0</v>
      </c>
      <c r="U87" s="229">
        <v>0</v>
      </c>
      <c r="V87" s="228">
        <v>0</v>
      </c>
      <c r="W87" s="228">
        <v>0</v>
      </c>
      <c r="X87" s="228">
        <v>0</v>
      </c>
      <c r="Y87" s="229">
        <v>0</v>
      </c>
      <c r="Z87" s="228">
        <v>0.71</v>
      </c>
      <c r="AA87" s="228">
        <v>1.04</v>
      </c>
      <c r="AB87" s="228">
        <v>-0.33</v>
      </c>
      <c r="AC87" s="229">
        <v>3.8999999999999998E-3</v>
      </c>
      <c r="AD87" s="228">
        <v>0.71</v>
      </c>
      <c r="AE87" s="228">
        <v>1.04</v>
      </c>
      <c r="AF87" s="228">
        <v>-0.33</v>
      </c>
      <c r="AG87" s="229">
        <v>3.8999999999999998E-3</v>
      </c>
      <c r="AH87" s="228">
        <v>0</v>
      </c>
      <c r="AI87" s="228">
        <v>0</v>
      </c>
      <c r="AJ87" s="228">
        <v>0</v>
      </c>
      <c r="AK87" s="229">
        <v>0</v>
      </c>
      <c r="AL87" s="228">
        <v>0</v>
      </c>
      <c r="AM87" s="228">
        <v>0</v>
      </c>
      <c r="AN87" s="228">
        <v>0</v>
      </c>
      <c r="AO87" s="229">
        <v>0</v>
      </c>
      <c r="AP87" s="228">
        <v>182.95</v>
      </c>
      <c r="AQ87" s="228">
        <v>0</v>
      </c>
      <c r="AR87" s="228">
        <v>0</v>
      </c>
      <c r="AS87" s="228">
        <v>52</v>
      </c>
      <c r="AT87" s="228">
        <v>77</v>
      </c>
      <c r="AU87" s="228">
        <v>-25</v>
      </c>
      <c r="AV87" s="229">
        <v>-0.32240000000000002</v>
      </c>
      <c r="AW87" s="228">
        <v>52</v>
      </c>
      <c r="AX87" s="228">
        <v>77</v>
      </c>
      <c r="AY87" s="228">
        <v>-25</v>
      </c>
      <c r="AZ87" s="229">
        <v>-0.32240000000000002</v>
      </c>
      <c r="BA87" s="228">
        <v>0</v>
      </c>
      <c r="BB87" s="228">
        <v>0</v>
      </c>
      <c r="BC87" s="228">
        <v>0</v>
      </c>
      <c r="BD87" s="229">
        <v>0</v>
      </c>
      <c r="BE87" s="228">
        <v>0</v>
      </c>
      <c r="BF87" s="228">
        <v>0</v>
      </c>
      <c r="BG87" s="228">
        <v>0</v>
      </c>
      <c r="BH87" s="229">
        <v>0</v>
      </c>
      <c r="BI87" s="228">
        <v>117</v>
      </c>
      <c r="BJ87" s="228">
        <v>206</v>
      </c>
      <c r="BK87" s="228">
        <v>-89</v>
      </c>
      <c r="BL87" s="229">
        <v>-0.4304</v>
      </c>
      <c r="BM87" s="228">
        <v>55</v>
      </c>
      <c r="BN87" s="228">
        <v>109</v>
      </c>
      <c r="BO87" s="228">
        <v>-54</v>
      </c>
      <c r="BP87" s="229">
        <v>-0.49540000000000001</v>
      </c>
      <c r="BQ87" s="228">
        <v>225</v>
      </c>
      <c r="BR87" s="228">
        <v>393</v>
      </c>
      <c r="BS87" s="228">
        <v>-168</v>
      </c>
      <c r="BT87" s="229">
        <v>-0.42720000000000002</v>
      </c>
      <c r="BU87" s="230">
        <v>3449385</v>
      </c>
      <c r="BV87" s="230">
        <v>5479198</v>
      </c>
      <c r="BW87" s="230">
        <v>-2029813</v>
      </c>
      <c r="BX87" s="229">
        <v>-0.3705</v>
      </c>
      <c r="BY87" s="228">
        <v>523</v>
      </c>
      <c r="BZ87" s="228">
        <v>530</v>
      </c>
      <c r="CA87" s="228">
        <v>-7</v>
      </c>
      <c r="CB87" s="229">
        <v>-1.37E-2</v>
      </c>
      <c r="CC87" s="228">
        <v>523</v>
      </c>
      <c r="CD87" s="228">
        <v>530</v>
      </c>
      <c r="CE87" s="228">
        <v>-7</v>
      </c>
      <c r="CF87" s="229">
        <v>-1.37E-2</v>
      </c>
      <c r="CG87" s="228">
        <v>0</v>
      </c>
      <c r="CH87" s="228">
        <v>0</v>
      </c>
      <c r="CI87" s="228">
        <v>0</v>
      </c>
      <c r="CJ87" s="229">
        <v>0</v>
      </c>
      <c r="CK87" s="228">
        <v>0</v>
      </c>
      <c r="CL87" s="228">
        <v>0</v>
      </c>
      <c r="CM87" s="228">
        <v>0</v>
      </c>
      <c r="CN87" s="229">
        <v>0</v>
      </c>
      <c r="CO87" s="228">
        <v>147</v>
      </c>
      <c r="CP87" s="228">
        <v>132</v>
      </c>
      <c r="CQ87" s="228">
        <v>14</v>
      </c>
      <c r="CR87" s="229">
        <v>0.10920000000000001</v>
      </c>
      <c r="CS87" s="228">
        <v>124</v>
      </c>
      <c r="CT87" s="228">
        <v>112</v>
      </c>
      <c r="CU87" s="228">
        <v>12</v>
      </c>
      <c r="CV87" s="229">
        <v>0.1024</v>
      </c>
      <c r="CW87" s="228">
        <v>794</v>
      </c>
      <c r="CX87" s="228">
        <v>775</v>
      </c>
      <c r="CY87" s="228">
        <v>19</v>
      </c>
      <c r="CZ87" s="229">
        <v>2.41E-2</v>
      </c>
      <c r="DA87" s="228">
        <v>38</v>
      </c>
      <c r="DB87" s="228">
        <v>40.98</v>
      </c>
      <c r="DC87" s="228">
        <v>-2.98</v>
      </c>
      <c r="DD87" s="228">
        <v>-2.98</v>
      </c>
      <c r="DE87" s="228">
        <v>50.72</v>
      </c>
      <c r="DF87" s="228">
        <v>50.85</v>
      </c>
      <c r="DG87" s="228">
        <v>-12.72</v>
      </c>
      <c r="DH87" s="228">
        <v>-0.13</v>
      </c>
      <c r="DI87" s="228">
        <v>36.9</v>
      </c>
      <c r="DJ87" s="228">
        <v>38.82</v>
      </c>
      <c r="DK87" s="228">
        <v>-1.92</v>
      </c>
      <c r="DL87" s="228">
        <v>-1.92</v>
      </c>
      <c r="DM87" s="228">
        <v>40.36</v>
      </c>
      <c r="DN87" s="228">
        <v>45.05</v>
      </c>
      <c r="DO87" s="228">
        <v>-4.6900000000000004</v>
      </c>
      <c r="DP87" s="228">
        <v>-4.6900000000000004</v>
      </c>
      <c r="DQ87" s="228">
        <v>0.84</v>
      </c>
      <c r="DR87" s="228">
        <v>0.85</v>
      </c>
      <c r="DS87" s="228">
        <v>-0.01</v>
      </c>
      <c r="DT87" s="229">
        <v>-1.18E-2</v>
      </c>
      <c r="DU87" s="228">
        <v>200</v>
      </c>
      <c r="DV87" s="228">
        <v>160</v>
      </c>
      <c r="DW87" s="228">
        <v>0.47</v>
      </c>
      <c r="DX87" s="228">
        <v>0.53</v>
      </c>
      <c r="DY87" s="228">
        <v>-0.06</v>
      </c>
      <c r="DZ87" s="229">
        <v>-0.1132</v>
      </c>
      <c r="EA87" s="229">
        <v>0</v>
      </c>
      <c r="EB87" s="228">
        <v>0</v>
      </c>
      <c r="EC87" s="229">
        <v>0</v>
      </c>
      <c r="ED87" s="229">
        <v>0</v>
      </c>
      <c r="EE87" s="228">
        <v>0</v>
      </c>
      <c r="EF87" s="229">
        <v>0</v>
      </c>
      <c r="EG87" s="230">
        <v>950181</v>
      </c>
      <c r="EH87" s="230">
        <v>2156994</v>
      </c>
      <c r="EI87" s="229">
        <v>-0.5595</v>
      </c>
      <c r="EJ87" s="229">
        <v>0.27550000000000002</v>
      </c>
      <c r="EK87" s="228">
        <v>124.96</v>
      </c>
      <c r="EL87" s="228">
        <v>53.53</v>
      </c>
      <c r="EM87" s="228">
        <v>52.49</v>
      </c>
      <c r="EN87" s="228">
        <v>12.82</v>
      </c>
      <c r="EO87" s="228">
        <v>230.98</v>
      </c>
      <c r="EP87" s="228">
        <v>397.8</v>
      </c>
      <c r="EQ87" s="228">
        <v>-166.81</v>
      </c>
      <c r="ER87" s="229">
        <v>-0.41930000000000001</v>
      </c>
      <c r="ES87" s="228">
        <v>147.43</v>
      </c>
      <c r="ET87" s="228">
        <v>116.33</v>
      </c>
      <c r="EU87" s="228">
        <v>523.15</v>
      </c>
      <c r="EV87" s="231">
        <v>75071250</v>
      </c>
      <c r="EW87" s="228">
        <v>786.91</v>
      </c>
      <c r="EX87" s="228">
        <v>769.16</v>
      </c>
      <c r="EY87" s="228">
        <v>17.75</v>
      </c>
      <c r="EZ87" s="229">
        <v>2.3099999999999999E-2</v>
      </c>
      <c r="FA87" s="229">
        <v>0.57889999999999997</v>
      </c>
      <c r="FB87" s="227" t="s">
        <v>567</v>
      </c>
      <c r="FC87">
        <f t="shared" si="1"/>
        <v>0</v>
      </c>
    </row>
    <row r="88" spans="1:159" ht="17.25" thickBot="1" x14ac:dyDescent="0.3">
      <c r="A88" s="226">
        <v>46121</v>
      </c>
      <c r="B88" s="227" t="s">
        <v>702</v>
      </c>
      <c r="C88" s="227" t="s">
        <v>695</v>
      </c>
      <c r="D88" s="228">
        <v>275</v>
      </c>
      <c r="E88" s="228">
        <v>19</v>
      </c>
      <c r="F88" s="231">
        <v>1750.2</v>
      </c>
      <c r="G88" s="231">
        <v>1767.2</v>
      </c>
      <c r="H88" s="228">
        <v>-17</v>
      </c>
      <c r="I88" s="229">
        <v>-9.5999999999999992E-3</v>
      </c>
      <c r="J88" s="231">
        <v>1768.3</v>
      </c>
      <c r="K88" s="231">
        <v>1778.9</v>
      </c>
      <c r="L88" s="228">
        <v>-10.6</v>
      </c>
      <c r="M88" s="229">
        <v>-6.0000000000000001E-3</v>
      </c>
      <c r="N88" s="231">
        <v>1750.2</v>
      </c>
      <c r="O88" s="231">
        <v>1767.2</v>
      </c>
      <c r="P88" s="228">
        <v>-17</v>
      </c>
      <c r="Q88" s="229">
        <v>-9.5999999999999992E-3</v>
      </c>
      <c r="R88" s="231">
        <v>1729.6</v>
      </c>
      <c r="S88" s="231">
        <v>1756.8</v>
      </c>
      <c r="T88" s="228">
        <v>-27.2</v>
      </c>
      <c r="U88" s="229">
        <v>-1.55E-2</v>
      </c>
      <c r="V88" s="231">
        <v>1722.6</v>
      </c>
      <c r="W88" s="231">
        <v>1758.8</v>
      </c>
      <c r="X88" s="228">
        <v>-36.200000000000003</v>
      </c>
      <c r="Y88" s="229">
        <v>-2.06E-2</v>
      </c>
      <c r="Z88" s="228">
        <v>-18.100000000000001</v>
      </c>
      <c r="AA88" s="228">
        <v>-11.7</v>
      </c>
      <c r="AB88" s="228">
        <v>-6.4</v>
      </c>
      <c r="AC88" s="229">
        <v>-1.0200000000000001E-2</v>
      </c>
      <c r="AD88" s="228">
        <v>-18.100000000000001</v>
      </c>
      <c r="AE88" s="228">
        <v>-11.7</v>
      </c>
      <c r="AF88" s="228">
        <v>-6.4</v>
      </c>
      <c r="AG88" s="229">
        <v>-1.0200000000000001E-2</v>
      </c>
      <c r="AH88" s="228">
        <v>-38.700000000000003</v>
      </c>
      <c r="AI88" s="228">
        <v>-22.1</v>
      </c>
      <c r="AJ88" s="228">
        <v>-16.600000000000001</v>
      </c>
      <c r="AK88" s="229">
        <v>-2.1899999999999999E-2</v>
      </c>
      <c r="AL88" s="228">
        <v>-45.7</v>
      </c>
      <c r="AM88" s="228">
        <v>-20.100000000000001</v>
      </c>
      <c r="AN88" s="228">
        <v>-25.6</v>
      </c>
      <c r="AO88" s="229">
        <v>-2.58E-2</v>
      </c>
      <c r="AP88" s="231">
        <v>1766.48</v>
      </c>
      <c r="AQ88" s="231">
        <v>1748.82</v>
      </c>
      <c r="AR88" s="228">
        <v>0</v>
      </c>
      <c r="AS88" s="228">
        <v>298</v>
      </c>
      <c r="AT88" s="228">
        <v>294</v>
      </c>
      <c r="AU88" s="228">
        <v>3</v>
      </c>
      <c r="AV88" s="229">
        <v>1.18E-2</v>
      </c>
      <c r="AW88" s="228">
        <v>245</v>
      </c>
      <c r="AX88" s="228">
        <v>281</v>
      </c>
      <c r="AY88" s="228">
        <v>-36</v>
      </c>
      <c r="AZ88" s="229">
        <v>-0.12659999999999999</v>
      </c>
      <c r="BA88" s="228">
        <v>48</v>
      </c>
      <c r="BB88" s="228">
        <v>12</v>
      </c>
      <c r="BC88" s="228">
        <v>37</v>
      </c>
      <c r="BD88" s="229">
        <v>3.1617999999999999</v>
      </c>
      <c r="BE88" s="228">
        <v>4</v>
      </c>
      <c r="BF88" s="228">
        <v>2</v>
      </c>
      <c r="BG88" s="228">
        <v>2</v>
      </c>
      <c r="BH88" s="229">
        <v>1.2250000000000001</v>
      </c>
      <c r="BI88" s="228">
        <v>283</v>
      </c>
      <c r="BJ88" s="228">
        <v>429</v>
      </c>
      <c r="BK88" s="228">
        <v>-146</v>
      </c>
      <c r="BL88" s="229">
        <v>-0.3397</v>
      </c>
      <c r="BM88" s="228">
        <v>121</v>
      </c>
      <c r="BN88" s="228">
        <v>115</v>
      </c>
      <c r="BO88" s="228">
        <v>6</v>
      </c>
      <c r="BP88" s="229">
        <v>4.9700000000000001E-2</v>
      </c>
      <c r="BQ88" s="228">
        <v>702</v>
      </c>
      <c r="BR88" s="228">
        <v>839</v>
      </c>
      <c r="BS88" s="228">
        <v>-137</v>
      </c>
      <c r="BT88" s="229">
        <v>-0.16289999999999999</v>
      </c>
      <c r="BU88" s="230">
        <v>1336988</v>
      </c>
      <c r="BV88" s="230">
        <v>1300847</v>
      </c>
      <c r="BW88" s="230">
        <v>36141</v>
      </c>
      <c r="BX88" s="229">
        <v>2.7799999999999998E-2</v>
      </c>
      <c r="BY88" s="228">
        <v>890</v>
      </c>
      <c r="BZ88" s="228">
        <v>765</v>
      </c>
      <c r="CA88" s="228">
        <v>124</v>
      </c>
      <c r="CB88" s="229">
        <v>0.16259999999999999</v>
      </c>
      <c r="CC88" s="228">
        <v>841</v>
      </c>
      <c r="CD88" s="228">
        <v>750</v>
      </c>
      <c r="CE88" s="228">
        <v>90</v>
      </c>
      <c r="CF88" s="229">
        <v>0.12039999999999999</v>
      </c>
      <c r="CG88" s="228">
        <v>44</v>
      </c>
      <c r="CH88" s="228">
        <v>11</v>
      </c>
      <c r="CI88" s="228">
        <v>33</v>
      </c>
      <c r="CJ88" s="229">
        <v>2.9527999999999999</v>
      </c>
      <c r="CK88" s="228">
        <v>5</v>
      </c>
      <c r="CL88" s="228">
        <v>4</v>
      </c>
      <c r="CM88" s="228">
        <v>1</v>
      </c>
      <c r="CN88" s="229">
        <v>0.2727</v>
      </c>
      <c r="CO88" s="228">
        <v>118</v>
      </c>
      <c r="CP88" s="228">
        <v>86</v>
      </c>
      <c r="CQ88" s="228">
        <v>32</v>
      </c>
      <c r="CR88" s="229">
        <v>0.36659999999999998</v>
      </c>
      <c r="CS88" s="228">
        <v>79</v>
      </c>
      <c r="CT88" s="228">
        <v>64</v>
      </c>
      <c r="CU88" s="228">
        <v>15</v>
      </c>
      <c r="CV88" s="229">
        <v>0.2273</v>
      </c>
      <c r="CW88" s="230">
        <v>1086</v>
      </c>
      <c r="CX88" s="228">
        <v>916</v>
      </c>
      <c r="CY88" s="228">
        <v>171</v>
      </c>
      <c r="CZ88" s="229">
        <v>0.18640000000000001</v>
      </c>
      <c r="DA88" s="228">
        <v>41.79</v>
      </c>
      <c r="DB88" s="228">
        <v>39.86</v>
      </c>
      <c r="DC88" s="228">
        <v>1.93</v>
      </c>
      <c r="DD88" s="228">
        <v>1.93</v>
      </c>
      <c r="DE88" s="228">
        <v>33.06</v>
      </c>
      <c r="DF88" s="228">
        <v>33.130000000000003</v>
      </c>
      <c r="DG88" s="228">
        <v>8.73</v>
      </c>
      <c r="DH88" s="228">
        <v>-7.0000000000000007E-2</v>
      </c>
      <c r="DI88" s="228">
        <v>41.67</v>
      </c>
      <c r="DJ88" s="228">
        <v>39.520000000000003</v>
      </c>
      <c r="DK88" s="228">
        <v>2.15</v>
      </c>
      <c r="DL88" s="228">
        <v>2.15</v>
      </c>
      <c r="DM88" s="228">
        <v>42.05</v>
      </c>
      <c r="DN88" s="228">
        <v>41.16</v>
      </c>
      <c r="DO88" s="228">
        <v>0.89</v>
      </c>
      <c r="DP88" s="228">
        <v>0.89</v>
      </c>
      <c r="DQ88" s="228">
        <v>0.67</v>
      </c>
      <c r="DR88" s="228">
        <v>0.74</v>
      </c>
      <c r="DS88" s="228">
        <v>-7.0000000000000007E-2</v>
      </c>
      <c r="DT88" s="229">
        <v>-9.4600000000000004E-2</v>
      </c>
      <c r="DU88" s="231">
        <v>1800</v>
      </c>
      <c r="DV88" s="231">
        <v>1800</v>
      </c>
      <c r="DW88" s="228">
        <v>0.43</v>
      </c>
      <c r="DX88" s="228">
        <v>0.27</v>
      </c>
      <c r="DY88" s="228">
        <v>0.16</v>
      </c>
      <c r="DZ88" s="229">
        <v>0.59260000000000002</v>
      </c>
      <c r="EA88" s="229">
        <v>5.5100000000000003E-2</v>
      </c>
      <c r="EB88" s="230">
        <v>85250</v>
      </c>
      <c r="EC88" s="229">
        <v>-1.18E-2</v>
      </c>
      <c r="ED88" s="229">
        <v>5.5100000000000003E-2</v>
      </c>
      <c r="EE88" s="228">
        <v>-17.66</v>
      </c>
      <c r="EF88" s="229">
        <v>-0.01</v>
      </c>
      <c r="EG88" s="230">
        <v>676614</v>
      </c>
      <c r="EH88" s="230">
        <v>557445</v>
      </c>
      <c r="EI88" s="229">
        <v>0.21379999999999999</v>
      </c>
      <c r="EJ88" s="229">
        <v>0.50609999999999999</v>
      </c>
      <c r="EK88" s="228">
        <v>305.8</v>
      </c>
      <c r="EL88" s="228">
        <v>121.77</v>
      </c>
      <c r="EM88" s="228">
        <v>300.17</v>
      </c>
      <c r="EN88" s="228">
        <v>50.61</v>
      </c>
      <c r="EO88" s="228">
        <v>727.74</v>
      </c>
      <c r="EP88" s="228">
        <v>878.65</v>
      </c>
      <c r="EQ88" s="228">
        <v>-150.9</v>
      </c>
      <c r="ER88" s="229">
        <v>-0.17169999999999999</v>
      </c>
      <c r="ES88" s="228">
        <v>123.27</v>
      </c>
      <c r="ET88" s="228">
        <v>75.319999999999993</v>
      </c>
      <c r="EU88" s="228">
        <v>889.19</v>
      </c>
      <c r="EV88" s="231">
        <v>21329205</v>
      </c>
      <c r="EW88" s="231">
        <v>1087.78</v>
      </c>
      <c r="EX88" s="228">
        <v>923.91</v>
      </c>
      <c r="EY88" s="228">
        <v>163.87</v>
      </c>
      <c r="EZ88" s="229">
        <v>0.1774</v>
      </c>
      <c r="FA88" s="229">
        <v>0.29099999999999998</v>
      </c>
      <c r="FB88" s="227" t="s">
        <v>566</v>
      </c>
      <c r="FC88">
        <f t="shared" si="1"/>
        <v>49</v>
      </c>
    </row>
    <row r="89" spans="1:159" ht="17.25" thickBot="1" x14ac:dyDescent="0.3">
      <c r="A89" s="226">
        <v>46121</v>
      </c>
      <c r="B89" s="227" t="s">
        <v>172</v>
      </c>
      <c r="C89" s="227" t="s">
        <v>232</v>
      </c>
      <c r="D89" s="228">
        <v>700</v>
      </c>
      <c r="E89" s="228">
        <v>19</v>
      </c>
      <c r="F89" s="231">
        <v>1286.9000000000001</v>
      </c>
      <c r="G89" s="231">
        <v>1314.5</v>
      </c>
      <c r="H89" s="228">
        <v>-27.6</v>
      </c>
      <c r="I89" s="229">
        <v>-2.1000000000000001E-2</v>
      </c>
      <c r="J89" s="231">
        <v>1281.3</v>
      </c>
      <c r="K89" s="231">
        <v>1309.2</v>
      </c>
      <c r="L89" s="228">
        <v>-27.9</v>
      </c>
      <c r="M89" s="229">
        <v>-2.1299999999999999E-2</v>
      </c>
      <c r="N89" s="231">
        <v>1286.9000000000001</v>
      </c>
      <c r="O89" s="231">
        <v>1314.5</v>
      </c>
      <c r="P89" s="228">
        <v>-27.6</v>
      </c>
      <c r="Q89" s="229">
        <v>-2.1000000000000001E-2</v>
      </c>
      <c r="R89" s="231">
        <v>1294.8</v>
      </c>
      <c r="S89" s="231">
        <v>1322.3</v>
      </c>
      <c r="T89" s="228">
        <v>-27.5</v>
      </c>
      <c r="U89" s="229">
        <v>-2.0799999999999999E-2</v>
      </c>
      <c r="V89" s="231">
        <v>1303.5999999999999</v>
      </c>
      <c r="W89" s="231">
        <v>1329.6</v>
      </c>
      <c r="X89" s="228">
        <v>-26</v>
      </c>
      <c r="Y89" s="229">
        <v>-1.9599999999999999E-2</v>
      </c>
      <c r="Z89" s="228">
        <v>5.6</v>
      </c>
      <c r="AA89" s="228">
        <v>5.3</v>
      </c>
      <c r="AB89" s="228">
        <v>0.3</v>
      </c>
      <c r="AC89" s="229">
        <v>4.4000000000000003E-3</v>
      </c>
      <c r="AD89" s="228">
        <v>5.6</v>
      </c>
      <c r="AE89" s="228">
        <v>5.3</v>
      </c>
      <c r="AF89" s="228">
        <v>0.3</v>
      </c>
      <c r="AG89" s="229">
        <v>4.4000000000000003E-3</v>
      </c>
      <c r="AH89" s="228">
        <v>13.5</v>
      </c>
      <c r="AI89" s="228">
        <v>13.1</v>
      </c>
      <c r="AJ89" s="228">
        <v>0.4</v>
      </c>
      <c r="AK89" s="229">
        <v>1.0500000000000001E-2</v>
      </c>
      <c r="AL89" s="228">
        <v>22.3</v>
      </c>
      <c r="AM89" s="228">
        <v>20.399999999999999</v>
      </c>
      <c r="AN89" s="228">
        <v>1.9</v>
      </c>
      <c r="AO89" s="229">
        <v>1.7399999999999999E-2</v>
      </c>
      <c r="AP89" s="231">
        <v>1293.77</v>
      </c>
      <c r="AQ89" s="231">
        <v>1302.1500000000001</v>
      </c>
      <c r="AR89" s="228">
        <v>0</v>
      </c>
      <c r="AS89" s="230">
        <v>1643</v>
      </c>
      <c r="AT89" s="230">
        <v>2478</v>
      </c>
      <c r="AU89" s="228">
        <v>-836</v>
      </c>
      <c r="AV89" s="229">
        <v>-0.3372</v>
      </c>
      <c r="AW89" s="230">
        <v>1490</v>
      </c>
      <c r="AX89" s="230">
        <v>2367</v>
      </c>
      <c r="AY89" s="228">
        <v>-877</v>
      </c>
      <c r="AZ89" s="229">
        <v>-0.37059999999999998</v>
      </c>
      <c r="BA89" s="228">
        <v>140</v>
      </c>
      <c r="BB89" s="228">
        <v>98</v>
      </c>
      <c r="BC89" s="228">
        <v>42</v>
      </c>
      <c r="BD89" s="229">
        <v>0.43080000000000002</v>
      </c>
      <c r="BE89" s="228">
        <v>13</v>
      </c>
      <c r="BF89" s="228">
        <v>14</v>
      </c>
      <c r="BG89" s="228">
        <v>-1</v>
      </c>
      <c r="BH89" s="229">
        <v>-0.04</v>
      </c>
      <c r="BI89" s="230">
        <v>2876</v>
      </c>
      <c r="BJ89" s="230">
        <v>4236</v>
      </c>
      <c r="BK89" s="230">
        <v>-1360</v>
      </c>
      <c r="BL89" s="229">
        <v>-0.32100000000000001</v>
      </c>
      <c r="BM89" s="230">
        <v>2641</v>
      </c>
      <c r="BN89" s="230">
        <v>3245</v>
      </c>
      <c r="BO89" s="228">
        <v>-605</v>
      </c>
      <c r="BP89" s="229">
        <v>-0.18629999999999999</v>
      </c>
      <c r="BQ89" s="230">
        <v>7160</v>
      </c>
      <c r="BR89" s="230">
        <v>9959</v>
      </c>
      <c r="BS89" s="230">
        <v>-2800</v>
      </c>
      <c r="BT89" s="229">
        <v>-0.28110000000000002</v>
      </c>
      <c r="BU89" s="230">
        <v>26043693</v>
      </c>
      <c r="BV89" s="230">
        <v>26029580</v>
      </c>
      <c r="BW89" s="230">
        <v>14113</v>
      </c>
      <c r="BX89" s="229">
        <v>5.0000000000000001E-4</v>
      </c>
      <c r="BY89" s="230">
        <v>15252</v>
      </c>
      <c r="BZ89" s="230">
        <v>15267</v>
      </c>
      <c r="CA89" s="228">
        <v>-15</v>
      </c>
      <c r="CB89" s="229">
        <v>-1E-3</v>
      </c>
      <c r="CC89" s="230">
        <v>12251</v>
      </c>
      <c r="CD89" s="230">
        <v>12298</v>
      </c>
      <c r="CE89" s="228">
        <v>-47</v>
      </c>
      <c r="CF89" s="229">
        <v>-3.8E-3</v>
      </c>
      <c r="CG89" s="230">
        <v>2852</v>
      </c>
      <c r="CH89" s="230">
        <v>2829</v>
      </c>
      <c r="CI89" s="228">
        <v>24</v>
      </c>
      <c r="CJ89" s="229">
        <v>8.3999999999999995E-3</v>
      </c>
      <c r="CK89" s="228">
        <v>149</v>
      </c>
      <c r="CL89" s="228">
        <v>140</v>
      </c>
      <c r="CM89" s="228">
        <v>8</v>
      </c>
      <c r="CN89" s="229">
        <v>5.9700000000000003E-2</v>
      </c>
      <c r="CO89" s="230">
        <v>2389</v>
      </c>
      <c r="CP89" s="230">
        <v>2175</v>
      </c>
      <c r="CQ89" s="228">
        <v>214</v>
      </c>
      <c r="CR89" s="229">
        <v>9.8400000000000001E-2</v>
      </c>
      <c r="CS89" s="230">
        <v>2063</v>
      </c>
      <c r="CT89" s="230">
        <v>2151</v>
      </c>
      <c r="CU89" s="228">
        <v>-88</v>
      </c>
      <c r="CV89" s="229">
        <v>-4.1099999999999998E-2</v>
      </c>
      <c r="CW89" s="230">
        <v>19704</v>
      </c>
      <c r="CX89" s="230">
        <v>19594</v>
      </c>
      <c r="CY89" s="228">
        <v>111</v>
      </c>
      <c r="CZ89" s="229">
        <v>5.5999999999999999E-3</v>
      </c>
      <c r="DA89" s="228">
        <v>27.2</v>
      </c>
      <c r="DB89" s="228">
        <v>25.39</v>
      </c>
      <c r="DC89" s="228">
        <v>1.81</v>
      </c>
      <c r="DD89" s="228">
        <v>1.81</v>
      </c>
      <c r="DE89" s="228">
        <v>23.62</v>
      </c>
      <c r="DF89" s="228">
        <v>23.5</v>
      </c>
      <c r="DG89" s="228">
        <v>3.58</v>
      </c>
      <c r="DH89" s="228">
        <v>0.12</v>
      </c>
      <c r="DI89" s="228">
        <v>26.08</v>
      </c>
      <c r="DJ89" s="228">
        <v>23.93</v>
      </c>
      <c r="DK89" s="228">
        <v>2.15</v>
      </c>
      <c r="DL89" s="228">
        <v>2.15</v>
      </c>
      <c r="DM89" s="228">
        <v>28.43</v>
      </c>
      <c r="DN89" s="228">
        <v>27.31</v>
      </c>
      <c r="DO89" s="228">
        <v>1.1200000000000001</v>
      </c>
      <c r="DP89" s="228">
        <v>1.1200000000000001</v>
      </c>
      <c r="DQ89" s="228">
        <v>0.86</v>
      </c>
      <c r="DR89" s="228">
        <v>0.99</v>
      </c>
      <c r="DS89" s="228">
        <v>-0.13</v>
      </c>
      <c r="DT89" s="229">
        <v>-0.1313</v>
      </c>
      <c r="DU89" s="231">
        <v>1300</v>
      </c>
      <c r="DV89" s="231">
        <v>1300</v>
      </c>
      <c r="DW89" s="228">
        <v>0.92</v>
      </c>
      <c r="DX89" s="228">
        <v>0.77</v>
      </c>
      <c r="DY89" s="228">
        <v>0.15</v>
      </c>
      <c r="DZ89" s="229">
        <v>0.1948</v>
      </c>
      <c r="EA89" s="229">
        <v>0.1968</v>
      </c>
      <c r="EB89" s="230">
        <v>23070600</v>
      </c>
      <c r="EC89" s="229">
        <v>6.1000000000000004E-3</v>
      </c>
      <c r="ED89" s="229">
        <v>0.1968</v>
      </c>
      <c r="EE89" s="228">
        <v>8.3800000000000008</v>
      </c>
      <c r="EF89" s="229">
        <v>6.4999999999999997E-3</v>
      </c>
      <c r="EG89" s="230">
        <v>10839011</v>
      </c>
      <c r="EH89" s="230">
        <v>15217802</v>
      </c>
      <c r="EI89" s="229">
        <v>-0.28770000000000001</v>
      </c>
      <c r="EJ89" s="229">
        <v>0.41620000000000001</v>
      </c>
      <c r="EK89" s="231">
        <v>3012.92</v>
      </c>
      <c r="EL89" s="231">
        <v>2620.0300000000002</v>
      </c>
      <c r="EM89" s="231">
        <v>1652.39</v>
      </c>
      <c r="EN89" s="228">
        <v>227.9</v>
      </c>
      <c r="EO89" s="231">
        <v>7285.34</v>
      </c>
      <c r="EP89" s="231">
        <v>10201.280000000001</v>
      </c>
      <c r="EQ89" s="231">
        <v>-2915.94</v>
      </c>
      <c r="ER89" s="229">
        <v>-0.2858</v>
      </c>
      <c r="ES89" s="231">
        <v>2433.52</v>
      </c>
      <c r="ET89" s="231">
        <v>1998.17</v>
      </c>
      <c r="EU89" s="231">
        <v>15271.57</v>
      </c>
      <c r="EV89" s="231">
        <v>668616020</v>
      </c>
      <c r="EW89" s="231">
        <v>19703.259999999998</v>
      </c>
      <c r="EX89" s="231">
        <v>19906.009999999998</v>
      </c>
      <c r="EY89" s="228">
        <v>-202.75</v>
      </c>
      <c r="EZ89" s="229">
        <v>-1.0200000000000001E-2</v>
      </c>
      <c r="FA89" s="229">
        <v>0.22900000000000001</v>
      </c>
      <c r="FB89" s="227" t="s">
        <v>567</v>
      </c>
      <c r="FC89">
        <f t="shared" si="1"/>
        <v>3001</v>
      </c>
    </row>
    <row r="90" spans="1:159" ht="17.25" thickBot="1" x14ac:dyDescent="0.3">
      <c r="A90" s="226">
        <v>46121</v>
      </c>
      <c r="B90" s="227" t="s">
        <v>175</v>
      </c>
      <c r="C90" s="227" t="s">
        <v>472</v>
      </c>
      <c r="D90" s="228">
        <v>325</v>
      </c>
      <c r="E90" s="228">
        <v>19</v>
      </c>
      <c r="F90" s="231">
        <v>1777.5</v>
      </c>
      <c r="G90" s="231">
        <v>1755.6</v>
      </c>
      <c r="H90" s="228">
        <v>21.9</v>
      </c>
      <c r="I90" s="229">
        <v>1.2500000000000001E-2</v>
      </c>
      <c r="J90" s="231">
        <v>1768.6</v>
      </c>
      <c r="K90" s="231">
        <v>1750.5</v>
      </c>
      <c r="L90" s="228">
        <v>18.100000000000001</v>
      </c>
      <c r="M90" s="229">
        <v>1.03E-2</v>
      </c>
      <c r="N90" s="231">
        <v>1777.5</v>
      </c>
      <c r="O90" s="231">
        <v>1755.6</v>
      </c>
      <c r="P90" s="228">
        <v>21.9</v>
      </c>
      <c r="Q90" s="229">
        <v>1.2500000000000001E-2</v>
      </c>
      <c r="R90" s="231">
        <v>1787.2</v>
      </c>
      <c r="S90" s="231">
        <v>1767</v>
      </c>
      <c r="T90" s="228">
        <v>20.2</v>
      </c>
      <c r="U90" s="229">
        <v>1.14E-2</v>
      </c>
      <c r="V90" s="231">
        <v>1805.4</v>
      </c>
      <c r="W90" s="231">
        <v>1773</v>
      </c>
      <c r="X90" s="228">
        <v>32.4</v>
      </c>
      <c r="Y90" s="229">
        <v>1.83E-2</v>
      </c>
      <c r="Z90" s="228">
        <v>8.9</v>
      </c>
      <c r="AA90" s="228">
        <v>5.0999999999999996</v>
      </c>
      <c r="AB90" s="228">
        <v>3.8</v>
      </c>
      <c r="AC90" s="229">
        <v>5.0000000000000001E-3</v>
      </c>
      <c r="AD90" s="228">
        <v>8.9</v>
      </c>
      <c r="AE90" s="228">
        <v>5.0999999999999996</v>
      </c>
      <c r="AF90" s="228">
        <v>3.8</v>
      </c>
      <c r="AG90" s="229">
        <v>5.0000000000000001E-3</v>
      </c>
      <c r="AH90" s="228">
        <v>18.600000000000001</v>
      </c>
      <c r="AI90" s="228">
        <v>16.5</v>
      </c>
      <c r="AJ90" s="228">
        <v>2.1</v>
      </c>
      <c r="AK90" s="229">
        <v>1.0500000000000001E-2</v>
      </c>
      <c r="AL90" s="228">
        <v>36.799999999999997</v>
      </c>
      <c r="AM90" s="228">
        <v>22.5</v>
      </c>
      <c r="AN90" s="228">
        <v>14.3</v>
      </c>
      <c r="AO90" s="229">
        <v>2.0799999999999999E-2</v>
      </c>
      <c r="AP90" s="231">
        <v>1772.96</v>
      </c>
      <c r="AQ90" s="231">
        <v>1781.54</v>
      </c>
      <c r="AR90" s="228">
        <v>0</v>
      </c>
      <c r="AS90" s="228">
        <v>173</v>
      </c>
      <c r="AT90" s="228">
        <v>110</v>
      </c>
      <c r="AU90" s="228">
        <v>62</v>
      </c>
      <c r="AV90" s="229">
        <v>0.56440000000000001</v>
      </c>
      <c r="AW90" s="228">
        <v>169</v>
      </c>
      <c r="AX90" s="228">
        <v>108</v>
      </c>
      <c r="AY90" s="228">
        <v>61</v>
      </c>
      <c r="AZ90" s="229">
        <v>0.56379999999999997</v>
      </c>
      <c r="BA90" s="228">
        <v>3</v>
      </c>
      <c r="BB90" s="228">
        <v>2</v>
      </c>
      <c r="BC90" s="228">
        <v>2</v>
      </c>
      <c r="BD90" s="229">
        <v>0.81820000000000004</v>
      </c>
      <c r="BE90" s="228">
        <v>1</v>
      </c>
      <c r="BF90" s="228">
        <v>1</v>
      </c>
      <c r="BG90" s="228">
        <v>0</v>
      </c>
      <c r="BH90" s="229">
        <v>-9.0899999999999995E-2</v>
      </c>
      <c r="BI90" s="228">
        <v>335</v>
      </c>
      <c r="BJ90" s="228">
        <v>167</v>
      </c>
      <c r="BK90" s="228">
        <v>168</v>
      </c>
      <c r="BL90" s="229">
        <v>1.0031000000000001</v>
      </c>
      <c r="BM90" s="228">
        <v>275</v>
      </c>
      <c r="BN90" s="228">
        <v>127</v>
      </c>
      <c r="BO90" s="228">
        <v>148</v>
      </c>
      <c r="BP90" s="229">
        <v>1.1679999999999999</v>
      </c>
      <c r="BQ90" s="228">
        <v>782</v>
      </c>
      <c r="BR90" s="228">
        <v>404</v>
      </c>
      <c r="BS90" s="228">
        <v>378</v>
      </c>
      <c r="BT90" s="229">
        <v>0.93510000000000004</v>
      </c>
      <c r="BU90" s="230">
        <v>1151007</v>
      </c>
      <c r="BV90" s="230">
        <v>715158</v>
      </c>
      <c r="BW90" s="230">
        <v>435849</v>
      </c>
      <c r="BX90" s="229">
        <v>0.60940000000000005</v>
      </c>
      <c r="BY90" s="228">
        <v>940</v>
      </c>
      <c r="BZ90" s="228">
        <v>899</v>
      </c>
      <c r="CA90" s="228">
        <v>41</v>
      </c>
      <c r="CB90" s="229">
        <v>4.5699999999999998E-2</v>
      </c>
      <c r="CC90" s="228">
        <v>932</v>
      </c>
      <c r="CD90" s="228">
        <v>891</v>
      </c>
      <c r="CE90" s="228">
        <v>41</v>
      </c>
      <c r="CF90" s="229">
        <v>4.5900000000000003E-2</v>
      </c>
      <c r="CG90" s="228">
        <v>8</v>
      </c>
      <c r="CH90" s="228">
        <v>7</v>
      </c>
      <c r="CI90" s="228">
        <v>1</v>
      </c>
      <c r="CJ90" s="229">
        <v>0.112</v>
      </c>
      <c r="CK90" s="228">
        <v>0</v>
      </c>
      <c r="CL90" s="228">
        <v>1</v>
      </c>
      <c r="CM90" s="228">
        <v>-1</v>
      </c>
      <c r="CN90" s="229">
        <v>-0.83330000000000004</v>
      </c>
      <c r="CO90" s="228">
        <v>152</v>
      </c>
      <c r="CP90" s="228">
        <v>114</v>
      </c>
      <c r="CQ90" s="228">
        <v>39</v>
      </c>
      <c r="CR90" s="229">
        <v>0.33929999999999999</v>
      </c>
      <c r="CS90" s="228">
        <v>122</v>
      </c>
      <c r="CT90" s="228">
        <v>113</v>
      </c>
      <c r="CU90" s="228">
        <v>9</v>
      </c>
      <c r="CV90" s="229">
        <v>8.0500000000000002E-2</v>
      </c>
      <c r="CW90" s="230">
        <v>1214</v>
      </c>
      <c r="CX90" s="230">
        <v>1126</v>
      </c>
      <c r="CY90" s="228">
        <v>89</v>
      </c>
      <c r="CZ90" s="229">
        <v>7.8799999999999995E-2</v>
      </c>
      <c r="DA90" s="228">
        <v>30.97</v>
      </c>
      <c r="DB90" s="228">
        <v>29.96</v>
      </c>
      <c r="DC90" s="228">
        <v>1.01</v>
      </c>
      <c r="DD90" s="228">
        <v>1.01</v>
      </c>
      <c r="DE90" s="228">
        <v>26.81</v>
      </c>
      <c r="DF90" s="228">
        <v>26.84</v>
      </c>
      <c r="DG90" s="228">
        <v>4.16</v>
      </c>
      <c r="DH90" s="228">
        <v>-0.03</v>
      </c>
      <c r="DI90" s="228">
        <v>30.73</v>
      </c>
      <c r="DJ90" s="228">
        <v>29.59</v>
      </c>
      <c r="DK90" s="228">
        <v>1.1399999999999999</v>
      </c>
      <c r="DL90" s="228">
        <v>1.1399999999999999</v>
      </c>
      <c r="DM90" s="228">
        <v>31.26</v>
      </c>
      <c r="DN90" s="228">
        <v>30.44</v>
      </c>
      <c r="DO90" s="228">
        <v>0.82</v>
      </c>
      <c r="DP90" s="228">
        <v>0.82</v>
      </c>
      <c r="DQ90" s="228">
        <v>0.8</v>
      </c>
      <c r="DR90" s="228">
        <v>0.99</v>
      </c>
      <c r="DS90" s="228">
        <v>-0.19</v>
      </c>
      <c r="DT90" s="229">
        <v>-0.19189999999999999</v>
      </c>
      <c r="DU90" s="231">
        <v>1900</v>
      </c>
      <c r="DV90" s="231">
        <v>1700</v>
      </c>
      <c r="DW90" s="228">
        <v>0.82</v>
      </c>
      <c r="DX90" s="228">
        <v>0.76</v>
      </c>
      <c r="DY90" s="228">
        <v>0.06</v>
      </c>
      <c r="DZ90" s="229">
        <v>7.8899999999999998E-2</v>
      </c>
      <c r="EA90" s="229">
        <v>8.6999999999999994E-3</v>
      </c>
      <c r="EB90" s="230">
        <v>44525</v>
      </c>
      <c r="EC90" s="229">
        <v>5.4999999999999997E-3</v>
      </c>
      <c r="ED90" s="229">
        <v>8.6999999999999994E-3</v>
      </c>
      <c r="EE90" s="228">
        <v>8.58</v>
      </c>
      <c r="EF90" s="229">
        <v>4.7999999999999996E-3</v>
      </c>
      <c r="EG90" s="230">
        <v>696994</v>
      </c>
      <c r="EH90" s="230">
        <v>414340</v>
      </c>
      <c r="EI90" s="229">
        <v>0.68220000000000003</v>
      </c>
      <c r="EJ90" s="229">
        <v>0.60560000000000003</v>
      </c>
      <c r="EK90" s="228">
        <v>349.99</v>
      </c>
      <c r="EL90" s="228">
        <v>268.97000000000003</v>
      </c>
      <c r="EM90" s="228">
        <v>172.2</v>
      </c>
      <c r="EN90" s="228">
        <v>15.31</v>
      </c>
      <c r="EO90" s="228">
        <v>791.16</v>
      </c>
      <c r="EP90" s="228">
        <v>407.59</v>
      </c>
      <c r="EQ90" s="228">
        <v>383.57</v>
      </c>
      <c r="ER90" s="229">
        <v>0.94110000000000005</v>
      </c>
      <c r="ES90" s="228">
        <v>156.06</v>
      </c>
      <c r="ET90" s="228">
        <v>116.92</v>
      </c>
      <c r="EU90" s="228">
        <v>940.52</v>
      </c>
      <c r="EV90" s="231">
        <v>27086521</v>
      </c>
      <c r="EW90" s="231">
        <v>1213.51</v>
      </c>
      <c r="EX90" s="231">
        <v>1111.8699999999999</v>
      </c>
      <c r="EY90" s="228">
        <v>101.64</v>
      </c>
      <c r="EZ90" s="229">
        <v>9.1399999999999995E-2</v>
      </c>
      <c r="FA90" s="229">
        <v>0.25219999999999998</v>
      </c>
      <c r="FB90" s="227" t="s">
        <v>555</v>
      </c>
      <c r="FC90">
        <f t="shared" si="1"/>
        <v>8</v>
      </c>
    </row>
    <row r="91" spans="1:159" ht="17.25" thickBot="1" x14ac:dyDescent="0.3">
      <c r="A91" s="226">
        <v>46121</v>
      </c>
      <c r="B91" s="227" t="s">
        <v>175</v>
      </c>
      <c r="C91" s="227" t="s">
        <v>233</v>
      </c>
      <c r="D91" s="228">
        <v>925</v>
      </c>
      <c r="E91" s="228">
        <v>19</v>
      </c>
      <c r="F91" s="228">
        <v>544.65</v>
      </c>
      <c r="G91" s="228">
        <v>543.20000000000005</v>
      </c>
      <c r="H91" s="228">
        <v>1.45</v>
      </c>
      <c r="I91" s="229">
        <v>2.7000000000000001E-3</v>
      </c>
      <c r="J91" s="228">
        <v>541.95000000000005</v>
      </c>
      <c r="K91" s="228">
        <v>541.6</v>
      </c>
      <c r="L91" s="228">
        <v>0.35</v>
      </c>
      <c r="M91" s="229">
        <v>5.9999999999999995E-4</v>
      </c>
      <c r="N91" s="228">
        <v>544.65</v>
      </c>
      <c r="O91" s="228">
        <v>543.20000000000005</v>
      </c>
      <c r="P91" s="228">
        <v>1.45</v>
      </c>
      <c r="Q91" s="229">
        <v>2.7000000000000001E-3</v>
      </c>
      <c r="R91" s="228">
        <v>547.70000000000005</v>
      </c>
      <c r="S91" s="228">
        <v>546.29999999999995</v>
      </c>
      <c r="T91" s="228">
        <v>1.4</v>
      </c>
      <c r="U91" s="229">
        <v>2.5999999999999999E-3</v>
      </c>
      <c r="V91" s="228">
        <v>555.70000000000005</v>
      </c>
      <c r="W91" s="228">
        <v>548.45000000000005</v>
      </c>
      <c r="X91" s="228">
        <v>7.25</v>
      </c>
      <c r="Y91" s="229">
        <v>1.32E-2</v>
      </c>
      <c r="Z91" s="228">
        <v>2.7</v>
      </c>
      <c r="AA91" s="228">
        <v>1.6</v>
      </c>
      <c r="AB91" s="228">
        <v>1.1000000000000001</v>
      </c>
      <c r="AC91" s="229">
        <v>5.0000000000000001E-3</v>
      </c>
      <c r="AD91" s="228">
        <v>2.7</v>
      </c>
      <c r="AE91" s="228">
        <v>1.6</v>
      </c>
      <c r="AF91" s="228">
        <v>1.1000000000000001</v>
      </c>
      <c r="AG91" s="229">
        <v>5.0000000000000001E-3</v>
      </c>
      <c r="AH91" s="228">
        <v>5.75</v>
      </c>
      <c r="AI91" s="228">
        <v>4.7</v>
      </c>
      <c r="AJ91" s="228">
        <v>1.05</v>
      </c>
      <c r="AK91" s="229">
        <v>1.06E-2</v>
      </c>
      <c r="AL91" s="228">
        <v>13.75</v>
      </c>
      <c r="AM91" s="228">
        <v>6.85</v>
      </c>
      <c r="AN91" s="228">
        <v>6.9</v>
      </c>
      <c r="AO91" s="229">
        <v>2.5399999999999999E-2</v>
      </c>
      <c r="AP91" s="228">
        <v>547.55999999999995</v>
      </c>
      <c r="AQ91" s="228">
        <v>549.47</v>
      </c>
      <c r="AR91" s="228">
        <v>0</v>
      </c>
      <c r="AS91" s="228">
        <v>143</v>
      </c>
      <c r="AT91" s="228">
        <v>79</v>
      </c>
      <c r="AU91" s="228">
        <v>64</v>
      </c>
      <c r="AV91" s="229">
        <v>0.8044</v>
      </c>
      <c r="AW91" s="228">
        <v>138</v>
      </c>
      <c r="AX91" s="228">
        <v>76</v>
      </c>
      <c r="AY91" s="228">
        <v>62</v>
      </c>
      <c r="AZ91" s="229">
        <v>0.81569999999999998</v>
      </c>
      <c r="BA91" s="228">
        <v>4</v>
      </c>
      <c r="BB91" s="228">
        <v>3</v>
      </c>
      <c r="BC91" s="228">
        <v>2</v>
      </c>
      <c r="BD91" s="229">
        <v>0.57410000000000005</v>
      </c>
      <c r="BE91" s="228">
        <v>0</v>
      </c>
      <c r="BF91" s="228">
        <v>0</v>
      </c>
      <c r="BG91" s="228">
        <v>0</v>
      </c>
      <c r="BH91" s="229">
        <v>0.1429</v>
      </c>
      <c r="BI91" s="228">
        <v>182</v>
      </c>
      <c r="BJ91" s="228">
        <v>78</v>
      </c>
      <c r="BK91" s="228">
        <v>104</v>
      </c>
      <c r="BL91" s="229">
        <v>1.3294999999999999</v>
      </c>
      <c r="BM91" s="228">
        <v>55</v>
      </c>
      <c r="BN91" s="228">
        <v>51</v>
      </c>
      <c r="BO91" s="228">
        <v>3</v>
      </c>
      <c r="BP91" s="229">
        <v>6.5799999999999997E-2</v>
      </c>
      <c r="BQ91" s="228">
        <v>380</v>
      </c>
      <c r="BR91" s="228">
        <v>209</v>
      </c>
      <c r="BS91" s="228">
        <v>171</v>
      </c>
      <c r="BT91" s="229">
        <v>0.81910000000000005</v>
      </c>
      <c r="BU91" s="230">
        <v>1123816</v>
      </c>
      <c r="BV91" s="230">
        <v>870925</v>
      </c>
      <c r="BW91" s="230">
        <v>252891</v>
      </c>
      <c r="BX91" s="229">
        <v>0.29039999999999999</v>
      </c>
      <c r="BY91" s="230">
        <v>1017</v>
      </c>
      <c r="BZ91" s="230">
        <v>1015</v>
      </c>
      <c r="CA91" s="228">
        <v>2</v>
      </c>
      <c r="CB91" s="229">
        <v>2.2000000000000001E-3</v>
      </c>
      <c r="CC91" s="230">
        <v>1007</v>
      </c>
      <c r="CD91" s="230">
        <v>1008</v>
      </c>
      <c r="CE91" s="228">
        <v>0</v>
      </c>
      <c r="CF91" s="229">
        <v>-2.0000000000000001E-4</v>
      </c>
      <c r="CG91" s="228">
        <v>9</v>
      </c>
      <c r="CH91" s="228">
        <v>6</v>
      </c>
      <c r="CI91" s="228">
        <v>2</v>
      </c>
      <c r="CJ91" s="229">
        <v>0.376</v>
      </c>
      <c r="CK91" s="228">
        <v>1</v>
      </c>
      <c r="CL91" s="228">
        <v>1</v>
      </c>
      <c r="CM91" s="228">
        <v>0</v>
      </c>
      <c r="CN91" s="229">
        <v>0.2727</v>
      </c>
      <c r="CO91" s="228">
        <v>91</v>
      </c>
      <c r="CP91" s="228">
        <v>81</v>
      </c>
      <c r="CQ91" s="228">
        <v>10</v>
      </c>
      <c r="CR91" s="229">
        <v>0.12189999999999999</v>
      </c>
      <c r="CS91" s="228">
        <v>84</v>
      </c>
      <c r="CT91" s="228">
        <v>79</v>
      </c>
      <c r="CU91" s="228">
        <v>4</v>
      </c>
      <c r="CV91" s="229">
        <v>5.45E-2</v>
      </c>
      <c r="CW91" s="230">
        <v>1192</v>
      </c>
      <c r="CX91" s="230">
        <v>1175</v>
      </c>
      <c r="CY91" s="228">
        <v>17</v>
      </c>
      <c r="CZ91" s="229">
        <v>1.41E-2</v>
      </c>
      <c r="DA91" s="228">
        <v>36.090000000000003</v>
      </c>
      <c r="DB91" s="228">
        <v>35.44</v>
      </c>
      <c r="DC91" s="228">
        <v>0.65</v>
      </c>
      <c r="DD91" s="228">
        <v>0.65</v>
      </c>
      <c r="DE91" s="228">
        <v>29.05</v>
      </c>
      <c r="DF91" s="228">
        <v>29.12</v>
      </c>
      <c r="DG91" s="228">
        <v>7.04</v>
      </c>
      <c r="DH91" s="228">
        <v>-7.0000000000000007E-2</v>
      </c>
      <c r="DI91" s="228">
        <v>35.770000000000003</v>
      </c>
      <c r="DJ91" s="228">
        <v>34.11</v>
      </c>
      <c r="DK91" s="228">
        <v>1.66</v>
      </c>
      <c r="DL91" s="228">
        <v>1.66</v>
      </c>
      <c r="DM91" s="228">
        <v>37.159999999999997</v>
      </c>
      <c r="DN91" s="228">
        <v>37.46</v>
      </c>
      <c r="DO91" s="228">
        <v>-0.3</v>
      </c>
      <c r="DP91" s="228">
        <v>-0.3</v>
      </c>
      <c r="DQ91" s="228">
        <v>0.92</v>
      </c>
      <c r="DR91" s="228">
        <v>0.98</v>
      </c>
      <c r="DS91" s="228">
        <v>-0.06</v>
      </c>
      <c r="DT91" s="229">
        <v>-6.1199999999999997E-2</v>
      </c>
      <c r="DU91" s="228">
        <v>600</v>
      </c>
      <c r="DV91" s="228">
        <v>520</v>
      </c>
      <c r="DW91" s="228">
        <v>0.3</v>
      </c>
      <c r="DX91" s="228">
        <v>0.66</v>
      </c>
      <c r="DY91" s="228">
        <v>-0.36</v>
      </c>
      <c r="DZ91" s="229">
        <v>-0.54549999999999998</v>
      </c>
      <c r="EA91" s="229">
        <v>9.1999999999999998E-3</v>
      </c>
      <c r="EB91" s="230">
        <v>125800</v>
      </c>
      <c r="EC91" s="229">
        <v>5.5999999999999999E-3</v>
      </c>
      <c r="ED91" s="229">
        <v>9.1999999999999998E-3</v>
      </c>
      <c r="EE91" s="228">
        <v>1.91</v>
      </c>
      <c r="EF91" s="229">
        <v>3.5000000000000001E-3</v>
      </c>
      <c r="EG91" s="230">
        <v>581132</v>
      </c>
      <c r="EH91" s="230">
        <v>436416</v>
      </c>
      <c r="EI91" s="229">
        <v>0.33160000000000001</v>
      </c>
      <c r="EJ91" s="229">
        <v>0.5171</v>
      </c>
      <c r="EK91" s="228">
        <v>193.37</v>
      </c>
      <c r="EL91" s="228">
        <v>53.46</v>
      </c>
      <c r="EM91" s="228">
        <v>143.97</v>
      </c>
      <c r="EN91" s="228">
        <v>13.44</v>
      </c>
      <c r="EO91" s="228">
        <v>390.8</v>
      </c>
      <c r="EP91" s="228">
        <v>209.59</v>
      </c>
      <c r="EQ91" s="228">
        <v>181.21</v>
      </c>
      <c r="ER91" s="229">
        <v>0.86460000000000004</v>
      </c>
      <c r="ES91" s="228">
        <v>93.79</v>
      </c>
      <c r="ET91" s="228">
        <v>78.14</v>
      </c>
      <c r="EU91" s="231">
        <v>1016.88</v>
      </c>
      <c r="EV91" s="231">
        <v>58892926</v>
      </c>
      <c r="EW91" s="231">
        <v>1188.81</v>
      </c>
      <c r="EX91" s="231">
        <v>1169.07</v>
      </c>
      <c r="EY91" s="228">
        <v>19.739999999999998</v>
      </c>
      <c r="EZ91" s="229">
        <v>1.6899999999999998E-2</v>
      </c>
      <c r="FA91" s="229">
        <v>0.37159999999999999</v>
      </c>
      <c r="FB91" s="227" t="s">
        <v>555</v>
      </c>
      <c r="FC91">
        <f t="shared" si="1"/>
        <v>10</v>
      </c>
    </row>
    <row r="92" spans="1:159" ht="17.25" thickBot="1" x14ac:dyDescent="0.3">
      <c r="A92" s="226">
        <v>46121</v>
      </c>
      <c r="B92" s="227" t="s">
        <v>188</v>
      </c>
      <c r="C92" s="227" t="s">
        <v>234</v>
      </c>
      <c r="D92" s="228">
        <v>71475</v>
      </c>
      <c r="E92" s="228">
        <v>19</v>
      </c>
      <c r="F92" s="228">
        <v>9.18</v>
      </c>
      <c r="G92" s="228">
        <v>9.26</v>
      </c>
      <c r="H92" s="228">
        <v>-0.08</v>
      </c>
      <c r="I92" s="229">
        <v>-8.6E-3</v>
      </c>
      <c r="J92" s="228">
        <v>9.1199999999999992</v>
      </c>
      <c r="K92" s="228">
        <v>9.1999999999999993</v>
      </c>
      <c r="L92" s="228">
        <v>-0.08</v>
      </c>
      <c r="M92" s="229">
        <v>-8.6999999999999994E-3</v>
      </c>
      <c r="N92" s="228">
        <v>9.18</v>
      </c>
      <c r="O92" s="228">
        <v>9.26</v>
      </c>
      <c r="P92" s="228">
        <v>-0.08</v>
      </c>
      <c r="Q92" s="229">
        <v>-8.6E-3</v>
      </c>
      <c r="R92" s="228">
        <v>9.24</v>
      </c>
      <c r="S92" s="228">
        <v>9.32</v>
      </c>
      <c r="T92" s="228">
        <v>-0.08</v>
      </c>
      <c r="U92" s="229">
        <v>-8.6E-3</v>
      </c>
      <c r="V92" s="228">
        <v>9.3000000000000007</v>
      </c>
      <c r="W92" s="228">
        <v>9.39</v>
      </c>
      <c r="X92" s="228">
        <v>-0.09</v>
      </c>
      <c r="Y92" s="229">
        <v>-9.5999999999999992E-3</v>
      </c>
      <c r="Z92" s="228">
        <v>0.06</v>
      </c>
      <c r="AA92" s="228">
        <v>0.06</v>
      </c>
      <c r="AB92" s="228">
        <v>0</v>
      </c>
      <c r="AC92" s="229">
        <v>6.6E-3</v>
      </c>
      <c r="AD92" s="228">
        <v>0.06</v>
      </c>
      <c r="AE92" s="228">
        <v>0.06</v>
      </c>
      <c r="AF92" s="228">
        <v>0</v>
      </c>
      <c r="AG92" s="229">
        <v>6.6E-3</v>
      </c>
      <c r="AH92" s="228">
        <v>0.12</v>
      </c>
      <c r="AI92" s="228">
        <v>0.12</v>
      </c>
      <c r="AJ92" s="228">
        <v>0</v>
      </c>
      <c r="AK92" s="229">
        <v>1.32E-2</v>
      </c>
      <c r="AL92" s="228">
        <v>0.18</v>
      </c>
      <c r="AM92" s="228">
        <v>0.19</v>
      </c>
      <c r="AN92" s="228">
        <v>-0.01</v>
      </c>
      <c r="AO92" s="229">
        <v>1.9699999999999999E-2</v>
      </c>
      <c r="AP92" s="228">
        <v>9.18</v>
      </c>
      <c r="AQ92" s="228">
        <v>9.23</v>
      </c>
      <c r="AR92" s="228">
        <v>0</v>
      </c>
      <c r="AS92" s="228">
        <v>310</v>
      </c>
      <c r="AT92" s="228">
        <v>597</v>
      </c>
      <c r="AU92" s="228">
        <v>-286</v>
      </c>
      <c r="AV92" s="229">
        <v>-0.47970000000000002</v>
      </c>
      <c r="AW92" s="228">
        <v>261</v>
      </c>
      <c r="AX92" s="228">
        <v>533</v>
      </c>
      <c r="AY92" s="228">
        <v>-272</v>
      </c>
      <c r="AZ92" s="229">
        <v>-0.51060000000000005</v>
      </c>
      <c r="BA92" s="228">
        <v>32</v>
      </c>
      <c r="BB92" s="228">
        <v>54</v>
      </c>
      <c r="BC92" s="228">
        <v>-21</v>
      </c>
      <c r="BD92" s="229">
        <v>-0.39929999999999999</v>
      </c>
      <c r="BE92" s="228">
        <v>17</v>
      </c>
      <c r="BF92" s="228">
        <v>10</v>
      </c>
      <c r="BG92" s="228">
        <v>8</v>
      </c>
      <c r="BH92" s="229">
        <v>0.7823</v>
      </c>
      <c r="BI92" s="228">
        <v>765</v>
      </c>
      <c r="BJ92" s="230">
        <v>1372</v>
      </c>
      <c r="BK92" s="228">
        <v>-607</v>
      </c>
      <c r="BL92" s="229">
        <v>-0.44259999999999999</v>
      </c>
      <c r="BM92" s="228">
        <v>246</v>
      </c>
      <c r="BN92" s="228">
        <v>488</v>
      </c>
      <c r="BO92" s="228">
        <v>-242</v>
      </c>
      <c r="BP92" s="229">
        <v>-0.49619999999999997</v>
      </c>
      <c r="BQ92" s="230">
        <v>1321</v>
      </c>
      <c r="BR92" s="230">
        <v>2457</v>
      </c>
      <c r="BS92" s="230">
        <v>-1136</v>
      </c>
      <c r="BT92" s="229">
        <v>-0.4622</v>
      </c>
      <c r="BU92" s="230">
        <v>432539522</v>
      </c>
      <c r="BV92" s="230">
        <v>690460747</v>
      </c>
      <c r="BW92" s="230">
        <v>-257921225</v>
      </c>
      <c r="BX92" s="229">
        <v>-0.3735</v>
      </c>
      <c r="BY92" s="230">
        <v>6100</v>
      </c>
      <c r="BZ92" s="230">
        <v>6061</v>
      </c>
      <c r="CA92" s="228">
        <v>39</v>
      </c>
      <c r="CB92" s="229">
        <v>6.4000000000000003E-3</v>
      </c>
      <c r="CC92" s="230">
        <v>5825</v>
      </c>
      <c r="CD92" s="230">
        <v>5813</v>
      </c>
      <c r="CE92" s="228">
        <v>12</v>
      </c>
      <c r="CF92" s="229">
        <v>2.0999999999999999E-3</v>
      </c>
      <c r="CG92" s="228">
        <v>251</v>
      </c>
      <c r="CH92" s="228">
        <v>238</v>
      </c>
      <c r="CI92" s="228">
        <v>13</v>
      </c>
      <c r="CJ92" s="229">
        <v>5.6300000000000003E-2</v>
      </c>
      <c r="CK92" s="228">
        <v>24</v>
      </c>
      <c r="CL92" s="228">
        <v>11</v>
      </c>
      <c r="CM92" s="228">
        <v>13</v>
      </c>
      <c r="CN92" s="229">
        <v>1.2060999999999999</v>
      </c>
      <c r="CO92" s="230">
        <v>1233</v>
      </c>
      <c r="CP92" s="230">
        <v>1197</v>
      </c>
      <c r="CQ92" s="228">
        <v>36</v>
      </c>
      <c r="CR92" s="229">
        <v>3.0499999999999999E-2</v>
      </c>
      <c r="CS92" s="228">
        <v>684</v>
      </c>
      <c r="CT92" s="228">
        <v>690</v>
      </c>
      <c r="CU92" s="228">
        <v>-6</v>
      </c>
      <c r="CV92" s="229">
        <v>-8.6E-3</v>
      </c>
      <c r="CW92" s="230">
        <v>8018</v>
      </c>
      <c r="CX92" s="230">
        <v>7948</v>
      </c>
      <c r="CY92" s="228">
        <v>69</v>
      </c>
      <c r="CZ92" s="229">
        <v>8.6999999999999994E-3</v>
      </c>
      <c r="DA92" s="228">
        <v>54.28</v>
      </c>
      <c r="DB92" s="228">
        <v>54.1</v>
      </c>
      <c r="DC92" s="228">
        <v>0.18</v>
      </c>
      <c r="DD92" s="228">
        <v>0.18</v>
      </c>
      <c r="DE92" s="228">
        <v>65.37</v>
      </c>
      <c r="DF92" s="228">
        <v>65.52</v>
      </c>
      <c r="DG92" s="228">
        <v>-11.09</v>
      </c>
      <c r="DH92" s="228">
        <v>-0.15</v>
      </c>
      <c r="DI92" s="228">
        <v>55.98</v>
      </c>
      <c r="DJ92" s="228">
        <v>54.81</v>
      </c>
      <c r="DK92" s="228">
        <v>1.17</v>
      </c>
      <c r="DL92" s="228">
        <v>1.17</v>
      </c>
      <c r="DM92" s="228">
        <v>48.98</v>
      </c>
      <c r="DN92" s="228">
        <v>52.09</v>
      </c>
      <c r="DO92" s="228">
        <v>-3.11</v>
      </c>
      <c r="DP92" s="228">
        <v>-3.11</v>
      </c>
      <c r="DQ92" s="228">
        <v>0.56000000000000005</v>
      </c>
      <c r="DR92" s="228">
        <v>0.57999999999999996</v>
      </c>
      <c r="DS92" s="228">
        <v>-0.02</v>
      </c>
      <c r="DT92" s="229">
        <v>-3.4500000000000003E-2</v>
      </c>
      <c r="DU92" s="228">
        <v>10</v>
      </c>
      <c r="DV92" s="228">
        <v>9</v>
      </c>
      <c r="DW92" s="228">
        <v>0.32</v>
      </c>
      <c r="DX92" s="228">
        <v>0.36</v>
      </c>
      <c r="DY92" s="228">
        <v>-0.04</v>
      </c>
      <c r="DZ92" s="229">
        <v>-0.1111</v>
      </c>
      <c r="EA92" s="229">
        <v>4.5100000000000001E-2</v>
      </c>
      <c r="EB92" s="230">
        <v>270961725</v>
      </c>
      <c r="EC92" s="229">
        <v>6.4999999999999997E-3</v>
      </c>
      <c r="ED92" s="229">
        <v>4.5100000000000001E-2</v>
      </c>
      <c r="EE92" s="228">
        <v>0.05</v>
      </c>
      <c r="EF92" s="229">
        <v>5.4000000000000003E-3</v>
      </c>
      <c r="EG92" s="230">
        <v>102082128</v>
      </c>
      <c r="EH92" s="230">
        <v>196296673</v>
      </c>
      <c r="EI92" s="229">
        <v>-0.48</v>
      </c>
      <c r="EJ92" s="229">
        <v>0.23599999999999999</v>
      </c>
      <c r="EK92" s="228">
        <v>882.26</v>
      </c>
      <c r="EL92" s="228">
        <v>244.61</v>
      </c>
      <c r="EM92" s="228">
        <v>310.83</v>
      </c>
      <c r="EN92" s="228">
        <v>80.53</v>
      </c>
      <c r="EO92" s="231">
        <v>1437.7</v>
      </c>
      <c r="EP92" s="231">
        <v>2623.14</v>
      </c>
      <c r="EQ92" s="231">
        <v>-1185.44</v>
      </c>
      <c r="ER92" s="229">
        <v>-0.45190000000000002</v>
      </c>
      <c r="ES92" s="231">
        <v>1415.14</v>
      </c>
      <c r="ET92" s="228">
        <v>680.09</v>
      </c>
      <c r="EU92" s="231">
        <v>6102.09</v>
      </c>
      <c r="EV92" s="231">
        <v>12096038468</v>
      </c>
      <c r="EW92" s="231">
        <v>8197.33</v>
      </c>
      <c r="EX92" s="231">
        <v>8183.5</v>
      </c>
      <c r="EY92" s="228">
        <v>13.83</v>
      </c>
      <c r="EZ92" s="229">
        <v>1.6999999999999999E-3</v>
      </c>
      <c r="FA92" s="229">
        <v>0.72209999999999996</v>
      </c>
      <c r="FB92" s="227" t="s">
        <v>566</v>
      </c>
      <c r="FC92">
        <f t="shared" si="1"/>
        <v>275</v>
      </c>
    </row>
    <row r="93" spans="1:159" ht="17.25" thickBot="1" x14ac:dyDescent="0.3">
      <c r="A93" s="226">
        <v>46121</v>
      </c>
      <c r="B93" s="227" t="s">
        <v>172</v>
      </c>
      <c r="C93" s="227" t="s">
        <v>235</v>
      </c>
      <c r="D93" s="228">
        <v>9275</v>
      </c>
      <c r="E93" s="228">
        <v>19</v>
      </c>
      <c r="F93" s="228">
        <v>65.459999999999994</v>
      </c>
      <c r="G93" s="228">
        <v>66.22</v>
      </c>
      <c r="H93" s="228">
        <v>-0.76</v>
      </c>
      <c r="I93" s="229">
        <v>-1.15E-2</v>
      </c>
      <c r="J93" s="228">
        <v>65.28</v>
      </c>
      <c r="K93" s="228">
        <v>65.87</v>
      </c>
      <c r="L93" s="228">
        <v>-0.59</v>
      </c>
      <c r="M93" s="229">
        <v>-8.9999999999999993E-3</v>
      </c>
      <c r="N93" s="228">
        <v>65.459999999999994</v>
      </c>
      <c r="O93" s="228">
        <v>66.22</v>
      </c>
      <c r="P93" s="228">
        <v>-0.76</v>
      </c>
      <c r="Q93" s="229">
        <v>-1.15E-2</v>
      </c>
      <c r="R93" s="228">
        <v>65.89</v>
      </c>
      <c r="S93" s="228">
        <v>66.63</v>
      </c>
      <c r="T93" s="228">
        <v>-0.74</v>
      </c>
      <c r="U93" s="229">
        <v>-1.11E-2</v>
      </c>
      <c r="V93" s="228">
        <v>66.28</v>
      </c>
      <c r="W93" s="228">
        <v>66.98</v>
      </c>
      <c r="X93" s="228">
        <v>-0.7</v>
      </c>
      <c r="Y93" s="229">
        <v>-1.0500000000000001E-2</v>
      </c>
      <c r="Z93" s="228">
        <v>0.18</v>
      </c>
      <c r="AA93" s="228">
        <v>0.35</v>
      </c>
      <c r="AB93" s="228">
        <v>-0.17</v>
      </c>
      <c r="AC93" s="229">
        <v>2.8E-3</v>
      </c>
      <c r="AD93" s="228">
        <v>0.18</v>
      </c>
      <c r="AE93" s="228">
        <v>0.35</v>
      </c>
      <c r="AF93" s="228">
        <v>-0.17</v>
      </c>
      <c r="AG93" s="229">
        <v>2.8E-3</v>
      </c>
      <c r="AH93" s="228">
        <v>0.61</v>
      </c>
      <c r="AI93" s="228">
        <v>0.76</v>
      </c>
      <c r="AJ93" s="228">
        <v>-0.15</v>
      </c>
      <c r="AK93" s="229">
        <v>9.2999999999999992E-3</v>
      </c>
      <c r="AL93" s="228">
        <v>1</v>
      </c>
      <c r="AM93" s="228">
        <v>1.1100000000000001</v>
      </c>
      <c r="AN93" s="228">
        <v>-0.11</v>
      </c>
      <c r="AO93" s="229">
        <v>1.5299999999999999E-2</v>
      </c>
      <c r="AP93" s="228">
        <v>65.72</v>
      </c>
      <c r="AQ93" s="228">
        <v>66.13</v>
      </c>
      <c r="AR93" s="228">
        <v>0</v>
      </c>
      <c r="AS93" s="228">
        <v>284</v>
      </c>
      <c r="AT93" s="228">
        <v>712</v>
      </c>
      <c r="AU93" s="228">
        <v>-428</v>
      </c>
      <c r="AV93" s="229">
        <v>-0.60099999999999998</v>
      </c>
      <c r="AW93" s="228">
        <v>239</v>
      </c>
      <c r="AX93" s="228">
        <v>653</v>
      </c>
      <c r="AY93" s="228">
        <v>-415</v>
      </c>
      <c r="AZ93" s="229">
        <v>-0.63480000000000003</v>
      </c>
      <c r="BA93" s="228">
        <v>38</v>
      </c>
      <c r="BB93" s="228">
        <v>49</v>
      </c>
      <c r="BC93" s="228">
        <v>-11</v>
      </c>
      <c r="BD93" s="229">
        <v>-0.22189999999999999</v>
      </c>
      <c r="BE93" s="228">
        <v>8</v>
      </c>
      <c r="BF93" s="228">
        <v>10</v>
      </c>
      <c r="BG93" s="228">
        <v>-2</v>
      </c>
      <c r="BH93" s="229">
        <v>-0.23930000000000001</v>
      </c>
      <c r="BI93" s="228">
        <v>389</v>
      </c>
      <c r="BJ93" s="228">
        <v>886</v>
      </c>
      <c r="BK93" s="228">
        <v>-498</v>
      </c>
      <c r="BL93" s="229">
        <v>-0.5615</v>
      </c>
      <c r="BM93" s="228">
        <v>314</v>
      </c>
      <c r="BN93" s="228">
        <v>673</v>
      </c>
      <c r="BO93" s="228">
        <v>-359</v>
      </c>
      <c r="BP93" s="229">
        <v>-0.53290000000000004</v>
      </c>
      <c r="BQ93" s="228">
        <v>987</v>
      </c>
      <c r="BR93" s="230">
        <v>2271</v>
      </c>
      <c r="BS93" s="230">
        <v>-1284</v>
      </c>
      <c r="BT93" s="229">
        <v>-0.56540000000000001</v>
      </c>
      <c r="BU93" s="230">
        <v>21970983</v>
      </c>
      <c r="BV93" s="230">
        <v>46758847</v>
      </c>
      <c r="BW93" s="230">
        <v>-24787864</v>
      </c>
      <c r="BX93" s="229">
        <v>-0.53010000000000002</v>
      </c>
      <c r="BY93" s="230">
        <v>2717</v>
      </c>
      <c r="BZ93" s="230">
        <v>2699</v>
      </c>
      <c r="CA93" s="228">
        <v>18</v>
      </c>
      <c r="CB93" s="229">
        <v>6.4999999999999997E-3</v>
      </c>
      <c r="CC93" s="230">
        <v>2495</v>
      </c>
      <c r="CD93" s="230">
        <v>2495</v>
      </c>
      <c r="CE93" s="228">
        <v>0</v>
      </c>
      <c r="CF93" s="229">
        <v>1E-4</v>
      </c>
      <c r="CG93" s="228">
        <v>206</v>
      </c>
      <c r="CH93" s="228">
        <v>191</v>
      </c>
      <c r="CI93" s="228">
        <v>15</v>
      </c>
      <c r="CJ93" s="229">
        <v>7.9000000000000001E-2</v>
      </c>
      <c r="CK93" s="228">
        <v>16</v>
      </c>
      <c r="CL93" s="228">
        <v>13</v>
      </c>
      <c r="CM93" s="228">
        <v>2</v>
      </c>
      <c r="CN93" s="229">
        <v>0.1636</v>
      </c>
      <c r="CO93" s="228">
        <v>746</v>
      </c>
      <c r="CP93" s="228">
        <v>723</v>
      </c>
      <c r="CQ93" s="228">
        <v>23</v>
      </c>
      <c r="CR93" s="229">
        <v>3.1699999999999999E-2</v>
      </c>
      <c r="CS93" s="228">
        <v>628</v>
      </c>
      <c r="CT93" s="228">
        <v>612</v>
      </c>
      <c r="CU93" s="228">
        <v>16</v>
      </c>
      <c r="CV93" s="229">
        <v>2.64E-2</v>
      </c>
      <c r="CW93" s="230">
        <v>4090</v>
      </c>
      <c r="CX93" s="230">
        <v>4034</v>
      </c>
      <c r="CY93" s="228">
        <v>57</v>
      </c>
      <c r="CZ93" s="229">
        <v>1.4E-2</v>
      </c>
      <c r="DA93" s="228">
        <v>41.18</v>
      </c>
      <c r="DB93" s="228">
        <v>41.19</v>
      </c>
      <c r="DC93" s="228">
        <v>-0.01</v>
      </c>
      <c r="DD93" s="228">
        <v>-0.01</v>
      </c>
      <c r="DE93" s="228">
        <v>41.72</v>
      </c>
      <c r="DF93" s="228">
        <v>41.79</v>
      </c>
      <c r="DG93" s="228">
        <v>-0.54</v>
      </c>
      <c r="DH93" s="228">
        <v>-7.0000000000000007E-2</v>
      </c>
      <c r="DI93" s="228">
        <v>38.1</v>
      </c>
      <c r="DJ93" s="228">
        <v>37.85</v>
      </c>
      <c r="DK93" s="228">
        <v>0.25</v>
      </c>
      <c r="DL93" s="228">
        <v>0.25</v>
      </c>
      <c r="DM93" s="228">
        <v>45</v>
      </c>
      <c r="DN93" s="228">
        <v>45.59</v>
      </c>
      <c r="DO93" s="228">
        <v>-0.59</v>
      </c>
      <c r="DP93" s="228">
        <v>-0.59</v>
      </c>
      <c r="DQ93" s="228">
        <v>0.84</v>
      </c>
      <c r="DR93" s="228">
        <v>0.85</v>
      </c>
      <c r="DS93" s="228">
        <v>-0.01</v>
      </c>
      <c r="DT93" s="229">
        <v>-1.18E-2</v>
      </c>
      <c r="DU93" s="228">
        <v>65</v>
      </c>
      <c r="DV93" s="228">
        <v>60</v>
      </c>
      <c r="DW93" s="228">
        <v>0.81</v>
      </c>
      <c r="DX93" s="228">
        <v>0.76</v>
      </c>
      <c r="DY93" s="228">
        <v>0.05</v>
      </c>
      <c r="DZ93" s="229">
        <v>6.5799999999999997E-2</v>
      </c>
      <c r="EA93" s="229">
        <v>8.14E-2</v>
      </c>
      <c r="EB93" s="230">
        <v>31145450</v>
      </c>
      <c r="EC93" s="229">
        <v>6.6E-3</v>
      </c>
      <c r="ED93" s="229">
        <v>8.14E-2</v>
      </c>
      <c r="EE93" s="228">
        <v>0.41</v>
      </c>
      <c r="EF93" s="229">
        <v>6.1999999999999998E-3</v>
      </c>
      <c r="EG93" s="230">
        <v>7751751</v>
      </c>
      <c r="EH93" s="230">
        <v>18996401</v>
      </c>
      <c r="EI93" s="229">
        <v>-0.59189999999999998</v>
      </c>
      <c r="EJ93" s="229">
        <v>0.3528</v>
      </c>
      <c r="EK93" s="228">
        <v>416.57</v>
      </c>
      <c r="EL93" s="228">
        <v>300.93</v>
      </c>
      <c r="EM93" s="228">
        <v>285.55</v>
      </c>
      <c r="EN93" s="228">
        <v>69.319999999999993</v>
      </c>
      <c r="EO93" s="231">
        <v>1003.05</v>
      </c>
      <c r="EP93" s="231">
        <v>2286.8200000000002</v>
      </c>
      <c r="EQ93" s="231">
        <v>-1283.77</v>
      </c>
      <c r="ER93" s="229">
        <v>-0.56140000000000001</v>
      </c>
      <c r="ES93" s="228">
        <v>773.38</v>
      </c>
      <c r="ET93" s="228">
        <v>606.53</v>
      </c>
      <c r="EU93" s="231">
        <v>2718.14</v>
      </c>
      <c r="EV93" s="231">
        <v>1101871266</v>
      </c>
      <c r="EW93" s="231">
        <v>4098.05</v>
      </c>
      <c r="EX93" s="231">
        <v>4070.53</v>
      </c>
      <c r="EY93" s="228">
        <v>27.52</v>
      </c>
      <c r="EZ93" s="229">
        <v>6.7999999999999996E-3</v>
      </c>
      <c r="FA93" s="229">
        <v>0.56710000000000005</v>
      </c>
      <c r="FB93" s="227" t="s">
        <v>566</v>
      </c>
      <c r="FC93">
        <f t="shared" si="1"/>
        <v>222</v>
      </c>
    </row>
    <row r="94" spans="1:159" ht="17.25" thickBot="1" x14ac:dyDescent="0.3">
      <c r="A94" s="226">
        <v>46121</v>
      </c>
      <c r="B94" s="227" t="s">
        <v>161</v>
      </c>
      <c r="C94" s="227" t="s">
        <v>514</v>
      </c>
      <c r="D94" s="228">
        <v>3750</v>
      </c>
      <c r="E94" s="228">
        <v>19</v>
      </c>
      <c r="F94" s="228">
        <v>130.15</v>
      </c>
      <c r="G94" s="228">
        <v>129.99</v>
      </c>
      <c r="H94" s="228">
        <v>0.16</v>
      </c>
      <c r="I94" s="229">
        <v>1.1999999999999999E-3</v>
      </c>
      <c r="J94" s="228">
        <v>129.69</v>
      </c>
      <c r="K94" s="228">
        <v>129.44</v>
      </c>
      <c r="L94" s="228">
        <v>0.25</v>
      </c>
      <c r="M94" s="229">
        <v>1.9E-3</v>
      </c>
      <c r="N94" s="228">
        <v>130.15</v>
      </c>
      <c r="O94" s="228">
        <v>129.99</v>
      </c>
      <c r="P94" s="228">
        <v>0.16</v>
      </c>
      <c r="Q94" s="229">
        <v>1.1999999999999999E-3</v>
      </c>
      <c r="R94" s="228">
        <v>130.19999999999999</v>
      </c>
      <c r="S94" s="228">
        <v>129.91999999999999</v>
      </c>
      <c r="T94" s="228">
        <v>0.28000000000000003</v>
      </c>
      <c r="U94" s="229">
        <v>2.2000000000000001E-3</v>
      </c>
      <c r="V94" s="228">
        <v>130.44999999999999</v>
      </c>
      <c r="W94" s="228">
        <v>130.33000000000001</v>
      </c>
      <c r="X94" s="228">
        <v>0.12</v>
      </c>
      <c r="Y94" s="229">
        <v>8.9999999999999998E-4</v>
      </c>
      <c r="Z94" s="228">
        <v>0.46</v>
      </c>
      <c r="AA94" s="228">
        <v>0.55000000000000004</v>
      </c>
      <c r="AB94" s="228">
        <v>-0.09</v>
      </c>
      <c r="AC94" s="229">
        <v>3.5000000000000001E-3</v>
      </c>
      <c r="AD94" s="228">
        <v>0.46</v>
      </c>
      <c r="AE94" s="228">
        <v>0.55000000000000004</v>
      </c>
      <c r="AF94" s="228">
        <v>-0.09</v>
      </c>
      <c r="AG94" s="229">
        <v>3.5000000000000001E-3</v>
      </c>
      <c r="AH94" s="228">
        <v>0.51</v>
      </c>
      <c r="AI94" s="228">
        <v>0.48</v>
      </c>
      <c r="AJ94" s="228">
        <v>0.03</v>
      </c>
      <c r="AK94" s="229">
        <v>3.8999999999999998E-3</v>
      </c>
      <c r="AL94" s="228">
        <v>0.76</v>
      </c>
      <c r="AM94" s="228">
        <v>0.89</v>
      </c>
      <c r="AN94" s="228">
        <v>-0.13</v>
      </c>
      <c r="AO94" s="229">
        <v>5.8999999999999999E-3</v>
      </c>
      <c r="AP94" s="228">
        <v>129.16</v>
      </c>
      <c r="AQ94" s="228">
        <v>129.13999999999999</v>
      </c>
      <c r="AR94" s="228">
        <v>0</v>
      </c>
      <c r="AS94" s="228">
        <v>94</v>
      </c>
      <c r="AT94" s="228">
        <v>128</v>
      </c>
      <c r="AU94" s="228">
        <v>-34</v>
      </c>
      <c r="AV94" s="229">
        <v>-0.26860000000000001</v>
      </c>
      <c r="AW94" s="228">
        <v>80</v>
      </c>
      <c r="AX94" s="228">
        <v>110</v>
      </c>
      <c r="AY94" s="228">
        <v>-30</v>
      </c>
      <c r="AZ94" s="229">
        <v>-0.27239999999999998</v>
      </c>
      <c r="BA94" s="228">
        <v>11</v>
      </c>
      <c r="BB94" s="228">
        <v>11</v>
      </c>
      <c r="BC94" s="228">
        <v>0</v>
      </c>
      <c r="BD94" s="229">
        <v>-2.5899999999999999E-2</v>
      </c>
      <c r="BE94" s="228">
        <v>3</v>
      </c>
      <c r="BF94" s="228">
        <v>7</v>
      </c>
      <c r="BG94" s="228">
        <v>-4</v>
      </c>
      <c r="BH94" s="229">
        <v>-0.6159</v>
      </c>
      <c r="BI94" s="228">
        <v>327</v>
      </c>
      <c r="BJ94" s="228">
        <v>551</v>
      </c>
      <c r="BK94" s="228">
        <v>-225</v>
      </c>
      <c r="BL94" s="229">
        <v>-0.40749999999999997</v>
      </c>
      <c r="BM94" s="228">
        <v>132</v>
      </c>
      <c r="BN94" s="228">
        <v>393</v>
      </c>
      <c r="BO94" s="228">
        <v>-260</v>
      </c>
      <c r="BP94" s="229">
        <v>-0.66290000000000004</v>
      </c>
      <c r="BQ94" s="228">
        <v>553</v>
      </c>
      <c r="BR94" s="230">
        <v>1073</v>
      </c>
      <c r="BS94" s="228">
        <v>-520</v>
      </c>
      <c r="BT94" s="229">
        <v>-0.48449999999999999</v>
      </c>
      <c r="BU94" s="230">
        <v>5241954</v>
      </c>
      <c r="BV94" s="230">
        <v>5975980</v>
      </c>
      <c r="BW94" s="230">
        <v>-734026</v>
      </c>
      <c r="BX94" s="229">
        <v>-0.12280000000000001</v>
      </c>
      <c r="BY94" s="228">
        <v>928</v>
      </c>
      <c r="BZ94" s="228">
        <v>941</v>
      </c>
      <c r="CA94" s="228">
        <v>-13</v>
      </c>
      <c r="CB94" s="229">
        <v>-1.3599999999999999E-2</v>
      </c>
      <c r="CC94" s="228">
        <v>840</v>
      </c>
      <c r="CD94" s="228">
        <v>856</v>
      </c>
      <c r="CE94" s="228">
        <v>-17</v>
      </c>
      <c r="CF94" s="229">
        <v>-1.95E-2</v>
      </c>
      <c r="CG94" s="228">
        <v>80</v>
      </c>
      <c r="CH94" s="228">
        <v>77</v>
      </c>
      <c r="CI94" s="228">
        <v>3</v>
      </c>
      <c r="CJ94" s="229">
        <v>4.2599999999999999E-2</v>
      </c>
      <c r="CK94" s="228">
        <v>8</v>
      </c>
      <c r="CL94" s="228">
        <v>8</v>
      </c>
      <c r="CM94" s="228">
        <v>1</v>
      </c>
      <c r="CN94" s="229">
        <v>8.0699999999999994E-2</v>
      </c>
      <c r="CO94" s="228">
        <v>486</v>
      </c>
      <c r="CP94" s="228">
        <v>478</v>
      </c>
      <c r="CQ94" s="228">
        <v>8</v>
      </c>
      <c r="CR94" s="229">
        <v>1.6799999999999999E-2</v>
      </c>
      <c r="CS94" s="228">
        <v>327</v>
      </c>
      <c r="CT94" s="228">
        <v>322</v>
      </c>
      <c r="CU94" s="228">
        <v>5</v>
      </c>
      <c r="CV94" s="229">
        <v>1.49E-2</v>
      </c>
      <c r="CW94" s="230">
        <v>1741</v>
      </c>
      <c r="CX94" s="230">
        <v>1741</v>
      </c>
      <c r="CY94" s="228">
        <v>0</v>
      </c>
      <c r="CZ94" s="229">
        <v>0</v>
      </c>
      <c r="DA94" s="228">
        <v>38.08</v>
      </c>
      <c r="DB94" s="228">
        <v>38.270000000000003</v>
      </c>
      <c r="DC94" s="228">
        <v>-0.19</v>
      </c>
      <c r="DD94" s="228">
        <v>-0.19</v>
      </c>
      <c r="DE94" s="228">
        <v>52.12</v>
      </c>
      <c r="DF94" s="228">
        <v>52.25</v>
      </c>
      <c r="DG94" s="228">
        <v>-14.04</v>
      </c>
      <c r="DH94" s="228">
        <v>-0.13</v>
      </c>
      <c r="DI94" s="228">
        <v>36.340000000000003</v>
      </c>
      <c r="DJ94" s="228">
        <v>34.630000000000003</v>
      </c>
      <c r="DK94" s="228">
        <v>1.71</v>
      </c>
      <c r="DL94" s="228">
        <v>1.71</v>
      </c>
      <c r="DM94" s="228">
        <v>42.35</v>
      </c>
      <c r="DN94" s="228">
        <v>43.37</v>
      </c>
      <c r="DO94" s="228">
        <v>-1.02</v>
      </c>
      <c r="DP94" s="228">
        <v>-1.02</v>
      </c>
      <c r="DQ94" s="228">
        <v>0.67</v>
      </c>
      <c r="DR94" s="228">
        <v>0.67</v>
      </c>
      <c r="DS94" s="228">
        <v>0</v>
      </c>
      <c r="DT94" s="229">
        <v>0</v>
      </c>
      <c r="DU94" s="228">
        <v>140</v>
      </c>
      <c r="DV94" s="228">
        <v>150</v>
      </c>
      <c r="DW94" s="228">
        <v>0.41</v>
      </c>
      <c r="DX94" s="228">
        <v>0.71</v>
      </c>
      <c r="DY94" s="228">
        <v>-0.3</v>
      </c>
      <c r="DZ94" s="229">
        <v>-0.42249999999999999</v>
      </c>
      <c r="EA94" s="229">
        <v>9.5399999999999999E-2</v>
      </c>
      <c r="EB94" s="230">
        <v>6502500</v>
      </c>
      <c r="EC94" s="229">
        <v>4.0000000000000002E-4</v>
      </c>
      <c r="ED94" s="229">
        <v>9.5399999999999999E-2</v>
      </c>
      <c r="EE94" s="228">
        <v>-0.02</v>
      </c>
      <c r="EF94" s="229">
        <v>-2.0000000000000001E-4</v>
      </c>
      <c r="EG94" s="230">
        <v>1725207</v>
      </c>
      <c r="EH94" s="230">
        <v>2303018</v>
      </c>
      <c r="EI94" s="229">
        <v>-0.25090000000000001</v>
      </c>
      <c r="EJ94" s="229">
        <v>0.3291</v>
      </c>
      <c r="EK94" s="228">
        <v>344.67</v>
      </c>
      <c r="EL94" s="228">
        <v>124.88</v>
      </c>
      <c r="EM94" s="228">
        <v>93.09</v>
      </c>
      <c r="EN94" s="228">
        <v>25.13</v>
      </c>
      <c r="EO94" s="228">
        <v>562.65</v>
      </c>
      <c r="EP94" s="231">
        <v>1066.3599999999999</v>
      </c>
      <c r="EQ94" s="228">
        <v>-503.71</v>
      </c>
      <c r="ER94" s="229">
        <v>-0.47239999999999999</v>
      </c>
      <c r="ES94" s="228">
        <v>487</v>
      </c>
      <c r="ET94" s="228">
        <v>315.26</v>
      </c>
      <c r="EU94" s="228">
        <v>928.1</v>
      </c>
      <c r="EV94" s="231">
        <v>133395043</v>
      </c>
      <c r="EW94" s="231">
        <v>1730.35</v>
      </c>
      <c r="EX94" s="231">
        <v>1727.18</v>
      </c>
      <c r="EY94" s="228">
        <v>3.17</v>
      </c>
      <c r="EZ94" s="229">
        <v>1.8E-3</v>
      </c>
      <c r="FA94" s="229">
        <v>1.0028999999999999</v>
      </c>
      <c r="FB94" s="227" t="s">
        <v>694</v>
      </c>
      <c r="FC94">
        <f t="shared" si="1"/>
        <v>88</v>
      </c>
    </row>
    <row r="95" spans="1:159" ht="17.25" thickBot="1" x14ac:dyDescent="0.3">
      <c r="A95" s="226">
        <v>46121</v>
      </c>
      <c r="B95" s="227" t="s">
        <v>206</v>
      </c>
      <c r="C95" s="227" t="s">
        <v>501</v>
      </c>
      <c r="D95" s="228">
        <v>1000</v>
      </c>
      <c r="E95" s="228">
        <v>19</v>
      </c>
      <c r="F95" s="228">
        <v>630.79999999999995</v>
      </c>
      <c r="G95" s="228">
        <v>639.4</v>
      </c>
      <c r="H95" s="228">
        <v>-8.6</v>
      </c>
      <c r="I95" s="229">
        <v>-1.35E-2</v>
      </c>
      <c r="J95" s="228">
        <v>629.1</v>
      </c>
      <c r="K95" s="228">
        <v>636.35</v>
      </c>
      <c r="L95" s="228">
        <v>-7.25</v>
      </c>
      <c r="M95" s="229">
        <v>-1.14E-2</v>
      </c>
      <c r="N95" s="228">
        <v>630.79999999999995</v>
      </c>
      <c r="O95" s="228">
        <v>639.4</v>
      </c>
      <c r="P95" s="228">
        <v>-8.6</v>
      </c>
      <c r="Q95" s="229">
        <v>-1.35E-2</v>
      </c>
      <c r="R95" s="228">
        <v>634.15</v>
      </c>
      <c r="S95" s="228">
        <v>643.45000000000005</v>
      </c>
      <c r="T95" s="228">
        <v>-9.3000000000000007</v>
      </c>
      <c r="U95" s="229">
        <v>-1.4500000000000001E-2</v>
      </c>
      <c r="V95" s="228">
        <v>638</v>
      </c>
      <c r="W95" s="228">
        <v>645.20000000000005</v>
      </c>
      <c r="X95" s="228">
        <v>-7.2</v>
      </c>
      <c r="Y95" s="229">
        <v>-1.12E-2</v>
      </c>
      <c r="Z95" s="228">
        <v>1.7</v>
      </c>
      <c r="AA95" s="228">
        <v>3.05</v>
      </c>
      <c r="AB95" s="228">
        <v>-1.35</v>
      </c>
      <c r="AC95" s="229">
        <v>2.7000000000000001E-3</v>
      </c>
      <c r="AD95" s="228">
        <v>1.7</v>
      </c>
      <c r="AE95" s="228">
        <v>3.05</v>
      </c>
      <c r="AF95" s="228">
        <v>-1.35</v>
      </c>
      <c r="AG95" s="229">
        <v>2.7000000000000001E-3</v>
      </c>
      <c r="AH95" s="228">
        <v>5.05</v>
      </c>
      <c r="AI95" s="228">
        <v>7.1</v>
      </c>
      <c r="AJ95" s="228">
        <v>-2.0499999999999998</v>
      </c>
      <c r="AK95" s="229">
        <v>8.0000000000000002E-3</v>
      </c>
      <c r="AL95" s="228">
        <v>8.9</v>
      </c>
      <c r="AM95" s="228">
        <v>8.85</v>
      </c>
      <c r="AN95" s="228">
        <v>0.05</v>
      </c>
      <c r="AO95" s="229">
        <v>1.41E-2</v>
      </c>
      <c r="AP95" s="228">
        <v>628.79</v>
      </c>
      <c r="AQ95" s="228">
        <v>632.04999999999995</v>
      </c>
      <c r="AR95" s="228">
        <v>0</v>
      </c>
      <c r="AS95" s="228">
        <v>263</v>
      </c>
      <c r="AT95" s="228">
        <v>341</v>
      </c>
      <c r="AU95" s="228">
        <v>-78</v>
      </c>
      <c r="AV95" s="229">
        <v>-0.22800000000000001</v>
      </c>
      <c r="AW95" s="228">
        <v>247</v>
      </c>
      <c r="AX95" s="228">
        <v>324</v>
      </c>
      <c r="AY95" s="228">
        <v>-77</v>
      </c>
      <c r="AZ95" s="229">
        <v>-0.2389</v>
      </c>
      <c r="BA95" s="228">
        <v>16</v>
      </c>
      <c r="BB95" s="228">
        <v>15</v>
      </c>
      <c r="BC95" s="228">
        <v>1</v>
      </c>
      <c r="BD95" s="229">
        <v>7.2599999999999998E-2</v>
      </c>
      <c r="BE95" s="228">
        <v>1</v>
      </c>
      <c r="BF95" s="228">
        <v>2</v>
      </c>
      <c r="BG95" s="228">
        <v>-1</v>
      </c>
      <c r="BH95" s="229">
        <v>-0.62160000000000004</v>
      </c>
      <c r="BI95" s="228">
        <v>318</v>
      </c>
      <c r="BJ95" s="228">
        <v>478</v>
      </c>
      <c r="BK95" s="228">
        <v>-160</v>
      </c>
      <c r="BL95" s="229">
        <v>-0.3347</v>
      </c>
      <c r="BM95" s="228">
        <v>269</v>
      </c>
      <c r="BN95" s="228">
        <v>334</v>
      </c>
      <c r="BO95" s="228">
        <v>-65</v>
      </c>
      <c r="BP95" s="229">
        <v>-0.19589999999999999</v>
      </c>
      <c r="BQ95" s="228">
        <v>850</v>
      </c>
      <c r="BR95" s="230">
        <v>1153</v>
      </c>
      <c r="BS95" s="228">
        <v>-303</v>
      </c>
      <c r="BT95" s="229">
        <v>-0.26290000000000002</v>
      </c>
      <c r="BU95" s="230">
        <v>2073460</v>
      </c>
      <c r="BV95" s="230">
        <v>3452437</v>
      </c>
      <c r="BW95" s="230">
        <v>-1378977</v>
      </c>
      <c r="BX95" s="229">
        <v>-0.39939999999999998</v>
      </c>
      <c r="BY95" s="230">
        <v>1398</v>
      </c>
      <c r="BZ95" s="230">
        <v>1380</v>
      </c>
      <c r="CA95" s="228">
        <v>18</v>
      </c>
      <c r="CB95" s="229">
        <v>1.3100000000000001E-2</v>
      </c>
      <c r="CC95" s="230">
        <v>1354</v>
      </c>
      <c r="CD95" s="230">
        <v>1337</v>
      </c>
      <c r="CE95" s="228">
        <v>16</v>
      </c>
      <c r="CF95" s="229">
        <v>1.21E-2</v>
      </c>
      <c r="CG95" s="228">
        <v>42</v>
      </c>
      <c r="CH95" s="228">
        <v>41</v>
      </c>
      <c r="CI95" s="228">
        <v>2</v>
      </c>
      <c r="CJ95" s="229">
        <v>4.0399999999999998E-2</v>
      </c>
      <c r="CK95" s="228">
        <v>2</v>
      </c>
      <c r="CL95" s="228">
        <v>2</v>
      </c>
      <c r="CM95" s="228">
        <v>0</v>
      </c>
      <c r="CN95" s="229">
        <v>0.1176</v>
      </c>
      <c r="CO95" s="228">
        <v>313</v>
      </c>
      <c r="CP95" s="228">
        <v>319</v>
      </c>
      <c r="CQ95" s="228">
        <v>-6</v>
      </c>
      <c r="CR95" s="229">
        <v>-1.8800000000000001E-2</v>
      </c>
      <c r="CS95" s="228">
        <v>324</v>
      </c>
      <c r="CT95" s="228">
        <v>314</v>
      </c>
      <c r="CU95" s="228">
        <v>10</v>
      </c>
      <c r="CV95" s="229">
        <v>3.09E-2</v>
      </c>
      <c r="CW95" s="230">
        <v>2035</v>
      </c>
      <c r="CX95" s="230">
        <v>2013</v>
      </c>
      <c r="CY95" s="228">
        <v>22</v>
      </c>
      <c r="CZ95" s="229">
        <v>1.0800000000000001E-2</v>
      </c>
      <c r="DA95" s="228">
        <v>33.28</v>
      </c>
      <c r="DB95" s="228">
        <v>33.28</v>
      </c>
      <c r="DC95" s="228">
        <v>0</v>
      </c>
      <c r="DD95" s="228">
        <v>0</v>
      </c>
      <c r="DE95" s="228">
        <v>35.36</v>
      </c>
      <c r="DF95" s="228">
        <v>35.409999999999997</v>
      </c>
      <c r="DG95" s="228">
        <v>-2.08</v>
      </c>
      <c r="DH95" s="228">
        <v>-0.05</v>
      </c>
      <c r="DI95" s="228">
        <v>32.159999999999997</v>
      </c>
      <c r="DJ95" s="228">
        <v>31.96</v>
      </c>
      <c r="DK95" s="228">
        <v>0.2</v>
      </c>
      <c r="DL95" s="228">
        <v>0.2</v>
      </c>
      <c r="DM95" s="228">
        <v>34.61</v>
      </c>
      <c r="DN95" s="228">
        <v>35.159999999999997</v>
      </c>
      <c r="DO95" s="228">
        <v>-0.55000000000000004</v>
      </c>
      <c r="DP95" s="228">
        <v>-0.55000000000000004</v>
      </c>
      <c r="DQ95" s="228">
        <v>1.04</v>
      </c>
      <c r="DR95" s="228">
        <v>0.99</v>
      </c>
      <c r="DS95" s="228">
        <v>0.05</v>
      </c>
      <c r="DT95" s="229">
        <v>5.0500000000000003E-2</v>
      </c>
      <c r="DU95" s="228">
        <v>700</v>
      </c>
      <c r="DV95" s="228">
        <v>600</v>
      </c>
      <c r="DW95" s="228">
        <v>0.84</v>
      </c>
      <c r="DX95" s="228">
        <v>0.7</v>
      </c>
      <c r="DY95" s="228">
        <v>0.14000000000000001</v>
      </c>
      <c r="DZ95" s="229">
        <v>0.2</v>
      </c>
      <c r="EA95" s="229">
        <v>3.1899999999999998E-2</v>
      </c>
      <c r="EB95" s="230">
        <v>678000</v>
      </c>
      <c r="EC95" s="229">
        <v>5.3E-3</v>
      </c>
      <c r="ED95" s="229">
        <v>3.1899999999999998E-2</v>
      </c>
      <c r="EE95" s="228">
        <v>3.26</v>
      </c>
      <c r="EF95" s="229">
        <v>5.1999999999999998E-3</v>
      </c>
      <c r="EG95" s="230">
        <v>1070715</v>
      </c>
      <c r="EH95" s="230">
        <v>1538386</v>
      </c>
      <c r="EI95" s="229">
        <v>-0.30399999999999999</v>
      </c>
      <c r="EJ95" s="229">
        <v>0.51639999999999997</v>
      </c>
      <c r="EK95" s="228">
        <v>337.47</v>
      </c>
      <c r="EL95" s="228">
        <v>265.43</v>
      </c>
      <c r="EM95" s="228">
        <v>262.61</v>
      </c>
      <c r="EN95" s="228">
        <v>42.06</v>
      </c>
      <c r="EO95" s="228">
        <v>865.51</v>
      </c>
      <c r="EP95" s="231">
        <v>1181.95</v>
      </c>
      <c r="EQ95" s="228">
        <v>-316.44</v>
      </c>
      <c r="ER95" s="229">
        <v>-0.26769999999999999</v>
      </c>
      <c r="ES95" s="228">
        <v>313.81</v>
      </c>
      <c r="ET95" s="228">
        <v>318.86</v>
      </c>
      <c r="EU95" s="231">
        <v>1398.48</v>
      </c>
      <c r="EV95" s="231">
        <v>123332004</v>
      </c>
      <c r="EW95" s="231">
        <v>2031.15</v>
      </c>
      <c r="EX95" s="231">
        <v>2028.16</v>
      </c>
      <c r="EY95" s="228">
        <v>2.99</v>
      </c>
      <c r="EZ95" s="229">
        <v>1.5E-3</v>
      </c>
      <c r="FA95" s="229">
        <v>0.26150000000000001</v>
      </c>
      <c r="FB95" s="227" t="s">
        <v>566</v>
      </c>
      <c r="FC95">
        <f t="shared" si="1"/>
        <v>44</v>
      </c>
    </row>
    <row r="96" spans="1:159" ht="17.25" thickBot="1" x14ac:dyDescent="0.3">
      <c r="A96" s="226">
        <v>46121</v>
      </c>
      <c r="B96" s="227" t="s">
        <v>172</v>
      </c>
      <c r="C96" s="227" t="s">
        <v>577</v>
      </c>
      <c r="D96" s="228">
        <v>1000</v>
      </c>
      <c r="E96" s="228">
        <v>19</v>
      </c>
      <c r="F96" s="228">
        <v>946.05</v>
      </c>
      <c r="G96" s="228">
        <v>960.8</v>
      </c>
      <c r="H96" s="228">
        <v>-14.75</v>
      </c>
      <c r="I96" s="229">
        <v>-1.54E-2</v>
      </c>
      <c r="J96" s="228">
        <v>941.85</v>
      </c>
      <c r="K96" s="228">
        <v>956.5</v>
      </c>
      <c r="L96" s="228">
        <v>-14.65</v>
      </c>
      <c r="M96" s="229">
        <v>-1.5299999999999999E-2</v>
      </c>
      <c r="N96" s="228">
        <v>946.05</v>
      </c>
      <c r="O96" s="228">
        <v>960.8</v>
      </c>
      <c r="P96" s="228">
        <v>-14.75</v>
      </c>
      <c r="Q96" s="229">
        <v>-1.54E-2</v>
      </c>
      <c r="R96" s="228">
        <v>948.5</v>
      </c>
      <c r="S96" s="228">
        <v>961.8</v>
      </c>
      <c r="T96" s="228">
        <v>-13.3</v>
      </c>
      <c r="U96" s="229">
        <v>-1.38E-2</v>
      </c>
      <c r="V96" s="228">
        <v>940.05</v>
      </c>
      <c r="W96" s="228">
        <v>958</v>
      </c>
      <c r="X96" s="228">
        <v>-17.95</v>
      </c>
      <c r="Y96" s="229">
        <v>-1.8700000000000001E-2</v>
      </c>
      <c r="Z96" s="228">
        <v>4.2</v>
      </c>
      <c r="AA96" s="228">
        <v>4.3</v>
      </c>
      <c r="AB96" s="228">
        <v>-0.1</v>
      </c>
      <c r="AC96" s="229">
        <v>4.4999999999999997E-3</v>
      </c>
      <c r="AD96" s="228">
        <v>4.2</v>
      </c>
      <c r="AE96" s="228">
        <v>4.3</v>
      </c>
      <c r="AF96" s="228">
        <v>-0.1</v>
      </c>
      <c r="AG96" s="229">
        <v>4.4999999999999997E-3</v>
      </c>
      <c r="AH96" s="228">
        <v>6.65</v>
      </c>
      <c r="AI96" s="228">
        <v>5.3</v>
      </c>
      <c r="AJ96" s="228">
        <v>1.35</v>
      </c>
      <c r="AK96" s="229">
        <v>7.1000000000000004E-3</v>
      </c>
      <c r="AL96" s="228">
        <v>-1.8</v>
      </c>
      <c r="AM96" s="228">
        <v>1.5</v>
      </c>
      <c r="AN96" s="228">
        <v>-3.3</v>
      </c>
      <c r="AO96" s="229">
        <v>-1.9E-3</v>
      </c>
      <c r="AP96" s="228">
        <v>955.46</v>
      </c>
      <c r="AQ96" s="228">
        <v>956.66</v>
      </c>
      <c r="AR96" s="228">
        <v>0</v>
      </c>
      <c r="AS96" s="228">
        <v>353</v>
      </c>
      <c r="AT96" s="228">
        <v>355</v>
      </c>
      <c r="AU96" s="228">
        <v>-2</v>
      </c>
      <c r="AV96" s="229">
        <v>-4.4999999999999997E-3</v>
      </c>
      <c r="AW96" s="228">
        <v>336</v>
      </c>
      <c r="AX96" s="228">
        <v>338</v>
      </c>
      <c r="AY96" s="228">
        <v>-2</v>
      </c>
      <c r="AZ96" s="229">
        <v>-5.3E-3</v>
      </c>
      <c r="BA96" s="228">
        <v>14</v>
      </c>
      <c r="BB96" s="228">
        <v>15</v>
      </c>
      <c r="BC96" s="228">
        <v>-1</v>
      </c>
      <c r="BD96" s="229">
        <v>-6.7500000000000004E-2</v>
      </c>
      <c r="BE96" s="228">
        <v>3</v>
      </c>
      <c r="BF96" s="228">
        <v>1</v>
      </c>
      <c r="BG96" s="228">
        <v>1</v>
      </c>
      <c r="BH96" s="229">
        <v>0.92859999999999998</v>
      </c>
      <c r="BI96" s="228">
        <v>440</v>
      </c>
      <c r="BJ96" s="228">
        <v>624</v>
      </c>
      <c r="BK96" s="228">
        <v>-184</v>
      </c>
      <c r="BL96" s="229">
        <v>-0.29530000000000001</v>
      </c>
      <c r="BM96" s="228">
        <v>295</v>
      </c>
      <c r="BN96" s="228">
        <v>286</v>
      </c>
      <c r="BO96" s="228">
        <v>9</v>
      </c>
      <c r="BP96" s="229">
        <v>3.0700000000000002E-2</v>
      </c>
      <c r="BQ96" s="230">
        <v>1088</v>
      </c>
      <c r="BR96" s="230">
        <v>1265</v>
      </c>
      <c r="BS96" s="228">
        <v>-177</v>
      </c>
      <c r="BT96" s="229">
        <v>-0.14000000000000001</v>
      </c>
      <c r="BU96" s="230">
        <v>2019622</v>
      </c>
      <c r="BV96" s="230">
        <v>2577906</v>
      </c>
      <c r="BW96" s="230">
        <v>-558284</v>
      </c>
      <c r="BX96" s="229">
        <v>-0.21659999999999999</v>
      </c>
      <c r="BY96" s="228">
        <v>884</v>
      </c>
      <c r="BZ96" s="228">
        <v>909</v>
      </c>
      <c r="CA96" s="228">
        <v>-25</v>
      </c>
      <c r="CB96" s="229">
        <v>-2.76E-2</v>
      </c>
      <c r="CC96" s="228">
        <v>869</v>
      </c>
      <c r="CD96" s="228">
        <v>896</v>
      </c>
      <c r="CE96" s="228">
        <v>-27</v>
      </c>
      <c r="CF96" s="229">
        <v>-2.9899999999999999E-2</v>
      </c>
      <c r="CG96" s="228">
        <v>12</v>
      </c>
      <c r="CH96" s="228">
        <v>11</v>
      </c>
      <c r="CI96" s="228">
        <v>1</v>
      </c>
      <c r="CJ96" s="229">
        <v>0.1043</v>
      </c>
      <c r="CK96" s="228">
        <v>3</v>
      </c>
      <c r="CL96" s="228">
        <v>2</v>
      </c>
      <c r="CM96" s="228">
        <v>1</v>
      </c>
      <c r="CN96" s="229">
        <v>0.2727</v>
      </c>
      <c r="CO96" s="228">
        <v>301</v>
      </c>
      <c r="CP96" s="228">
        <v>267</v>
      </c>
      <c r="CQ96" s="228">
        <v>34</v>
      </c>
      <c r="CR96" s="229">
        <v>0.129</v>
      </c>
      <c r="CS96" s="228">
        <v>227</v>
      </c>
      <c r="CT96" s="228">
        <v>221</v>
      </c>
      <c r="CU96" s="228">
        <v>6</v>
      </c>
      <c r="CV96" s="229">
        <v>2.7900000000000001E-2</v>
      </c>
      <c r="CW96" s="230">
        <v>1412</v>
      </c>
      <c r="CX96" s="230">
        <v>1396</v>
      </c>
      <c r="CY96" s="228">
        <v>16</v>
      </c>
      <c r="CZ96" s="229">
        <v>1.11E-2</v>
      </c>
      <c r="DA96" s="228">
        <v>37.01</v>
      </c>
      <c r="DB96" s="228">
        <v>38.33</v>
      </c>
      <c r="DC96" s="228">
        <v>-1.32</v>
      </c>
      <c r="DD96" s="228">
        <v>-1.32</v>
      </c>
      <c r="DE96" s="228">
        <v>42.06</v>
      </c>
      <c r="DF96" s="228">
        <v>42.11</v>
      </c>
      <c r="DG96" s="228">
        <v>-5.05</v>
      </c>
      <c r="DH96" s="228">
        <v>-0.05</v>
      </c>
      <c r="DI96" s="228">
        <v>36.1</v>
      </c>
      <c r="DJ96" s="228">
        <v>36.53</v>
      </c>
      <c r="DK96" s="228">
        <v>-0.43</v>
      </c>
      <c r="DL96" s="228">
        <v>-0.43</v>
      </c>
      <c r="DM96" s="228">
        <v>38.380000000000003</v>
      </c>
      <c r="DN96" s="228">
        <v>42.27</v>
      </c>
      <c r="DO96" s="228">
        <v>-3.89</v>
      </c>
      <c r="DP96" s="228">
        <v>-3.89</v>
      </c>
      <c r="DQ96" s="228">
        <v>0.75</v>
      </c>
      <c r="DR96" s="228">
        <v>0.83</v>
      </c>
      <c r="DS96" s="228">
        <v>-0.08</v>
      </c>
      <c r="DT96" s="229">
        <v>-9.64E-2</v>
      </c>
      <c r="DU96" s="231">
        <v>1000</v>
      </c>
      <c r="DV96" s="228">
        <v>900</v>
      </c>
      <c r="DW96" s="228">
        <v>0.67</v>
      </c>
      <c r="DX96" s="228">
        <v>0.46</v>
      </c>
      <c r="DY96" s="228">
        <v>0.21</v>
      </c>
      <c r="DZ96" s="229">
        <v>0.45650000000000002</v>
      </c>
      <c r="EA96" s="229">
        <v>1.66E-2</v>
      </c>
      <c r="EB96" s="230">
        <v>137000</v>
      </c>
      <c r="EC96" s="229">
        <v>2.5999999999999999E-3</v>
      </c>
      <c r="ED96" s="229">
        <v>1.66E-2</v>
      </c>
      <c r="EE96" s="228">
        <v>1.2</v>
      </c>
      <c r="EF96" s="229">
        <v>1.2999999999999999E-3</v>
      </c>
      <c r="EG96" s="230">
        <v>663799</v>
      </c>
      <c r="EH96" s="230">
        <v>1143469</v>
      </c>
      <c r="EI96" s="229">
        <v>-0.41949999999999998</v>
      </c>
      <c r="EJ96" s="229">
        <v>0.32869999999999999</v>
      </c>
      <c r="EK96" s="228">
        <v>467.89</v>
      </c>
      <c r="EL96" s="228">
        <v>292.14999999999998</v>
      </c>
      <c r="EM96" s="228">
        <v>356.59</v>
      </c>
      <c r="EN96" s="228">
        <v>31.54</v>
      </c>
      <c r="EO96" s="231">
        <v>1116.6300000000001</v>
      </c>
      <c r="EP96" s="231">
        <v>1287.77</v>
      </c>
      <c r="EQ96" s="228">
        <v>-171.14</v>
      </c>
      <c r="ER96" s="229">
        <v>-0.13289999999999999</v>
      </c>
      <c r="ES96" s="228">
        <v>303.22000000000003</v>
      </c>
      <c r="ET96" s="228">
        <v>209.6</v>
      </c>
      <c r="EU96" s="228">
        <v>883.72</v>
      </c>
      <c r="EV96" s="231">
        <v>52862157</v>
      </c>
      <c r="EW96" s="231">
        <v>1396.54</v>
      </c>
      <c r="EX96" s="231">
        <v>1392.18</v>
      </c>
      <c r="EY96" s="228">
        <v>4.3600000000000003</v>
      </c>
      <c r="EZ96" s="229">
        <v>3.0999999999999999E-3</v>
      </c>
      <c r="FA96" s="229">
        <v>0.2823</v>
      </c>
      <c r="FB96" s="227" t="s">
        <v>567</v>
      </c>
      <c r="FC96">
        <f t="shared" si="1"/>
        <v>15</v>
      </c>
    </row>
    <row r="97" spans="1:159" ht="17.25" thickBot="1" x14ac:dyDescent="0.3">
      <c r="A97" s="226">
        <v>46121</v>
      </c>
      <c r="B97" s="227" t="s">
        <v>181</v>
      </c>
      <c r="C97" s="227" t="s">
        <v>686</v>
      </c>
      <c r="D97" s="228">
        <v>1</v>
      </c>
      <c r="E97" s="228">
        <v>19</v>
      </c>
      <c r="F97" s="228">
        <v>20.43</v>
      </c>
      <c r="G97" s="228">
        <v>19.7</v>
      </c>
      <c r="H97" s="228">
        <v>0.73</v>
      </c>
      <c r="I97" s="229">
        <v>3.6900000000000002E-2</v>
      </c>
      <c r="J97" s="228">
        <v>20.43</v>
      </c>
      <c r="K97" s="228">
        <v>19.7</v>
      </c>
      <c r="L97" s="228">
        <v>0.73</v>
      </c>
      <c r="M97" s="229">
        <v>3.6900000000000002E-2</v>
      </c>
      <c r="N97" s="228">
        <v>0</v>
      </c>
      <c r="O97" s="228">
        <v>0</v>
      </c>
      <c r="P97" s="228">
        <v>0</v>
      </c>
      <c r="Q97" s="229">
        <v>0</v>
      </c>
      <c r="R97" s="228">
        <v>0</v>
      </c>
      <c r="S97" s="228">
        <v>0</v>
      </c>
      <c r="T97" s="228">
        <v>0</v>
      </c>
      <c r="U97" s="229">
        <v>0</v>
      </c>
      <c r="V97" s="228">
        <v>0</v>
      </c>
      <c r="W97" s="228">
        <v>0</v>
      </c>
      <c r="X97" s="228">
        <v>0</v>
      </c>
      <c r="Y97" s="229">
        <v>0</v>
      </c>
      <c r="Z97" s="228">
        <v>0</v>
      </c>
      <c r="AA97" s="228">
        <v>0</v>
      </c>
      <c r="AB97" s="228">
        <v>0</v>
      </c>
      <c r="AC97" s="229">
        <v>0</v>
      </c>
      <c r="AD97" s="228">
        <v>0</v>
      </c>
      <c r="AE97" s="228">
        <v>0</v>
      </c>
      <c r="AF97" s="228">
        <v>0</v>
      </c>
      <c r="AG97" s="229">
        <v>0</v>
      </c>
      <c r="AH97" s="228">
        <v>0</v>
      </c>
      <c r="AI97" s="228">
        <v>0</v>
      </c>
      <c r="AJ97" s="228">
        <v>0</v>
      </c>
      <c r="AK97" s="229">
        <v>0</v>
      </c>
      <c r="AL97" s="228">
        <v>0</v>
      </c>
      <c r="AM97" s="228">
        <v>0</v>
      </c>
      <c r="AN97" s="228">
        <v>0</v>
      </c>
      <c r="AO97" s="229">
        <v>0</v>
      </c>
      <c r="AP97" s="228">
        <v>0</v>
      </c>
      <c r="AQ97" s="228">
        <v>0</v>
      </c>
      <c r="AR97" s="228">
        <v>0</v>
      </c>
      <c r="AS97" s="228">
        <v>0</v>
      </c>
      <c r="AT97" s="228">
        <v>0</v>
      </c>
      <c r="AU97" s="228">
        <v>0</v>
      </c>
      <c r="AV97" s="229">
        <v>0</v>
      </c>
      <c r="AW97" s="228">
        <v>0</v>
      </c>
      <c r="AX97" s="228">
        <v>0</v>
      </c>
      <c r="AY97" s="228">
        <v>0</v>
      </c>
      <c r="AZ97" s="229">
        <v>0</v>
      </c>
      <c r="BA97" s="228">
        <v>0</v>
      </c>
      <c r="BB97" s="228">
        <v>0</v>
      </c>
      <c r="BC97" s="228">
        <v>0</v>
      </c>
      <c r="BD97" s="229">
        <v>0</v>
      </c>
      <c r="BE97" s="228">
        <v>0</v>
      </c>
      <c r="BF97" s="228">
        <v>0</v>
      </c>
      <c r="BG97" s="228">
        <v>0</v>
      </c>
      <c r="BH97" s="229">
        <v>0</v>
      </c>
      <c r="BI97" s="228">
        <v>0</v>
      </c>
      <c r="BJ97" s="228">
        <v>0</v>
      </c>
      <c r="BK97" s="228">
        <v>0</v>
      </c>
      <c r="BL97" s="229">
        <v>0</v>
      </c>
      <c r="BM97" s="228">
        <v>0</v>
      </c>
      <c r="BN97" s="228">
        <v>0</v>
      </c>
      <c r="BO97" s="228">
        <v>0</v>
      </c>
      <c r="BP97" s="229">
        <v>0</v>
      </c>
      <c r="BQ97" s="228">
        <v>0</v>
      </c>
      <c r="BR97" s="228">
        <v>0</v>
      </c>
      <c r="BS97" s="228">
        <v>0</v>
      </c>
      <c r="BT97" s="229">
        <v>0</v>
      </c>
      <c r="BU97" s="228">
        <v>0</v>
      </c>
      <c r="BV97" s="228">
        <v>0</v>
      </c>
      <c r="BW97" s="228">
        <v>0</v>
      </c>
      <c r="BX97" s="229">
        <v>0</v>
      </c>
      <c r="BY97" s="228">
        <v>0</v>
      </c>
      <c r="BZ97" s="228">
        <v>0</v>
      </c>
      <c r="CA97" s="228">
        <v>0</v>
      </c>
      <c r="CB97" s="229">
        <v>0</v>
      </c>
      <c r="CC97" s="228">
        <v>0</v>
      </c>
      <c r="CD97" s="228">
        <v>0</v>
      </c>
      <c r="CE97" s="228">
        <v>0</v>
      </c>
      <c r="CF97" s="229">
        <v>0</v>
      </c>
      <c r="CG97" s="228">
        <v>0</v>
      </c>
      <c r="CH97" s="228">
        <v>0</v>
      </c>
      <c r="CI97" s="228">
        <v>0</v>
      </c>
      <c r="CJ97" s="229">
        <v>0</v>
      </c>
      <c r="CK97" s="228">
        <v>0</v>
      </c>
      <c r="CL97" s="228">
        <v>0</v>
      </c>
      <c r="CM97" s="228">
        <v>0</v>
      </c>
      <c r="CN97" s="229">
        <v>0</v>
      </c>
      <c r="CO97" s="228">
        <v>0</v>
      </c>
      <c r="CP97" s="228">
        <v>0</v>
      </c>
      <c r="CQ97" s="228">
        <v>0</v>
      </c>
      <c r="CR97" s="229">
        <v>0</v>
      </c>
      <c r="CS97" s="228">
        <v>0</v>
      </c>
      <c r="CT97" s="228">
        <v>0</v>
      </c>
      <c r="CU97" s="228">
        <v>0</v>
      </c>
      <c r="CV97" s="229">
        <v>0</v>
      </c>
      <c r="CW97" s="228">
        <v>0</v>
      </c>
      <c r="CX97" s="228">
        <v>0</v>
      </c>
      <c r="CY97" s="228">
        <v>0</v>
      </c>
      <c r="CZ97" s="229">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8">
        <v>0</v>
      </c>
      <c r="DT97" s="229">
        <v>0</v>
      </c>
      <c r="DU97" s="228">
        <v>0</v>
      </c>
      <c r="DV97" s="228">
        <v>0</v>
      </c>
      <c r="DW97" s="228">
        <v>0</v>
      </c>
      <c r="DX97" s="228">
        <v>0</v>
      </c>
      <c r="DY97" s="228">
        <v>0</v>
      </c>
      <c r="DZ97" s="229">
        <v>0</v>
      </c>
      <c r="EA97" s="229">
        <v>0</v>
      </c>
      <c r="EB97" s="228">
        <v>0</v>
      </c>
      <c r="EC97" s="229">
        <v>0</v>
      </c>
      <c r="ED97" s="229">
        <v>0</v>
      </c>
      <c r="EE97" s="228">
        <v>0</v>
      </c>
      <c r="EF97" s="229">
        <v>0</v>
      </c>
      <c r="EG97" s="228">
        <v>0</v>
      </c>
      <c r="EH97" s="228">
        <v>0</v>
      </c>
      <c r="EI97" s="229">
        <v>0</v>
      </c>
      <c r="EJ97" s="229">
        <v>0</v>
      </c>
      <c r="EK97" s="228">
        <v>0</v>
      </c>
      <c r="EL97" s="228">
        <v>0</v>
      </c>
      <c r="EM97" s="228">
        <v>0</v>
      </c>
      <c r="EN97" s="228">
        <v>0</v>
      </c>
      <c r="EO97" s="228">
        <v>0</v>
      </c>
      <c r="EP97" s="228">
        <v>0</v>
      </c>
      <c r="EQ97" s="228">
        <v>0</v>
      </c>
      <c r="ER97" s="229">
        <v>0</v>
      </c>
      <c r="ES97" s="228">
        <v>0</v>
      </c>
      <c r="ET97" s="228">
        <v>0</v>
      </c>
      <c r="EU97" s="228">
        <v>0</v>
      </c>
      <c r="EV97" s="228">
        <v>0</v>
      </c>
      <c r="EW97" s="228">
        <v>0</v>
      </c>
      <c r="EX97" s="228">
        <v>0</v>
      </c>
      <c r="EY97" s="228">
        <v>0</v>
      </c>
      <c r="EZ97" s="229">
        <v>0</v>
      </c>
      <c r="FA97" s="229">
        <v>0</v>
      </c>
      <c r="FB97" s="227" t="s">
        <v>237</v>
      </c>
      <c r="FC97">
        <f t="shared" si="1"/>
        <v>0</v>
      </c>
    </row>
    <row r="98" spans="1:159" ht="17.25" thickBot="1" x14ac:dyDescent="0.3">
      <c r="A98" s="226">
        <v>46121</v>
      </c>
      <c r="B98" s="227" t="s">
        <v>215</v>
      </c>
      <c r="C98" s="227" t="s">
        <v>238</v>
      </c>
      <c r="D98" s="228">
        <v>150</v>
      </c>
      <c r="E98" s="228">
        <v>19</v>
      </c>
      <c r="F98" s="231">
        <v>4470.6000000000004</v>
      </c>
      <c r="G98" s="231">
        <v>4624.8</v>
      </c>
      <c r="H98" s="228">
        <v>-154.19999999999999</v>
      </c>
      <c r="I98" s="229">
        <v>-3.3300000000000003E-2</v>
      </c>
      <c r="J98" s="231">
        <v>4449.1000000000004</v>
      </c>
      <c r="K98" s="231">
        <v>4615.5</v>
      </c>
      <c r="L98" s="228">
        <v>-166.4</v>
      </c>
      <c r="M98" s="229">
        <v>-3.61E-2</v>
      </c>
      <c r="N98" s="231">
        <v>4470.6000000000004</v>
      </c>
      <c r="O98" s="231">
        <v>4624.8</v>
      </c>
      <c r="P98" s="228">
        <v>-154.19999999999999</v>
      </c>
      <c r="Q98" s="229">
        <v>-3.3300000000000003E-2</v>
      </c>
      <c r="R98" s="231">
        <v>4485.3999999999996</v>
      </c>
      <c r="S98" s="231">
        <v>4637.8999999999996</v>
      </c>
      <c r="T98" s="228">
        <v>-152.5</v>
      </c>
      <c r="U98" s="229">
        <v>-3.2899999999999999E-2</v>
      </c>
      <c r="V98" s="231">
        <v>4508.2</v>
      </c>
      <c r="W98" s="231">
        <v>4660.6000000000004</v>
      </c>
      <c r="X98" s="228">
        <v>-152.4</v>
      </c>
      <c r="Y98" s="229">
        <v>-3.27E-2</v>
      </c>
      <c r="Z98" s="228">
        <v>21.5</v>
      </c>
      <c r="AA98" s="228">
        <v>9.3000000000000007</v>
      </c>
      <c r="AB98" s="228">
        <v>12.2</v>
      </c>
      <c r="AC98" s="229">
        <v>4.7999999999999996E-3</v>
      </c>
      <c r="AD98" s="228">
        <v>21.5</v>
      </c>
      <c r="AE98" s="228">
        <v>9.3000000000000007</v>
      </c>
      <c r="AF98" s="228">
        <v>12.2</v>
      </c>
      <c r="AG98" s="229">
        <v>4.7999999999999996E-3</v>
      </c>
      <c r="AH98" s="228">
        <v>36.299999999999997</v>
      </c>
      <c r="AI98" s="228">
        <v>22.4</v>
      </c>
      <c r="AJ98" s="228">
        <v>13.9</v>
      </c>
      <c r="AK98" s="229">
        <v>8.2000000000000007E-3</v>
      </c>
      <c r="AL98" s="228">
        <v>59.1</v>
      </c>
      <c r="AM98" s="228">
        <v>45.1</v>
      </c>
      <c r="AN98" s="228">
        <v>14</v>
      </c>
      <c r="AO98" s="229">
        <v>1.3299999999999999E-2</v>
      </c>
      <c r="AP98" s="231">
        <v>4512.18</v>
      </c>
      <c r="AQ98" s="231">
        <v>4528.68</v>
      </c>
      <c r="AR98" s="228">
        <v>0</v>
      </c>
      <c r="AS98" s="228">
        <v>770</v>
      </c>
      <c r="AT98" s="230">
        <v>2166</v>
      </c>
      <c r="AU98" s="230">
        <v>-1396</v>
      </c>
      <c r="AV98" s="229">
        <v>-0.64429999999999998</v>
      </c>
      <c r="AW98" s="228">
        <v>720</v>
      </c>
      <c r="AX98" s="230">
        <v>2042</v>
      </c>
      <c r="AY98" s="230">
        <v>-1322</v>
      </c>
      <c r="AZ98" s="229">
        <v>-0.6472</v>
      </c>
      <c r="BA98" s="228">
        <v>43</v>
      </c>
      <c r="BB98" s="228">
        <v>105</v>
      </c>
      <c r="BC98" s="228">
        <v>-62</v>
      </c>
      <c r="BD98" s="229">
        <v>-0.5897</v>
      </c>
      <c r="BE98" s="228">
        <v>7</v>
      </c>
      <c r="BF98" s="228">
        <v>19</v>
      </c>
      <c r="BG98" s="228">
        <v>-12</v>
      </c>
      <c r="BH98" s="229">
        <v>-0.63829999999999998</v>
      </c>
      <c r="BI98" s="230">
        <v>3899</v>
      </c>
      <c r="BJ98" s="230">
        <v>8829</v>
      </c>
      <c r="BK98" s="230">
        <v>-4930</v>
      </c>
      <c r="BL98" s="229">
        <v>-0.55840000000000001</v>
      </c>
      <c r="BM98" s="230">
        <v>2869</v>
      </c>
      <c r="BN98" s="230">
        <v>4825</v>
      </c>
      <c r="BO98" s="230">
        <v>-1956</v>
      </c>
      <c r="BP98" s="229">
        <v>-0.40539999999999998</v>
      </c>
      <c r="BQ98" s="230">
        <v>7538</v>
      </c>
      <c r="BR98" s="230">
        <v>15820</v>
      </c>
      <c r="BS98" s="230">
        <v>-8281</v>
      </c>
      <c r="BT98" s="229">
        <v>-0.52349999999999997</v>
      </c>
      <c r="BU98" s="230">
        <v>1993667</v>
      </c>
      <c r="BV98" s="230">
        <v>5751624</v>
      </c>
      <c r="BW98" s="230">
        <v>-3757957</v>
      </c>
      <c r="BX98" s="229">
        <v>-0.65339999999999998</v>
      </c>
      <c r="BY98" s="230">
        <v>3373</v>
      </c>
      <c r="BZ98" s="230">
        <v>3264</v>
      </c>
      <c r="CA98" s="228">
        <v>109</v>
      </c>
      <c r="CB98" s="229">
        <v>3.3500000000000002E-2</v>
      </c>
      <c r="CC98" s="230">
        <v>3247</v>
      </c>
      <c r="CD98" s="230">
        <v>3153</v>
      </c>
      <c r="CE98" s="228">
        <v>94</v>
      </c>
      <c r="CF98" s="229">
        <v>2.98E-2</v>
      </c>
      <c r="CG98" s="228">
        <v>107</v>
      </c>
      <c r="CH98" s="228">
        <v>95</v>
      </c>
      <c r="CI98" s="228">
        <v>12</v>
      </c>
      <c r="CJ98" s="229">
        <v>0.1258</v>
      </c>
      <c r="CK98" s="228">
        <v>19</v>
      </c>
      <c r="CL98" s="228">
        <v>15</v>
      </c>
      <c r="CM98" s="228">
        <v>3</v>
      </c>
      <c r="CN98" s="229">
        <v>0.2208</v>
      </c>
      <c r="CO98" s="230">
        <v>2575</v>
      </c>
      <c r="CP98" s="230">
        <v>2110</v>
      </c>
      <c r="CQ98" s="228">
        <v>465</v>
      </c>
      <c r="CR98" s="229">
        <v>0.2203</v>
      </c>
      <c r="CS98" s="230">
        <v>1485</v>
      </c>
      <c r="CT98" s="230">
        <v>1323</v>
      </c>
      <c r="CU98" s="228">
        <v>162</v>
      </c>
      <c r="CV98" s="229">
        <v>0.12280000000000001</v>
      </c>
      <c r="CW98" s="230">
        <v>7433</v>
      </c>
      <c r="CX98" s="230">
        <v>6696</v>
      </c>
      <c r="CY98" s="228">
        <v>737</v>
      </c>
      <c r="CZ98" s="229">
        <v>0.11</v>
      </c>
      <c r="DA98" s="228">
        <v>40.630000000000003</v>
      </c>
      <c r="DB98" s="228">
        <v>40.25</v>
      </c>
      <c r="DC98" s="228">
        <v>0.38</v>
      </c>
      <c r="DD98" s="228">
        <v>0.38</v>
      </c>
      <c r="DE98" s="228">
        <v>39.93</v>
      </c>
      <c r="DF98" s="228">
        <v>39.72</v>
      </c>
      <c r="DG98" s="228">
        <v>0.7</v>
      </c>
      <c r="DH98" s="228">
        <v>0.21</v>
      </c>
      <c r="DI98" s="228">
        <v>38.82</v>
      </c>
      <c r="DJ98" s="228">
        <v>38.71</v>
      </c>
      <c r="DK98" s="228">
        <v>0.11</v>
      </c>
      <c r="DL98" s="228">
        <v>0.11</v>
      </c>
      <c r="DM98" s="228">
        <v>43.08</v>
      </c>
      <c r="DN98" s="228">
        <v>43.05</v>
      </c>
      <c r="DO98" s="228">
        <v>0.03</v>
      </c>
      <c r="DP98" s="228">
        <v>0.03</v>
      </c>
      <c r="DQ98" s="228">
        <v>0.57999999999999996</v>
      </c>
      <c r="DR98" s="228">
        <v>0.63</v>
      </c>
      <c r="DS98" s="228">
        <v>-0.05</v>
      </c>
      <c r="DT98" s="229">
        <v>-7.9399999999999998E-2</v>
      </c>
      <c r="DU98" s="231">
        <v>4700</v>
      </c>
      <c r="DV98" s="231">
        <v>4200</v>
      </c>
      <c r="DW98" s="228">
        <v>0.74</v>
      </c>
      <c r="DX98" s="228">
        <v>0.55000000000000004</v>
      </c>
      <c r="DY98" s="228">
        <v>0.19</v>
      </c>
      <c r="DZ98" s="229">
        <v>0.34549999999999997</v>
      </c>
      <c r="EA98" s="229">
        <v>3.73E-2</v>
      </c>
      <c r="EB98" s="230">
        <v>246900</v>
      </c>
      <c r="EC98" s="229">
        <v>3.3E-3</v>
      </c>
      <c r="ED98" s="229">
        <v>3.73E-2</v>
      </c>
      <c r="EE98" s="228">
        <v>16.5</v>
      </c>
      <c r="EF98" s="229">
        <v>3.7000000000000002E-3</v>
      </c>
      <c r="EG98" s="230">
        <v>830044</v>
      </c>
      <c r="EH98" s="230">
        <v>2157550</v>
      </c>
      <c r="EI98" s="229">
        <v>-0.61529999999999996</v>
      </c>
      <c r="EJ98" s="229">
        <v>0.4163</v>
      </c>
      <c r="EK98" s="231">
        <v>4229.0200000000004</v>
      </c>
      <c r="EL98" s="231">
        <v>2833.78</v>
      </c>
      <c r="EM98" s="228">
        <v>777.84</v>
      </c>
      <c r="EN98" s="228">
        <v>191.47</v>
      </c>
      <c r="EO98" s="231">
        <v>7840.64</v>
      </c>
      <c r="EP98" s="231">
        <v>16886.43</v>
      </c>
      <c r="EQ98" s="231">
        <v>-9045.7900000000009</v>
      </c>
      <c r="ER98" s="229">
        <v>-0.53569999999999995</v>
      </c>
      <c r="ES98" s="231">
        <v>2689.77</v>
      </c>
      <c r="ET98" s="231">
        <v>1409.98</v>
      </c>
      <c r="EU98" s="231">
        <v>3373.31</v>
      </c>
      <c r="EV98" s="231">
        <v>33878797</v>
      </c>
      <c r="EW98" s="231">
        <v>7473.07</v>
      </c>
      <c r="EX98" s="231">
        <v>6818.6</v>
      </c>
      <c r="EY98" s="228">
        <v>654.47</v>
      </c>
      <c r="EZ98" s="229">
        <v>9.6000000000000002E-2</v>
      </c>
      <c r="FA98" s="229">
        <v>0.49070000000000003</v>
      </c>
      <c r="FB98" s="227" t="s">
        <v>566</v>
      </c>
      <c r="FC98">
        <f t="shared" si="1"/>
        <v>126</v>
      </c>
    </row>
    <row r="99" spans="1:159" ht="17.25" thickBot="1" x14ac:dyDescent="0.3">
      <c r="A99" s="226">
        <v>46121</v>
      </c>
      <c r="B99" s="227" t="s">
        <v>172</v>
      </c>
      <c r="C99" s="227" t="s">
        <v>239</v>
      </c>
      <c r="D99" s="228">
        <v>700</v>
      </c>
      <c r="E99" s="228">
        <v>19</v>
      </c>
      <c r="F99" s="228">
        <v>817.25</v>
      </c>
      <c r="G99" s="228">
        <v>837.15</v>
      </c>
      <c r="H99" s="228">
        <v>-19.899999999999999</v>
      </c>
      <c r="I99" s="229">
        <v>-2.3800000000000002E-2</v>
      </c>
      <c r="J99" s="228">
        <v>814.55</v>
      </c>
      <c r="K99" s="228">
        <v>835.95</v>
      </c>
      <c r="L99" s="228">
        <v>-21.4</v>
      </c>
      <c r="M99" s="229">
        <v>-2.5600000000000001E-2</v>
      </c>
      <c r="N99" s="228">
        <v>817.25</v>
      </c>
      <c r="O99" s="228">
        <v>837.15</v>
      </c>
      <c r="P99" s="228">
        <v>-19.899999999999999</v>
      </c>
      <c r="Q99" s="229">
        <v>-2.3800000000000002E-2</v>
      </c>
      <c r="R99" s="228">
        <v>821.35</v>
      </c>
      <c r="S99" s="228">
        <v>841.95</v>
      </c>
      <c r="T99" s="228">
        <v>-20.6</v>
      </c>
      <c r="U99" s="229">
        <v>-2.4500000000000001E-2</v>
      </c>
      <c r="V99" s="228">
        <v>823.05</v>
      </c>
      <c r="W99" s="228">
        <v>846.3</v>
      </c>
      <c r="X99" s="228">
        <v>-23.25</v>
      </c>
      <c r="Y99" s="229">
        <v>-2.75E-2</v>
      </c>
      <c r="Z99" s="228">
        <v>2.7</v>
      </c>
      <c r="AA99" s="228">
        <v>1.2</v>
      </c>
      <c r="AB99" s="228">
        <v>1.5</v>
      </c>
      <c r="AC99" s="229">
        <v>3.3E-3</v>
      </c>
      <c r="AD99" s="228">
        <v>2.7</v>
      </c>
      <c r="AE99" s="228">
        <v>1.2</v>
      </c>
      <c r="AF99" s="228">
        <v>1.5</v>
      </c>
      <c r="AG99" s="229">
        <v>3.3E-3</v>
      </c>
      <c r="AH99" s="228">
        <v>6.8</v>
      </c>
      <c r="AI99" s="228">
        <v>6</v>
      </c>
      <c r="AJ99" s="228">
        <v>0.8</v>
      </c>
      <c r="AK99" s="229">
        <v>8.3000000000000001E-3</v>
      </c>
      <c r="AL99" s="228">
        <v>8.5</v>
      </c>
      <c r="AM99" s="228">
        <v>10.35</v>
      </c>
      <c r="AN99" s="228">
        <v>-1.85</v>
      </c>
      <c r="AO99" s="229">
        <v>1.04E-2</v>
      </c>
      <c r="AP99" s="228">
        <v>823.48</v>
      </c>
      <c r="AQ99" s="228">
        <v>829.25</v>
      </c>
      <c r="AR99" s="228">
        <v>0</v>
      </c>
      <c r="AS99" s="228">
        <v>482</v>
      </c>
      <c r="AT99" s="228">
        <v>547</v>
      </c>
      <c r="AU99" s="228">
        <v>-66</v>
      </c>
      <c r="AV99" s="229">
        <v>-0.1203</v>
      </c>
      <c r="AW99" s="228">
        <v>407</v>
      </c>
      <c r="AX99" s="228">
        <v>520</v>
      </c>
      <c r="AY99" s="228">
        <v>-113</v>
      </c>
      <c r="AZ99" s="229">
        <v>-0.21659999999999999</v>
      </c>
      <c r="BA99" s="228">
        <v>46</v>
      </c>
      <c r="BB99" s="228">
        <v>21</v>
      </c>
      <c r="BC99" s="228">
        <v>26</v>
      </c>
      <c r="BD99" s="229">
        <v>1.2347999999999999</v>
      </c>
      <c r="BE99" s="228">
        <v>28</v>
      </c>
      <c r="BF99" s="228">
        <v>7</v>
      </c>
      <c r="BG99" s="228">
        <v>21</v>
      </c>
      <c r="BH99" s="229">
        <v>2.9758</v>
      </c>
      <c r="BI99" s="228">
        <v>563</v>
      </c>
      <c r="BJ99" s="228">
        <v>768</v>
      </c>
      <c r="BK99" s="228">
        <v>-204</v>
      </c>
      <c r="BL99" s="229">
        <v>-0.2661</v>
      </c>
      <c r="BM99" s="228">
        <v>398</v>
      </c>
      <c r="BN99" s="228">
        <v>633</v>
      </c>
      <c r="BO99" s="228">
        <v>-235</v>
      </c>
      <c r="BP99" s="229">
        <v>-0.37169999999999997</v>
      </c>
      <c r="BQ99" s="230">
        <v>1443</v>
      </c>
      <c r="BR99" s="230">
        <v>1948</v>
      </c>
      <c r="BS99" s="228">
        <v>-506</v>
      </c>
      <c r="BT99" s="229">
        <v>-0.25950000000000001</v>
      </c>
      <c r="BU99" s="230">
        <v>3230444</v>
      </c>
      <c r="BV99" s="230">
        <v>3636229</v>
      </c>
      <c r="BW99" s="230">
        <v>-405785</v>
      </c>
      <c r="BX99" s="229">
        <v>-0.1116</v>
      </c>
      <c r="BY99" s="230">
        <v>3145</v>
      </c>
      <c r="BZ99" s="230">
        <v>3167</v>
      </c>
      <c r="CA99" s="228">
        <v>-22</v>
      </c>
      <c r="CB99" s="229">
        <v>-6.7999999999999996E-3</v>
      </c>
      <c r="CC99" s="230">
        <v>3023</v>
      </c>
      <c r="CD99" s="230">
        <v>3061</v>
      </c>
      <c r="CE99" s="228">
        <v>-38</v>
      </c>
      <c r="CF99" s="229">
        <v>-1.24E-2</v>
      </c>
      <c r="CG99" s="228">
        <v>98</v>
      </c>
      <c r="CH99" s="228">
        <v>93</v>
      </c>
      <c r="CI99" s="228">
        <v>6</v>
      </c>
      <c r="CJ99" s="229">
        <v>6.1800000000000001E-2</v>
      </c>
      <c r="CK99" s="228">
        <v>24</v>
      </c>
      <c r="CL99" s="228">
        <v>14</v>
      </c>
      <c r="CM99" s="228">
        <v>11</v>
      </c>
      <c r="CN99" s="229">
        <v>0.76859999999999995</v>
      </c>
      <c r="CO99" s="228">
        <v>482</v>
      </c>
      <c r="CP99" s="228">
        <v>457</v>
      </c>
      <c r="CQ99" s="228">
        <v>25</v>
      </c>
      <c r="CR99" s="229">
        <v>5.5199999999999999E-2</v>
      </c>
      <c r="CS99" s="228">
        <v>508</v>
      </c>
      <c r="CT99" s="228">
        <v>470</v>
      </c>
      <c r="CU99" s="228">
        <v>38</v>
      </c>
      <c r="CV99" s="229">
        <v>8.0699999999999994E-2</v>
      </c>
      <c r="CW99" s="230">
        <v>4135</v>
      </c>
      <c r="CX99" s="230">
        <v>4094</v>
      </c>
      <c r="CY99" s="228">
        <v>42</v>
      </c>
      <c r="CZ99" s="229">
        <v>1.0200000000000001E-2</v>
      </c>
      <c r="DA99" s="228">
        <v>40.06</v>
      </c>
      <c r="DB99" s="228">
        <v>38.9</v>
      </c>
      <c r="DC99" s="228">
        <v>1.1599999999999999</v>
      </c>
      <c r="DD99" s="228">
        <v>1.1599999999999999</v>
      </c>
      <c r="DE99" s="228">
        <v>43.62</v>
      </c>
      <c r="DF99" s="228">
        <v>43.59</v>
      </c>
      <c r="DG99" s="228">
        <v>-3.56</v>
      </c>
      <c r="DH99" s="228">
        <v>0.03</v>
      </c>
      <c r="DI99" s="228">
        <v>37.92</v>
      </c>
      <c r="DJ99" s="228">
        <v>36.56</v>
      </c>
      <c r="DK99" s="228">
        <v>1.36</v>
      </c>
      <c r="DL99" s="228">
        <v>1.36</v>
      </c>
      <c r="DM99" s="228">
        <v>43.09</v>
      </c>
      <c r="DN99" s="228">
        <v>41.74</v>
      </c>
      <c r="DO99" s="228">
        <v>1.35</v>
      </c>
      <c r="DP99" s="228">
        <v>1.35</v>
      </c>
      <c r="DQ99" s="228">
        <v>1.05</v>
      </c>
      <c r="DR99" s="228">
        <v>1.03</v>
      </c>
      <c r="DS99" s="228">
        <v>0.02</v>
      </c>
      <c r="DT99" s="229">
        <v>1.9400000000000001E-2</v>
      </c>
      <c r="DU99" s="228">
        <v>900</v>
      </c>
      <c r="DV99" s="228">
        <v>780</v>
      </c>
      <c r="DW99" s="228">
        <v>0.71</v>
      </c>
      <c r="DX99" s="228">
        <v>0.82</v>
      </c>
      <c r="DY99" s="228">
        <v>-0.11</v>
      </c>
      <c r="DZ99" s="229">
        <v>-0.1341</v>
      </c>
      <c r="EA99" s="229">
        <v>3.9E-2</v>
      </c>
      <c r="EB99" s="230">
        <v>1301300</v>
      </c>
      <c r="EC99" s="229">
        <v>5.0000000000000001E-3</v>
      </c>
      <c r="ED99" s="229">
        <v>3.9E-2</v>
      </c>
      <c r="EE99" s="228">
        <v>5.77</v>
      </c>
      <c r="EF99" s="229">
        <v>7.0000000000000001E-3</v>
      </c>
      <c r="EG99" s="230">
        <v>1515618</v>
      </c>
      <c r="EH99" s="230">
        <v>1606471</v>
      </c>
      <c r="EI99" s="229">
        <v>-5.6599999999999998E-2</v>
      </c>
      <c r="EJ99" s="229">
        <v>0.46920000000000001</v>
      </c>
      <c r="EK99" s="228">
        <v>598.94000000000005</v>
      </c>
      <c r="EL99" s="228">
        <v>394.7</v>
      </c>
      <c r="EM99" s="228">
        <v>485.85</v>
      </c>
      <c r="EN99" s="228">
        <v>75.31</v>
      </c>
      <c r="EO99" s="231">
        <v>1479.49</v>
      </c>
      <c r="EP99" s="231">
        <v>2008.07</v>
      </c>
      <c r="EQ99" s="228">
        <v>-528.58000000000004</v>
      </c>
      <c r="ER99" s="229">
        <v>-0.26319999999999999</v>
      </c>
      <c r="ES99" s="228">
        <v>496.93</v>
      </c>
      <c r="ET99" s="228">
        <v>488.82</v>
      </c>
      <c r="EU99" s="231">
        <v>3146.11</v>
      </c>
      <c r="EV99" s="231">
        <v>93808799</v>
      </c>
      <c r="EW99" s="231">
        <v>4131.8500000000004</v>
      </c>
      <c r="EX99" s="231">
        <v>4169.1000000000004</v>
      </c>
      <c r="EY99" s="228">
        <v>-37.25</v>
      </c>
      <c r="EZ99" s="229">
        <v>-8.8999999999999999E-3</v>
      </c>
      <c r="FA99" s="229">
        <v>0.53939999999999999</v>
      </c>
      <c r="FB99" s="227" t="s">
        <v>567</v>
      </c>
      <c r="FC99">
        <f t="shared" si="1"/>
        <v>122</v>
      </c>
    </row>
    <row r="100" spans="1:159" ht="17.25" thickBot="1" x14ac:dyDescent="0.3">
      <c r="A100" s="226">
        <v>46121</v>
      </c>
      <c r="B100" s="227" t="s">
        <v>188</v>
      </c>
      <c r="C100" s="227" t="s">
        <v>473</v>
      </c>
      <c r="D100" s="228">
        <v>1700</v>
      </c>
      <c r="E100" s="228">
        <v>19</v>
      </c>
      <c r="F100" s="228">
        <v>439.7</v>
      </c>
      <c r="G100" s="228">
        <v>442.65</v>
      </c>
      <c r="H100" s="228">
        <v>-2.95</v>
      </c>
      <c r="I100" s="229">
        <v>-6.7000000000000002E-3</v>
      </c>
      <c r="J100" s="228">
        <v>438.45</v>
      </c>
      <c r="K100" s="228">
        <v>440.95</v>
      </c>
      <c r="L100" s="228">
        <v>-2.5</v>
      </c>
      <c r="M100" s="229">
        <v>-5.7000000000000002E-3</v>
      </c>
      <c r="N100" s="228">
        <v>439.7</v>
      </c>
      <c r="O100" s="228">
        <v>442.65</v>
      </c>
      <c r="P100" s="228">
        <v>-2.95</v>
      </c>
      <c r="Q100" s="229">
        <v>-6.7000000000000002E-3</v>
      </c>
      <c r="R100" s="228">
        <v>442</v>
      </c>
      <c r="S100" s="228">
        <v>445.3</v>
      </c>
      <c r="T100" s="228">
        <v>-3.3</v>
      </c>
      <c r="U100" s="229">
        <v>-7.4000000000000003E-3</v>
      </c>
      <c r="V100" s="228">
        <v>444.85</v>
      </c>
      <c r="W100" s="228">
        <v>447.65</v>
      </c>
      <c r="X100" s="228">
        <v>-2.8</v>
      </c>
      <c r="Y100" s="229">
        <v>-6.3E-3</v>
      </c>
      <c r="Z100" s="228">
        <v>1.25</v>
      </c>
      <c r="AA100" s="228">
        <v>1.7</v>
      </c>
      <c r="AB100" s="228">
        <v>-0.45</v>
      </c>
      <c r="AC100" s="229">
        <v>2.8999999999999998E-3</v>
      </c>
      <c r="AD100" s="228">
        <v>1.25</v>
      </c>
      <c r="AE100" s="228">
        <v>1.7</v>
      </c>
      <c r="AF100" s="228">
        <v>-0.45</v>
      </c>
      <c r="AG100" s="229">
        <v>2.8999999999999998E-3</v>
      </c>
      <c r="AH100" s="228">
        <v>3.55</v>
      </c>
      <c r="AI100" s="228">
        <v>4.3499999999999996</v>
      </c>
      <c r="AJ100" s="228">
        <v>-0.8</v>
      </c>
      <c r="AK100" s="229">
        <v>8.0999999999999996E-3</v>
      </c>
      <c r="AL100" s="228">
        <v>6.4</v>
      </c>
      <c r="AM100" s="228">
        <v>6.7</v>
      </c>
      <c r="AN100" s="228">
        <v>-0.3</v>
      </c>
      <c r="AO100" s="229">
        <v>1.46E-2</v>
      </c>
      <c r="AP100" s="228">
        <v>438.48</v>
      </c>
      <c r="AQ100" s="228">
        <v>441.48</v>
      </c>
      <c r="AR100" s="228">
        <v>0</v>
      </c>
      <c r="AS100" s="228">
        <v>377</v>
      </c>
      <c r="AT100" s="228">
        <v>502</v>
      </c>
      <c r="AU100" s="228">
        <v>-125</v>
      </c>
      <c r="AV100" s="229">
        <v>-0.24879999999999999</v>
      </c>
      <c r="AW100" s="228">
        <v>365</v>
      </c>
      <c r="AX100" s="228">
        <v>483</v>
      </c>
      <c r="AY100" s="228">
        <v>-118</v>
      </c>
      <c r="AZ100" s="229">
        <v>-0.2445</v>
      </c>
      <c r="BA100" s="228">
        <v>11</v>
      </c>
      <c r="BB100" s="228">
        <v>17</v>
      </c>
      <c r="BC100" s="228">
        <v>-6</v>
      </c>
      <c r="BD100" s="229">
        <v>-0.35239999999999999</v>
      </c>
      <c r="BE100" s="228">
        <v>1</v>
      </c>
      <c r="BF100" s="228">
        <v>2</v>
      </c>
      <c r="BG100" s="228">
        <v>-1</v>
      </c>
      <c r="BH100" s="229">
        <v>-0.4</v>
      </c>
      <c r="BI100" s="228">
        <v>853</v>
      </c>
      <c r="BJ100" s="230">
        <v>1229</v>
      </c>
      <c r="BK100" s="228">
        <v>-377</v>
      </c>
      <c r="BL100" s="229">
        <v>-0.30640000000000001</v>
      </c>
      <c r="BM100" s="228">
        <v>324</v>
      </c>
      <c r="BN100" s="228">
        <v>540</v>
      </c>
      <c r="BO100" s="228">
        <v>-216</v>
      </c>
      <c r="BP100" s="229">
        <v>-0.40050000000000002</v>
      </c>
      <c r="BQ100" s="230">
        <v>1553</v>
      </c>
      <c r="BR100" s="230">
        <v>2271</v>
      </c>
      <c r="BS100" s="228">
        <v>-718</v>
      </c>
      <c r="BT100" s="229">
        <v>-0.316</v>
      </c>
      <c r="BU100" s="230">
        <v>3575982</v>
      </c>
      <c r="BV100" s="230">
        <v>3379265</v>
      </c>
      <c r="BW100" s="230">
        <v>196717</v>
      </c>
      <c r="BX100" s="229">
        <v>5.8200000000000002E-2</v>
      </c>
      <c r="BY100" s="230">
        <v>2889</v>
      </c>
      <c r="BZ100" s="230">
        <v>2843</v>
      </c>
      <c r="CA100" s="228">
        <v>45</v>
      </c>
      <c r="CB100" s="229">
        <v>1.6E-2</v>
      </c>
      <c r="CC100" s="230">
        <v>2851</v>
      </c>
      <c r="CD100" s="230">
        <v>2810</v>
      </c>
      <c r="CE100" s="228">
        <v>41</v>
      </c>
      <c r="CF100" s="229">
        <v>1.46E-2</v>
      </c>
      <c r="CG100" s="228">
        <v>33</v>
      </c>
      <c r="CH100" s="228">
        <v>30</v>
      </c>
      <c r="CI100" s="228">
        <v>3</v>
      </c>
      <c r="CJ100" s="229">
        <v>0.1125</v>
      </c>
      <c r="CK100" s="228">
        <v>4</v>
      </c>
      <c r="CL100" s="228">
        <v>3</v>
      </c>
      <c r="CM100" s="228">
        <v>1</v>
      </c>
      <c r="CN100" s="229">
        <v>0.31709999999999999</v>
      </c>
      <c r="CO100" s="228">
        <v>546</v>
      </c>
      <c r="CP100" s="228">
        <v>412</v>
      </c>
      <c r="CQ100" s="228">
        <v>134</v>
      </c>
      <c r="CR100" s="229">
        <v>0.3256</v>
      </c>
      <c r="CS100" s="228">
        <v>382</v>
      </c>
      <c r="CT100" s="228">
        <v>371</v>
      </c>
      <c r="CU100" s="228">
        <v>11</v>
      </c>
      <c r="CV100" s="229">
        <v>3.09E-2</v>
      </c>
      <c r="CW100" s="230">
        <v>3816</v>
      </c>
      <c r="CX100" s="230">
        <v>3626</v>
      </c>
      <c r="CY100" s="228">
        <v>191</v>
      </c>
      <c r="CZ100" s="229">
        <v>5.2600000000000001E-2</v>
      </c>
      <c r="DA100" s="228">
        <v>32.82</v>
      </c>
      <c r="DB100" s="228">
        <v>32.5</v>
      </c>
      <c r="DC100" s="228">
        <v>0.32</v>
      </c>
      <c r="DD100" s="228">
        <v>0.32</v>
      </c>
      <c r="DE100" s="228">
        <v>37.72</v>
      </c>
      <c r="DF100" s="228">
        <v>37.81</v>
      </c>
      <c r="DG100" s="228">
        <v>-4.9000000000000004</v>
      </c>
      <c r="DH100" s="228">
        <v>-0.09</v>
      </c>
      <c r="DI100" s="228">
        <v>32.369999999999997</v>
      </c>
      <c r="DJ100" s="228">
        <v>32.04</v>
      </c>
      <c r="DK100" s="228">
        <v>0.33</v>
      </c>
      <c r="DL100" s="228">
        <v>0.33</v>
      </c>
      <c r="DM100" s="228">
        <v>34</v>
      </c>
      <c r="DN100" s="228">
        <v>33.54</v>
      </c>
      <c r="DO100" s="228">
        <v>0.46</v>
      </c>
      <c r="DP100" s="228">
        <v>0.46</v>
      </c>
      <c r="DQ100" s="228">
        <v>0.7</v>
      </c>
      <c r="DR100" s="228">
        <v>0.9</v>
      </c>
      <c r="DS100" s="228">
        <v>-0.2</v>
      </c>
      <c r="DT100" s="229">
        <v>-0.22220000000000001</v>
      </c>
      <c r="DU100" s="228">
        <v>440</v>
      </c>
      <c r="DV100" s="228">
        <v>430</v>
      </c>
      <c r="DW100" s="228">
        <v>0.38</v>
      </c>
      <c r="DX100" s="228">
        <v>0.44</v>
      </c>
      <c r="DY100" s="228">
        <v>-0.06</v>
      </c>
      <c r="DZ100" s="229">
        <v>-0.13639999999999999</v>
      </c>
      <c r="EA100" s="229">
        <v>1.29E-2</v>
      </c>
      <c r="EB100" s="230">
        <v>749700</v>
      </c>
      <c r="EC100" s="229">
        <v>5.1999999999999998E-3</v>
      </c>
      <c r="ED100" s="229">
        <v>1.29E-2</v>
      </c>
      <c r="EE100" s="228">
        <v>3</v>
      </c>
      <c r="EF100" s="229">
        <v>6.7999999999999996E-3</v>
      </c>
      <c r="EG100" s="230">
        <v>1488004</v>
      </c>
      <c r="EH100" s="230">
        <v>1568321</v>
      </c>
      <c r="EI100" s="229">
        <v>-5.1200000000000002E-2</v>
      </c>
      <c r="EJ100" s="229">
        <v>0.41610000000000003</v>
      </c>
      <c r="EK100" s="228">
        <v>902.28</v>
      </c>
      <c r="EL100" s="228">
        <v>319.12</v>
      </c>
      <c r="EM100" s="228">
        <v>376.16</v>
      </c>
      <c r="EN100" s="228">
        <v>42.81</v>
      </c>
      <c r="EO100" s="231">
        <v>1597.55</v>
      </c>
      <c r="EP100" s="231">
        <v>2320.36</v>
      </c>
      <c r="EQ100" s="228">
        <v>-722.81</v>
      </c>
      <c r="ER100" s="229">
        <v>-0.3115</v>
      </c>
      <c r="ES100" s="228">
        <v>570.20000000000005</v>
      </c>
      <c r="ET100" s="228">
        <v>360.5</v>
      </c>
      <c r="EU100" s="231">
        <v>2888.82</v>
      </c>
      <c r="EV100" s="231">
        <v>193625858</v>
      </c>
      <c r="EW100" s="231">
        <v>3819.52</v>
      </c>
      <c r="EX100" s="231">
        <v>3639.11</v>
      </c>
      <c r="EY100" s="228">
        <v>180.41</v>
      </c>
      <c r="EZ100" s="229">
        <v>4.9599999999999998E-2</v>
      </c>
      <c r="FA100" s="229">
        <v>0.44829999999999998</v>
      </c>
      <c r="FB100" s="227" t="s">
        <v>566</v>
      </c>
      <c r="FC100">
        <f t="shared" si="1"/>
        <v>38</v>
      </c>
    </row>
    <row r="101" spans="1:159" ht="17.25" thickBot="1" x14ac:dyDescent="0.3">
      <c r="A101" s="226">
        <v>46121</v>
      </c>
      <c r="B101" s="227" t="s">
        <v>221</v>
      </c>
      <c r="C101" s="227" t="s">
        <v>240</v>
      </c>
      <c r="D101" s="228">
        <v>400</v>
      </c>
      <c r="E101" s="228">
        <v>19</v>
      </c>
      <c r="F101" s="231">
        <v>1332.5</v>
      </c>
      <c r="G101" s="231">
        <v>1344</v>
      </c>
      <c r="H101" s="228">
        <v>-11.5</v>
      </c>
      <c r="I101" s="229">
        <v>-8.6E-3</v>
      </c>
      <c r="J101" s="231">
        <v>1331.6</v>
      </c>
      <c r="K101" s="231">
        <v>1346.2</v>
      </c>
      <c r="L101" s="228">
        <v>-14.6</v>
      </c>
      <c r="M101" s="229">
        <v>-1.0800000000000001E-2</v>
      </c>
      <c r="N101" s="231">
        <v>1332.5</v>
      </c>
      <c r="O101" s="231">
        <v>1344</v>
      </c>
      <c r="P101" s="228">
        <v>-11.5</v>
      </c>
      <c r="Q101" s="229">
        <v>-8.6E-3</v>
      </c>
      <c r="R101" s="231">
        <v>1334.3</v>
      </c>
      <c r="S101" s="231">
        <v>1343.4</v>
      </c>
      <c r="T101" s="228">
        <v>-9.1</v>
      </c>
      <c r="U101" s="229">
        <v>-6.7999999999999996E-3</v>
      </c>
      <c r="V101" s="231">
        <v>1330.3</v>
      </c>
      <c r="W101" s="231">
        <v>1340.8</v>
      </c>
      <c r="X101" s="228">
        <v>-10.5</v>
      </c>
      <c r="Y101" s="229">
        <v>-7.7999999999999996E-3</v>
      </c>
      <c r="Z101" s="228">
        <v>0.9</v>
      </c>
      <c r="AA101" s="228">
        <v>-2.2000000000000002</v>
      </c>
      <c r="AB101" s="228">
        <v>3.1</v>
      </c>
      <c r="AC101" s="229">
        <v>6.9999999999999999E-4</v>
      </c>
      <c r="AD101" s="228">
        <v>0.9</v>
      </c>
      <c r="AE101" s="228">
        <v>-2.2000000000000002</v>
      </c>
      <c r="AF101" s="228">
        <v>3.1</v>
      </c>
      <c r="AG101" s="229">
        <v>6.9999999999999999E-4</v>
      </c>
      <c r="AH101" s="228">
        <v>2.7</v>
      </c>
      <c r="AI101" s="228">
        <v>-2.8</v>
      </c>
      <c r="AJ101" s="228">
        <v>5.5</v>
      </c>
      <c r="AK101" s="229">
        <v>2E-3</v>
      </c>
      <c r="AL101" s="228">
        <v>-1.3</v>
      </c>
      <c r="AM101" s="228">
        <v>-5.4</v>
      </c>
      <c r="AN101" s="228">
        <v>4.0999999999999996</v>
      </c>
      <c r="AO101" s="229">
        <v>-1E-3</v>
      </c>
      <c r="AP101" s="231">
        <v>1323.39</v>
      </c>
      <c r="AQ101" s="231">
        <v>1323.57</v>
      </c>
      <c r="AR101" s="228">
        <v>0</v>
      </c>
      <c r="AS101" s="230">
        <v>1557</v>
      </c>
      <c r="AT101" s="230">
        <v>1754</v>
      </c>
      <c r="AU101" s="228">
        <v>-197</v>
      </c>
      <c r="AV101" s="229">
        <v>-0.1123</v>
      </c>
      <c r="AW101" s="230">
        <v>1390</v>
      </c>
      <c r="AX101" s="230">
        <v>1602</v>
      </c>
      <c r="AY101" s="228">
        <v>-212</v>
      </c>
      <c r="AZ101" s="229">
        <v>-0.13239999999999999</v>
      </c>
      <c r="BA101" s="228">
        <v>132</v>
      </c>
      <c r="BB101" s="228">
        <v>111</v>
      </c>
      <c r="BC101" s="228">
        <v>21</v>
      </c>
      <c r="BD101" s="229">
        <v>0.19070000000000001</v>
      </c>
      <c r="BE101" s="228">
        <v>36</v>
      </c>
      <c r="BF101" s="228">
        <v>42</v>
      </c>
      <c r="BG101" s="228">
        <v>-6</v>
      </c>
      <c r="BH101" s="229">
        <v>-0.1449</v>
      </c>
      <c r="BI101" s="230">
        <v>3264</v>
      </c>
      <c r="BJ101" s="230">
        <v>4127</v>
      </c>
      <c r="BK101" s="228">
        <v>-863</v>
      </c>
      <c r="BL101" s="229">
        <v>-0.20910000000000001</v>
      </c>
      <c r="BM101" s="230">
        <v>1738</v>
      </c>
      <c r="BN101" s="230">
        <v>1920</v>
      </c>
      <c r="BO101" s="228">
        <v>-183</v>
      </c>
      <c r="BP101" s="229">
        <v>-9.5200000000000007E-2</v>
      </c>
      <c r="BQ101" s="230">
        <v>6558</v>
      </c>
      <c r="BR101" s="230">
        <v>7801</v>
      </c>
      <c r="BS101" s="230">
        <v>-1243</v>
      </c>
      <c r="BT101" s="229">
        <v>-0.1593</v>
      </c>
      <c r="BU101" s="230">
        <v>16821840</v>
      </c>
      <c r="BV101" s="230">
        <v>17478809</v>
      </c>
      <c r="BW101" s="230">
        <v>-656969</v>
      </c>
      <c r="BX101" s="229">
        <v>-3.7600000000000001E-2</v>
      </c>
      <c r="BY101" s="230">
        <v>10242</v>
      </c>
      <c r="BZ101" s="230">
        <v>10291</v>
      </c>
      <c r="CA101" s="228">
        <v>-48</v>
      </c>
      <c r="CB101" s="229">
        <v>-4.7000000000000002E-3</v>
      </c>
      <c r="CC101" s="230">
        <v>9870</v>
      </c>
      <c r="CD101" s="230">
        <v>9955</v>
      </c>
      <c r="CE101" s="228">
        <v>-86</v>
      </c>
      <c r="CF101" s="229">
        <v>-8.6E-3</v>
      </c>
      <c r="CG101" s="228">
        <v>290</v>
      </c>
      <c r="CH101" s="228">
        <v>256</v>
      </c>
      <c r="CI101" s="228">
        <v>34</v>
      </c>
      <c r="CJ101" s="229">
        <v>0.1331</v>
      </c>
      <c r="CK101" s="228">
        <v>82</v>
      </c>
      <c r="CL101" s="228">
        <v>79</v>
      </c>
      <c r="CM101" s="228">
        <v>3</v>
      </c>
      <c r="CN101" s="229">
        <v>4.0500000000000001E-2</v>
      </c>
      <c r="CO101" s="230">
        <v>2792</v>
      </c>
      <c r="CP101" s="230">
        <v>2578</v>
      </c>
      <c r="CQ101" s="228">
        <v>214</v>
      </c>
      <c r="CR101" s="229">
        <v>8.3099999999999993E-2</v>
      </c>
      <c r="CS101" s="230">
        <v>2134</v>
      </c>
      <c r="CT101" s="230">
        <v>2056</v>
      </c>
      <c r="CU101" s="228">
        <v>78</v>
      </c>
      <c r="CV101" s="229">
        <v>3.78E-2</v>
      </c>
      <c r="CW101" s="230">
        <v>15168</v>
      </c>
      <c r="CX101" s="230">
        <v>14925</v>
      </c>
      <c r="CY101" s="228">
        <v>244</v>
      </c>
      <c r="CZ101" s="229">
        <v>1.6299999999999999E-2</v>
      </c>
      <c r="DA101" s="228">
        <v>37.21</v>
      </c>
      <c r="DB101" s="228">
        <v>35.979999999999997</v>
      </c>
      <c r="DC101" s="228">
        <v>1.23</v>
      </c>
      <c r="DD101" s="228">
        <v>1.23</v>
      </c>
      <c r="DE101" s="228">
        <v>30.86</v>
      </c>
      <c r="DF101" s="228">
        <v>30.9</v>
      </c>
      <c r="DG101" s="228">
        <v>6.35</v>
      </c>
      <c r="DH101" s="228">
        <v>-0.04</v>
      </c>
      <c r="DI101" s="228">
        <v>36.090000000000003</v>
      </c>
      <c r="DJ101" s="228">
        <v>34.630000000000003</v>
      </c>
      <c r="DK101" s="228">
        <v>1.46</v>
      </c>
      <c r="DL101" s="228">
        <v>1.46</v>
      </c>
      <c r="DM101" s="228">
        <v>39.32</v>
      </c>
      <c r="DN101" s="228">
        <v>38.9</v>
      </c>
      <c r="DO101" s="228">
        <v>0.42</v>
      </c>
      <c r="DP101" s="228">
        <v>0.42</v>
      </c>
      <c r="DQ101" s="228">
        <v>0.76</v>
      </c>
      <c r="DR101" s="228">
        <v>0.8</v>
      </c>
      <c r="DS101" s="228">
        <v>-0.04</v>
      </c>
      <c r="DT101" s="229">
        <v>-0.05</v>
      </c>
      <c r="DU101" s="231">
        <v>1400</v>
      </c>
      <c r="DV101" s="231">
        <v>1280</v>
      </c>
      <c r="DW101" s="228">
        <v>0.53</v>
      </c>
      <c r="DX101" s="228">
        <v>0.47</v>
      </c>
      <c r="DY101" s="228">
        <v>0.06</v>
      </c>
      <c r="DZ101" s="229">
        <v>0.12770000000000001</v>
      </c>
      <c r="EA101" s="229">
        <v>3.6400000000000002E-2</v>
      </c>
      <c r="EB101" s="230">
        <v>2516400</v>
      </c>
      <c r="EC101" s="229">
        <v>1.4E-3</v>
      </c>
      <c r="ED101" s="229">
        <v>3.6400000000000002E-2</v>
      </c>
      <c r="EE101" s="228">
        <v>0.18</v>
      </c>
      <c r="EF101" s="229">
        <v>1E-4</v>
      </c>
      <c r="EG101" s="230">
        <v>7424410</v>
      </c>
      <c r="EH101" s="230">
        <v>9478487</v>
      </c>
      <c r="EI101" s="229">
        <v>-0.2167</v>
      </c>
      <c r="EJ101" s="229">
        <v>0.44140000000000001</v>
      </c>
      <c r="EK101" s="231">
        <v>3436.79</v>
      </c>
      <c r="EL101" s="231">
        <v>1697.39</v>
      </c>
      <c r="EM101" s="231">
        <v>1546.36</v>
      </c>
      <c r="EN101" s="228">
        <v>260.37</v>
      </c>
      <c r="EO101" s="231">
        <v>6680.54</v>
      </c>
      <c r="EP101" s="231">
        <v>8030.31</v>
      </c>
      <c r="EQ101" s="231">
        <v>-1349.77</v>
      </c>
      <c r="ER101" s="229">
        <v>-0.1681</v>
      </c>
      <c r="ES101" s="231">
        <v>2869.23</v>
      </c>
      <c r="ET101" s="231">
        <v>2046.4</v>
      </c>
      <c r="EU101" s="231">
        <v>10242.540000000001</v>
      </c>
      <c r="EV101" s="231">
        <v>475237614</v>
      </c>
      <c r="EW101" s="231">
        <v>15158.18</v>
      </c>
      <c r="EX101" s="231">
        <v>15000.17</v>
      </c>
      <c r="EY101" s="228">
        <v>158.01</v>
      </c>
      <c r="EZ101" s="229">
        <v>1.0500000000000001E-2</v>
      </c>
      <c r="FA101" s="229">
        <v>0.23949999999999999</v>
      </c>
      <c r="FB101" s="227" t="s">
        <v>567</v>
      </c>
      <c r="FC101">
        <f t="shared" si="1"/>
        <v>372</v>
      </c>
    </row>
    <row r="102" spans="1:159" ht="17.25" thickBot="1" x14ac:dyDescent="0.3">
      <c r="A102" s="226">
        <v>46121</v>
      </c>
      <c r="B102" s="227" t="s">
        <v>161</v>
      </c>
      <c r="C102" s="227" t="s">
        <v>667</v>
      </c>
      <c r="D102" s="228">
        <v>3575</v>
      </c>
      <c r="E102" s="228">
        <v>19</v>
      </c>
      <c r="F102" s="228">
        <v>85.73</v>
      </c>
      <c r="G102" s="228">
        <v>86.96</v>
      </c>
      <c r="H102" s="228">
        <v>-1.23</v>
      </c>
      <c r="I102" s="229">
        <v>-1.41E-2</v>
      </c>
      <c r="J102" s="228">
        <v>85.39</v>
      </c>
      <c r="K102" s="228">
        <v>86.51</v>
      </c>
      <c r="L102" s="228">
        <v>-1.1200000000000001</v>
      </c>
      <c r="M102" s="229">
        <v>-1.29E-2</v>
      </c>
      <c r="N102" s="228">
        <v>85.73</v>
      </c>
      <c r="O102" s="228">
        <v>86.96</v>
      </c>
      <c r="P102" s="228">
        <v>-1.23</v>
      </c>
      <c r="Q102" s="229">
        <v>-1.41E-2</v>
      </c>
      <c r="R102" s="228">
        <v>86.16</v>
      </c>
      <c r="S102" s="228">
        <v>87.49</v>
      </c>
      <c r="T102" s="228">
        <v>-1.33</v>
      </c>
      <c r="U102" s="229">
        <v>-1.52E-2</v>
      </c>
      <c r="V102" s="228">
        <v>86.73</v>
      </c>
      <c r="W102" s="228">
        <v>88.01</v>
      </c>
      <c r="X102" s="228">
        <v>-1.28</v>
      </c>
      <c r="Y102" s="229">
        <v>-1.4500000000000001E-2</v>
      </c>
      <c r="Z102" s="228">
        <v>0.34</v>
      </c>
      <c r="AA102" s="228">
        <v>0.45</v>
      </c>
      <c r="AB102" s="228">
        <v>-0.11</v>
      </c>
      <c r="AC102" s="229">
        <v>4.0000000000000001E-3</v>
      </c>
      <c r="AD102" s="228">
        <v>0.34</v>
      </c>
      <c r="AE102" s="228">
        <v>0.45</v>
      </c>
      <c r="AF102" s="228">
        <v>-0.11</v>
      </c>
      <c r="AG102" s="229">
        <v>4.0000000000000001E-3</v>
      </c>
      <c r="AH102" s="228">
        <v>0.77</v>
      </c>
      <c r="AI102" s="228">
        <v>0.98</v>
      </c>
      <c r="AJ102" s="228">
        <v>-0.21</v>
      </c>
      <c r="AK102" s="229">
        <v>8.9999999999999993E-3</v>
      </c>
      <c r="AL102" s="228">
        <v>1.34</v>
      </c>
      <c r="AM102" s="228">
        <v>1.5</v>
      </c>
      <c r="AN102" s="228">
        <v>-0.16</v>
      </c>
      <c r="AO102" s="229">
        <v>1.5699999999999999E-2</v>
      </c>
      <c r="AP102" s="228">
        <v>85.97</v>
      </c>
      <c r="AQ102" s="228">
        <v>86.68</v>
      </c>
      <c r="AR102" s="228">
        <v>0</v>
      </c>
      <c r="AS102" s="228">
        <v>83</v>
      </c>
      <c r="AT102" s="228">
        <v>107</v>
      </c>
      <c r="AU102" s="228">
        <v>-25</v>
      </c>
      <c r="AV102" s="229">
        <v>-0.2306</v>
      </c>
      <c r="AW102" s="228">
        <v>75</v>
      </c>
      <c r="AX102" s="228">
        <v>100</v>
      </c>
      <c r="AY102" s="228">
        <v>-25</v>
      </c>
      <c r="AZ102" s="229">
        <v>-0.248</v>
      </c>
      <c r="BA102" s="228">
        <v>7</v>
      </c>
      <c r="BB102" s="228">
        <v>7</v>
      </c>
      <c r="BC102" s="228">
        <v>0</v>
      </c>
      <c r="BD102" s="229">
        <v>-2.5899999999999999E-2</v>
      </c>
      <c r="BE102" s="228">
        <v>1</v>
      </c>
      <c r="BF102" s="228">
        <v>1</v>
      </c>
      <c r="BG102" s="228">
        <v>0</v>
      </c>
      <c r="BH102" s="229">
        <v>0.18179999999999999</v>
      </c>
      <c r="BI102" s="228">
        <v>83</v>
      </c>
      <c r="BJ102" s="228">
        <v>185</v>
      </c>
      <c r="BK102" s="228">
        <v>-102</v>
      </c>
      <c r="BL102" s="229">
        <v>-0.5504</v>
      </c>
      <c r="BM102" s="228">
        <v>40</v>
      </c>
      <c r="BN102" s="228">
        <v>92</v>
      </c>
      <c r="BO102" s="228">
        <v>-52</v>
      </c>
      <c r="BP102" s="229">
        <v>-0.56579999999999997</v>
      </c>
      <c r="BQ102" s="228">
        <v>205</v>
      </c>
      <c r="BR102" s="228">
        <v>384</v>
      </c>
      <c r="BS102" s="228">
        <v>-178</v>
      </c>
      <c r="BT102" s="229">
        <v>-0.46460000000000001</v>
      </c>
      <c r="BU102" s="230">
        <v>9464824</v>
      </c>
      <c r="BV102" s="230">
        <v>16402108</v>
      </c>
      <c r="BW102" s="230">
        <v>-6937284</v>
      </c>
      <c r="BX102" s="229">
        <v>-0.42299999999999999</v>
      </c>
      <c r="BY102" s="228">
        <v>869</v>
      </c>
      <c r="BZ102" s="228">
        <v>865</v>
      </c>
      <c r="CA102" s="228">
        <v>4</v>
      </c>
      <c r="CB102" s="229">
        <v>4.3E-3</v>
      </c>
      <c r="CC102" s="228">
        <v>826</v>
      </c>
      <c r="CD102" s="228">
        <v>825</v>
      </c>
      <c r="CE102" s="228">
        <v>1</v>
      </c>
      <c r="CF102" s="229">
        <v>1.8E-3</v>
      </c>
      <c r="CG102" s="228">
        <v>41</v>
      </c>
      <c r="CH102" s="228">
        <v>40</v>
      </c>
      <c r="CI102" s="228">
        <v>2</v>
      </c>
      <c r="CJ102" s="229">
        <v>4.8099999999999997E-2</v>
      </c>
      <c r="CK102" s="228">
        <v>2</v>
      </c>
      <c r="CL102" s="228">
        <v>1</v>
      </c>
      <c r="CM102" s="228">
        <v>0</v>
      </c>
      <c r="CN102" s="229">
        <v>0.2727</v>
      </c>
      <c r="CO102" s="228">
        <v>153</v>
      </c>
      <c r="CP102" s="228">
        <v>144</v>
      </c>
      <c r="CQ102" s="228">
        <v>9</v>
      </c>
      <c r="CR102" s="229">
        <v>6.3700000000000007E-2</v>
      </c>
      <c r="CS102" s="228">
        <v>165</v>
      </c>
      <c r="CT102" s="228">
        <v>161</v>
      </c>
      <c r="CU102" s="228">
        <v>4</v>
      </c>
      <c r="CV102" s="229">
        <v>2.4799999999999999E-2</v>
      </c>
      <c r="CW102" s="230">
        <v>1187</v>
      </c>
      <c r="CX102" s="230">
        <v>1170</v>
      </c>
      <c r="CY102" s="228">
        <v>17</v>
      </c>
      <c r="CZ102" s="229">
        <v>1.44E-2</v>
      </c>
      <c r="DA102" s="228">
        <v>49.48</v>
      </c>
      <c r="DB102" s="228">
        <v>52.43</v>
      </c>
      <c r="DC102" s="228">
        <v>-2.95</v>
      </c>
      <c r="DD102" s="228">
        <v>-2.95</v>
      </c>
      <c r="DE102" s="228">
        <v>53.93</v>
      </c>
      <c r="DF102" s="228">
        <v>54.03</v>
      </c>
      <c r="DG102" s="228">
        <v>-4.45</v>
      </c>
      <c r="DH102" s="228">
        <v>-0.1</v>
      </c>
      <c r="DI102" s="228">
        <v>48.74</v>
      </c>
      <c r="DJ102" s="228">
        <v>51.43</v>
      </c>
      <c r="DK102" s="228">
        <v>-2.69</v>
      </c>
      <c r="DL102" s="228">
        <v>-2.69</v>
      </c>
      <c r="DM102" s="228">
        <v>51.03</v>
      </c>
      <c r="DN102" s="228">
        <v>54.45</v>
      </c>
      <c r="DO102" s="228">
        <v>-3.42</v>
      </c>
      <c r="DP102" s="228">
        <v>-3.42</v>
      </c>
      <c r="DQ102" s="228">
        <v>1.08</v>
      </c>
      <c r="DR102" s="228">
        <v>1.1200000000000001</v>
      </c>
      <c r="DS102" s="228">
        <v>-0.04</v>
      </c>
      <c r="DT102" s="229">
        <v>-3.5700000000000003E-2</v>
      </c>
      <c r="DU102" s="228">
        <v>90</v>
      </c>
      <c r="DV102" s="228">
        <v>65</v>
      </c>
      <c r="DW102" s="228">
        <v>0.48</v>
      </c>
      <c r="DX102" s="228">
        <v>0.5</v>
      </c>
      <c r="DY102" s="228">
        <v>-0.02</v>
      </c>
      <c r="DZ102" s="229">
        <v>-0.04</v>
      </c>
      <c r="EA102" s="229">
        <v>4.9599999999999998E-2</v>
      </c>
      <c r="EB102" s="230">
        <v>4769050</v>
      </c>
      <c r="EC102" s="229">
        <v>5.0000000000000001E-3</v>
      </c>
      <c r="ED102" s="229">
        <v>4.9599999999999998E-2</v>
      </c>
      <c r="EE102" s="228">
        <v>0.71</v>
      </c>
      <c r="EF102" s="229">
        <v>8.3000000000000001E-3</v>
      </c>
      <c r="EG102" s="230">
        <v>2507627</v>
      </c>
      <c r="EH102" s="230">
        <v>5318061</v>
      </c>
      <c r="EI102" s="229">
        <v>-0.52849999999999997</v>
      </c>
      <c r="EJ102" s="229">
        <v>0.26490000000000002</v>
      </c>
      <c r="EK102" s="228">
        <v>89.43</v>
      </c>
      <c r="EL102" s="228">
        <v>40.67</v>
      </c>
      <c r="EM102" s="228">
        <v>82.93</v>
      </c>
      <c r="EN102" s="228">
        <v>26.72</v>
      </c>
      <c r="EO102" s="228">
        <v>213.03</v>
      </c>
      <c r="EP102" s="228">
        <v>394.34</v>
      </c>
      <c r="EQ102" s="228">
        <v>-181.31</v>
      </c>
      <c r="ER102" s="229">
        <v>-0.45979999999999999</v>
      </c>
      <c r="ES102" s="228">
        <v>157.62</v>
      </c>
      <c r="ET102" s="228">
        <v>157.56</v>
      </c>
      <c r="EU102" s="228">
        <v>869.39</v>
      </c>
      <c r="EV102" s="231">
        <v>144708707</v>
      </c>
      <c r="EW102" s="231">
        <v>1184.57</v>
      </c>
      <c r="EX102" s="231">
        <v>1179.2</v>
      </c>
      <c r="EY102" s="228">
        <v>5.37</v>
      </c>
      <c r="EZ102" s="229">
        <v>4.5999999999999999E-3</v>
      </c>
      <c r="FA102" s="229">
        <v>0.95660000000000001</v>
      </c>
      <c r="FB102" s="227" t="s">
        <v>566</v>
      </c>
      <c r="FC102">
        <f t="shared" si="1"/>
        <v>43</v>
      </c>
    </row>
    <row r="103" spans="1:159" ht="17.25" thickBot="1" x14ac:dyDescent="0.3">
      <c r="A103" s="226">
        <v>46121</v>
      </c>
      <c r="B103" s="227" t="s">
        <v>193</v>
      </c>
      <c r="C103" s="227" t="s">
        <v>241</v>
      </c>
      <c r="D103" s="228">
        <v>4875</v>
      </c>
      <c r="E103" s="228">
        <v>19</v>
      </c>
      <c r="F103" s="228">
        <v>141.91999999999999</v>
      </c>
      <c r="G103" s="228">
        <v>143.63</v>
      </c>
      <c r="H103" s="228">
        <v>-1.71</v>
      </c>
      <c r="I103" s="229">
        <v>-1.1900000000000001E-2</v>
      </c>
      <c r="J103" s="228">
        <v>141.66999999999999</v>
      </c>
      <c r="K103" s="228">
        <v>143.35</v>
      </c>
      <c r="L103" s="228">
        <v>-1.68</v>
      </c>
      <c r="M103" s="229">
        <v>-1.17E-2</v>
      </c>
      <c r="N103" s="228">
        <v>141.91999999999999</v>
      </c>
      <c r="O103" s="228">
        <v>143.63</v>
      </c>
      <c r="P103" s="228">
        <v>-1.71</v>
      </c>
      <c r="Q103" s="229">
        <v>-1.1900000000000001E-2</v>
      </c>
      <c r="R103" s="228">
        <v>142.72999999999999</v>
      </c>
      <c r="S103" s="228">
        <v>144.4</v>
      </c>
      <c r="T103" s="228">
        <v>-1.67</v>
      </c>
      <c r="U103" s="229">
        <v>-1.1599999999999999E-2</v>
      </c>
      <c r="V103" s="228">
        <v>143.62</v>
      </c>
      <c r="W103" s="228">
        <v>145.28</v>
      </c>
      <c r="X103" s="228">
        <v>-1.66</v>
      </c>
      <c r="Y103" s="229">
        <v>-1.14E-2</v>
      </c>
      <c r="Z103" s="228">
        <v>0.25</v>
      </c>
      <c r="AA103" s="228">
        <v>0.28000000000000003</v>
      </c>
      <c r="AB103" s="228">
        <v>-0.03</v>
      </c>
      <c r="AC103" s="229">
        <v>1.8E-3</v>
      </c>
      <c r="AD103" s="228">
        <v>0.25</v>
      </c>
      <c r="AE103" s="228">
        <v>0.28000000000000003</v>
      </c>
      <c r="AF103" s="228">
        <v>-0.03</v>
      </c>
      <c r="AG103" s="229">
        <v>1.8E-3</v>
      </c>
      <c r="AH103" s="228">
        <v>1.06</v>
      </c>
      <c r="AI103" s="228">
        <v>1.05</v>
      </c>
      <c r="AJ103" s="228">
        <v>0.01</v>
      </c>
      <c r="AK103" s="229">
        <v>7.4999999999999997E-3</v>
      </c>
      <c r="AL103" s="228">
        <v>1.95</v>
      </c>
      <c r="AM103" s="228">
        <v>1.93</v>
      </c>
      <c r="AN103" s="228">
        <v>0.02</v>
      </c>
      <c r="AO103" s="229">
        <v>1.38E-2</v>
      </c>
      <c r="AP103" s="228">
        <v>141.79</v>
      </c>
      <c r="AQ103" s="228">
        <v>142.56</v>
      </c>
      <c r="AR103" s="228">
        <v>0</v>
      </c>
      <c r="AS103" s="228">
        <v>248</v>
      </c>
      <c r="AT103" s="228">
        <v>661</v>
      </c>
      <c r="AU103" s="228">
        <v>-413</v>
      </c>
      <c r="AV103" s="229">
        <v>-0.62480000000000002</v>
      </c>
      <c r="AW103" s="228">
        <v>229</v>
      </c>
      <c r="AX103" s="228">
        <v>614</v>
      </c>
      <c r="AY103" s="228">
        <v>-385</v>
      </c>
      <c r="AZ103" s="229">
        <v>-0.62680000000000002</v>
      </c>
      <c r="BA103" s="228">
        <v>16</v>
      </c>
      <c r="BB103" s="228">
        <v>41</v>
      </c>
      <c r="BC103" s="228">
        <v>-25</v>
      </c>
      <c r="BD103" s="229">
        <v>-0.61560000000000004</v>
      </c>
      <c r="BE103" s="228">
        <v>3</v>
      </c>
      <c r="BF103" s="228">
        <v>6</v>
      </c>
      <c r="BG103" s="228">
        <v>-3</v>
      </c>
      <c r="BH103" s="229">
        <v>-0.47499999999999998</v>
      </c>
      <c r="BI103" s="228">
        <v>589</v>
      </c>
      <c r="BJ103" s="230">
        <v>2181</v>
      </c>
      <c r="BK103" s="230">
        <v>-1592</v>
      </c>
      <c r="BL103" s="229">
        <v>-0.7298</v>
      </c>
      <c r="BM103" s="228">
        <v>388</v>
      </c>
      <c r="BN103" s="228">
        <v>812</v>
      </c>
      <c r="BO103" s="228">
        <v>-423</v>
      </c>
      <c r="BP103" s="229">
        <v>-0.52149999999999996</v>
      </c>
      <c r="BQ103" s="230">
        <v>1226</v>
      </c>
      <c r="BR103" s="230">
        <v>3654</v>
      </c>
      <c r="BS103" s="230">
        <v>-2428</v>
      </c>
      <c r="BT103" s="229">
        <v>-0.66459999999999997</v>
      </c>
      <c r="BU103" s="230">
        <v>23277069</v>
      </c>
      <c r="BV103" s="230">
        <v>49422674</v>
      </c>
      <c r="BW103" s="230">
        <v>-26145605</v>
      </c>
      <c r="BX103" s="229">
        <v>-0.52900000000000003</v>
      </c>
      <c r="BY103" s="230">
        <v>1561</v>
      </c>
      <c r="BZ103" s="230">
        <v>1587</v>
      </c>
      <c r="CA103" s="228">
        <v>-26</v>
      </c>
      <c r="CB103" s="229">
        <v>-1.6500000000000001E-2</v>
      </c>
      <c r="CC103" s="230">
        <v>1504</v>
      </c>
      <c r="CD103" s="230">
        <v>1534</v>
      </c>
      <c r="CE103" s="228">
        <v>-30</v>
      </c>
      <c r="CF103" s="229">
        <v>-1.9400000000000001E-2</v>
      </c>
      <c r="CG103" s="228">
        <v>49</v>
      </c>
      <c r="CH103" s="228">
        <v>48</v>
      </c>
      <c r="CI103" s="228">
        <v>1</v>
      </c>
      <c r="CJ103" s="229">
        <v>3.0300000000000001E-2</v>
      </c>
      <c r="CK103" s="228">
        <v>8</v>
      </c>
      <c r="CL103" s="228">
        <v>6</v>
      </c>
      <c r="CM103" s="228">
        <v>2</v>
      </c>
      <c r="CN103" s="229">
        <v>0.35370000000000001</v>
      </c>
      <c r="CO103" s="228">
        <v>869</v>
      </c>
      <c r="CP103" s="228">
        <v>861</v>
      </c>
      <c r="CQ103" s="228">
        <v>8</v>
      </c>
      <c r="CR103" s="229">
        <v>9.7999999999999997E-3</v>
      </c>
      <c r="CS103" s="228">
        <v>601</v>
      </c>
      <c r="CT103" s="228">
        <v>530</v>
      </c>
      <c r="CU103" s="228">
        <v>70</v>
      </c>
      <c r="CV103" s="229">
        <v>0.13250000000000001</v>
      </c>
      <c r="CW103" s="230">
        <v>3031</v>
      </c>
      <c r="CX103" s="230">
        <v>2979</v>
      </c>
      <c r="CY103" s="228">
        <v>53</v>
      </c>
      <c r="CZ103" s="229">
        <v>1.7600000000000001E-2</v>
      </c>
      <c r="DA103" s="228">
        <v>38.6</v>
      </c>
      <c r="DB103" s="228">
        <v>38.520000000000003</v>
      </c>
      <c r="DC103" s="228">
        <v>0.08</v>
      </c>
      <c r="DD103" s="228">
        <v>0.08</v>
      </c>
      <c r="DE103" s="228">
        <v>34.159999999999997</v>
      </c>
      <c r="DF103" s="228">
        <v>34.200000000000003</v>
      </c>
      <c r="DG103" s="228">
        <v>4.4400000000000004</v>
      </c>
      <c r="DH103" s="228">
        <v>-0.04</v>
      </c>
      <c r="DI103" s="228">
        <v>37.369999999999997</v>
      </c>
      <c r="DJ103" s="228">
        <v>37.75</v>
      </c>
      <c r="DK103" s="228">
        <v>-0.38</v>
      </c>
      <c r="DL103" s="228">
        <v>-0.38</v>
      </c>
      <c r="DM103" s="228">
        <v>40.479999999999997</v>
      </c>
      <c r="DN103" s="228">
        <v>40.57</v>
      </c>
      <c r="DO103" s="228">
        <v>-0.09</v>
      </c>
      <c r="DP103" s="228">
        <v>-0.09</v>
      </c>
      <c r="DQ103" s="228">
        <v>0.69</v>
      </c>
      <c r="DR103" s="228">
        <v>0.62</v>
      </c>
      <c r="DS103" s="228">
        <v>7.0000000000000007E-2</v>
      </c>
      <c r="DT103" s="229">
        <v>0.1129</v>
      </c>
      <c r="DU103" s="228">
        <v>150</v>
      </c>
      <c r="DV103" s="228">
        <v>140</v>
      </c>
      <c r="DW103" s="228">
        <v>0.66</v>
      </c>
      <c r="DX103" s="228">
        <v>0.37</v>
      </c>
      <c r="DY103" s="228">
        <v>0.28999999999999998</v>
      </c>
      <c r="DZ103" s="229">
        <v>0.78380000000000005</v>
      </c>
      <c r="EA103" s="229">
        <v>3.6600000000000001E-2</v>
      </c>
      <c r="EB103" s="230">
        <v>3783000</v>
      </c>
      <c r="EC103" s="229">
        <v>5.7000000000000002E-3</v>
      </c>
      <c r="ED103" s="229">
        <v>3.6600000000000001E-2</v>
      </c>
      <c r="EE103" s="228">
        <v>0.77</v>
      </c>
      <c r="EF103" s="229">
        <v>5.4000000000000003E-3</v>
      </c>
      <c r="EG103" s="230">
        <v>11391721</v>
      </c>
      <c r="EH103" s="230">
        <v>18914019</v>
      </c>
      <c r="EI103" s="229">
        <v>-0.3977</v>
      </c>
      <c r="EJ103" s="229">
        <v>0.4894</v>
      </c>
      <c r="EK103" s="228">
        <v>634.37</v>
      </c>
      <c r="EL103" s="228">
        <v>375.76</v>
      </c>
      <c r="EM103" s="228">
        <v>247.72</v>
      </c>
      <c r="EN103" s="228">
        <v>50.19</v>
      </c>
      <c r="EO103" s="231">
        <v>1257.8599999999999</v>
      </c>
      <c r="EP103" s="231">
        <v>3810.65</v>
      </c>
      <c r="EQ103" s="231">
        <v>-2552.79</v>
      </c>
      <c r="ER103" s="229">
        <v>-0.66990000000000005</v>
      </c>
      <c r="ES103" s="228">
        <v>929.9</v>
      </c>
      <c r="ET103" s="228">
        <v>590.1</v>
      </c>
      <c r="EU103" s="231">
        <v>1561.63</v>
      </c>
      <c r="EV103" s="231">
        <v>684903861</v>
      </c>
      <c r="EW103" s="231">
        <v>3081.63</v>
      </c>
      <c r="EX103" s="231">
        <v>3050.42</v>
      </c>
      <c r="EY103" s="228">
        <v>31.21</v>
      </c>
      <c r="EZ103" s="229">
        <v>1.0200000000000001E-2</v>
      </c>
      <c r="FA103" s="229">
        <v>0.31180000000000002</v>
      </c>
      <c r="FB103" s="227" t="s">
        <v>567</v>
      </c>
      <c r="FC103">
        <f t="shared" si="1"/>
        <v>57</v>
      </c>
    </row>
    <row r="104" spans="1:159" ht="17.25" thickBot="1" x14ac:dyDescent="0.3">
      <c r="A104" s="226">
        <v>46121</v>
      </c>
      <c r="B104" s="227" t="s">
        <v>175</v>
      </c>
      <c r="C104" s="227" t="s">
        <v>663</v>
      </c>
      <c r="D104" s="228">
        <v>3450</v>
      </c>
      <c r="E104" s="228">
        <v>19</v>
      </c>
      <c r="F104" s="228">
        <v>122.71</v>
      </c>
      <c r="G104" s="228">
        <v>122.68</v>
      </c>
      <c r="H104" s="228">
        <v>0.03</v>
      </c>
      <c r="I104" s="229">
        <v>2.0000000000000001E-4</v>
      </c>
      <c r="J104" s="228">
        <v>123.13</v>
      </c>
      <c r="K104" s="228">
        <v>122.46</v>
      </c>
      <c r="L104" s="228">
        <v>0.67</v>
      </c>
      <c r="M104" s="229">
        <v>5.4999999999999997E-3</v>
      </c>
      <c r="N104" s="228">
        <v>122.71</v>
      </c>
      <c r="O104" s="228">
        <v>122.68</v>
      </c>
      <c r="P104" s="228">
        <v>0.03</v>
      </c>
      <c r="Q104" s="229">
        <v>2.0000000000000001E-4</v>
      </c>
      <c r="R104" s="228">
        <v>121.16</v>
      </c>
      <c r="S104" s="228">
        <v>121.11</v>
      </c>
      <c r="T104" s="228">
        <v>0.05</v>
      </c>
      <c r="U104" s="229">
        <v>4.0000000000000002E-4</v>
      </c>
      <c r="V104" s="228">
        <v>120.65</v>
      </c>
      <c r="W104" s="228">
        <v>120.47</v>
      </c>
      <c r="X104" s="228">
        <v>0.18</v>
      </c>
      <c r="Y104" s="229">
        <v>1.5E-3</v>
      </c>
      <c r="Z104" s="228">
        <v>-0.42</v>
      </c>
      <c r="AA104" s="228">
        <v>0.22</v>
      </c>
      <c r="AB104" s="228">
        <v>-0.64</v>
      </c>
      <c r="AC104" s="229">
        <v>-3.3999999999999998E-3</v>
      </c>
      <c r="AD104" s="228">
        <v>-0.42</v>
      </c>
      <c r="AE104" s="228">
        <v>0.22</v>
      </c>
      <c r="AF104" s="228">
        <v>-0.64</v>
      </c>
      <c r="AG104" s="229">
        <v>-3.3999999999999998E-3</v>
      </c>
      <c r="AH104" s="228">
        <v>-1.97</v>
      </c>
      <c r="AI104" s="228">
        <v>-1.35</v>
      </c>
      <c r="AJ104" s="228">
        <v>-0.62</v>
      </c>
      <c r="AK104" s="229">
        <v>-1.6E-2</v>
      </c>
      <c r="AL104" s="228">
        <v>-2.48</v>
      </c>
      <c r="AM104" s="228">
        <v>-1.99</v>
      </c>
      <c r="AN104" s="228">
        <v>-0.49</v>
      </c>
      <c r="AO104" s="229">
        <v>-2.01E-2</v>
      </c>
      <c r="AP104" s="228">
        <v>122.29</v>
      </c>
      <c r="AQ104" s="228">
        <v>120.78</v>
      </c>
      <c r="AR104" s="228">
        <v>0</v>
      </c>
      <c r="AS104" s="228">
        <v>126</v>
      </c>
      <c r="AT104" s="228">
        <v>203</v>
      </c>
      <c r="AU104" s="228">
        <v>-77</v>
      </c>
      <c r="AV104" s="229">
        <v>-0.38080000000000003</v>
      </c>
      <c r="AW104" s="228">
        <v>89</v>
      </c>
      <c r="AX104" s="228">
        <v>160</v>
      </c>
      <c r="AY104" s="228">
        <v>-70</v>
      </c>
      <c r="AZ104" s="229">
        <v>-0.44080000000000003</v>
      </c>
      <c r="BA104" s="228">
        <v>28</v>
      </c>
      <c r="BB104" s="228">
        <v>38</v>
      </c>
      <c r="BC104" s="228">
        <v>-10</v>
      </c>
      <c r="BD104" s="229">
        <v>-0.2646</v>
      </c>
      <c r="BE104" s="228">
        <v>9</v>
      </c>
      <c r="BF104" s="228">
        <v>6</v>
      </c>
      <c r="BG104" s="228">
        <v>3</v>
      </c>
      <c r="BH104" s="229">
        <v>0.45269999999999999</v>
      </c>
      <c r="BI104" s="228">
        <v>180</v>
      </c>
      <c r="BJ104" s="228">
        <v>307</v>
      </c>
      <c r="BK104" s="228">
        <v>-127</v>
      </c>
      <c r="BL104" s="229">
        <v>-0.41310000000000002</v>
      </c>
      <c r="BM104" s="228">
        <v>82</v>
      </c>
      <c r="BN104" s="228">
        <v>133</v>
      </c>
      <c r="BO104" s="228">
        <v>-51</v>
      </c>
      <c r="BP104" s="229">
        <v>-0.38540000000000002</v>
      </c>
      <c r="BQ104" s="228">
        <v>388</v>
      </c>
      <c r="BR104" s="228">
        <v>644</v>
      </c>
      <c r="BS104" s="228">
        <v>-256</v>
      </c>
      <c r="BT104" s="229">
        <v>-0.3972</v>
      </c>
      <c r="BU104" s="230">
        <v>11298483</v>
      </c>
      <c r="BV104" s="230">
        <v>12632499</v>
      </c>
      <c r="BW104" s="230">
        <v>-1334016</v>
      </c>
      <c r="BX104" s="229">
        <v>-0.1056</v>
      </c>
      <c r="BY104" s="228">
        <v>614</v>
      </c>
      <c r="BZ104" s="228">
        <v>597</v>
      </c>
      <c r="CA104" s="228">
        <v>17</v>
      </c>
      <c r="CB104" s="229">
        <v>2.81E-2</v>
      </c>
      <c r="CC104" s="228">
        <v>528</v>
      </c>
      <c r="CD104" s="228">
        <v>521</v>
      </c>
      <c r="CE104" s="228">
        <v>7</v>
      </c>
      <c r="CF104" s="229">
        <v>1.2999999999999999E-2</v>
      </c>
      <c r="CG104" s="228">
        <v>70</v>
      </c>
      <c r="CH104" s="228">
        <v>64</v>
      </c>
      <c r="CI104" s="228">
        <v>6</v>
      </c>
      <c r="CJ104" s="229">
        <v>9.0999999999999998E-2</v>
      </c>
      <c r="CK104" s="228">
        <v>16</v>
      </c>
      <c r="CL104" s="228">
        <v>12</v>
      </c>
      <c r="CM104" s="228">
        <v>4</v>
      </c>
      <c r="CN104" s="229">
        <v>0.36130000000000001</v>
      </c>
      <c r="CO104" s="228">
        <v>200</v>
      </c>
      <c r="CP104" s="228">
        <v>198</v>
      </c>
      <c r="CQ104" s="228">
        <v>2</v>
      </c>
      <c r="CR104" s="229">
        <v>1.15E-2</v>
      </c>
      <c r="CS104" s="228">
        <v>182</v>
      </c>
      <c r="CT104" s="228">
        <v>179</v>
      </c>
      <c r="CU104" s="228">
        <v>3</v>
      </c>
      <c r="CV104" s="229">
        <v>1.5800000000000002E-2</v>
      </c>
      <c r="CW104" s="228">
        <v>997</v>
      </c>
      <c r="CX104" s="228">
        <v>975</v>
      </c>
      <c r="CY104" s="228">
        <v>22</v>
      </c>
      <c r="CZ104" s="229">
        <v>2.2499999999999999E-2</v>
      </c>
      <c r="DA104" s="228">
        <v>44.3</v>
      </c>
      <c r="DB104" s="228">
        <v>43.94</v>
      </c>
      <c r="DC104" s="228">
        <v>0.36</v>
      </c>
      <c r="DD104" s="228">
        <v>0.36</v>
      </c>
      <c r="DE104" s="228">
        <v>48.92</v>
      </c>
      <c r="DF104" s="228">
        <v>49.04</v>
      </c>
      <c r="DG104" s="228">
        <v>-4.62</v>
      </c>
      <c r="DH104" s="228">
        <v>-0.12</v>
      </c>
      <c r="DI104" s="228">
        <v>43.34</v>
      </c>
      <c r="DJ104" s="228">
        <v>42.8</v>
      </c>
      <c r="DK104" s="228">
        <v>0.54</v>
      </c>
      <c r="DL104" s="228">
        <v>0.54</v>
      </c>
      <c r="DM104" s="228">
        <v>46.41</v>
      </c>
      <c r="DN104" s="228">
        <v>46.57</v>
      </c>
      <c r="DO104" s="228">
        <v>-0.16</v>
      </c>
      <c r="DP104" s="228">
        <v>-0.16</v>
      </c>
      <c r="DQ104" s="228">
        <v>0.91</v>
      </c>
      <c r="DR104" s="228">
        <v>0.91</v>
      </c>
      <c r="DS104" s="228">
        <v>0</v>
      </c>
      <c r="DT104" s="229">
        <v>0</v>
      </c>
      <c r="DU104" s="228">
        <v>130</v>
      </c>
      <c r="DV104" s="228">
        <v>146</v>
      </c>
      <c r="DW104" s="228">
        <v>0.45</v>
      </c>
      <c r="DX104" s="228">
        <v>0.43</v>
      </c>
      <c r="DY104" s="228">
        <v>0.02</v>
      </c>
      <c r="DZ104" s="229">
        <v>4.65E-2</v>
      </c>
      <c r="EA104" s="229">
        <v>0.13980000000000001</v>
      </c>
      <c r="EB104" s="230">
        <v>6178950</v>
      </c>
      <c r="EC104" s="229">
        <v>-1.26E-2</v>
      </c>
      <c r="ED104" s="229">
        <v>0.13980000000000001</v>
      </c>
      <c r="EE104" s="228">
        <v>-1.51</v>
      </c>
      <c r="EF104" s="229">
        <v>-1.23E-2</v>
      </c>
      <c r="EG104" s="230">
        <v>2704291</v>
      </c>
      <c r="EH104" s="230">
        <v>5037462</v>
      </c>
      <c r="EI104" s="229">
        <v>-0.4632</v>
      </c>
      <c r="EJ104" s="229">
        <v>0.23930000000000001</v>
      </c>
      <c r="EK104" s="228">
        <v>190.89</v>
      </c>
      <c r="EL104" s="228">
        <v>78.11</v>
      </c>
      <c r="EM104" s="228">
        <v>125.08</v>
      </c>
      <c r="EN104" s="228">
        <v>29.01</v>
      </c>
      <c r="EO104" s="228">
        <v>394.08</v>
      </c>
      <c r="EP104" s="228">
        <v>649.04999999999995</v>
      </c>
      <c r="EQ104" s="228">
        <v>-254.97</v>
      </c>
      <c r="ER104" s="229">
        <v>-0.39279999999999998</v>
      </c>
      <c r="ES104" s="228">
        <v>201.49</v>
      </c>
      <c r="ET104" s="228">
        <v>175.23</v>
      </c>
      <c r="EU104" s="228">
        <v>612.79</v>
      </c>
      <c r="EV104" s="231">
        <v>119011160</v>
      </c>
      <c r="EW104" s="228">
        <v>989.52</v>
      </c>
      <c r="EX104" s="228">
        <v>966.65</v>
      </c>
      <c r="EY104" s="228">
        <v>22.87</v>
      </c>
      <c r="EZ104" s="229">
        <v>2.3699999999999999E-2</v>
      </c>
      <c r="FA104" s="229">
        <v>0.6825</v>
      </c>
      <c r="FB104" s="227" t="s">
        <v>555</v>
      </c>
      <c r="FC104">
        <f t="shared" si="1"/>
        <v>86</v>
      </c>
    </row>
    <row r="105" spans="1:159" ht="17.25" thickBot="1" x14ac:dyDescent="0.3">
      <c r="A105" s="226">
        <v>46121</v>
      </c>
      <c r="B105" s="227" t="s">
        <v>215</v>
      </c>
      <c r="C105" s="227" t="s">
        <v>591</v>
      </c>
      <c r="D105" s="228">
        <v>4250</v>
      </c>
      <c r="E105" s="228">
        <v>19</v>
      </c>
      <c r="F105" s="228">
        <v>98.53</v>
      </c>
      <c r="G105" s="228">
        <v>99.13</v>
      </c>
      <c r="H105" s="228">
        <v>-0.6</v>
      </c>
      <c r="I105" s="229">
        <v>-6.1000000000000004E-3</v>
      </c>
      <c r="J105" s="228">
        <v>98.49</v>
      </c>
      <c r="K105" s="228">
        <v>98.91</v>
      </c>
      <c r="L105" s="228">
        <v>-0.42</v>
      </c>
      <c r="M105" s="229">
        <v>-4.1999999999999997E-3</v>
      </c>
      <c r="N105" s="228">
        <v>98.53</v>
      </c>
      <c r="O105" s="228">
        <v>99.13</v>
      </c>
      <c r="P105" s="228">
        <v>-0.6</v>
      </c>
      <c r="Q105" s="229">
        <v>-6.1000000000000004E-3</v>
      </c>
      <c r="R105" s="228">
        <v>97.93</v>
      </c>
      <c r="S105" s="228">
        <v>98.57</v>
      </c>
      <c r="T105" s="228">
        <v>-0.64</v>
      </c>
      <c r="U105" s="229">
        <v>-6.4999999999999997E-3</v>
      </c>
      <c r="V105" s="228">
        <v>97.89</v>
      </c>
      <c r="W105" s="228">
        <v>98.58</v>
      </c>
      <c r="X105" s="228">
        <v>-0.69</v>
      </c>
      <c r="Y105" s="229">
        <v>-7.0000000000000001E-3</v>
      </c>
      <c r="Z105" s="228">
        <v>0.04</v>
      </c>
      <c r="AA105" s="228">
        <v>0.22</v>
      </c>
      <c r="AB105" s="228">
        <v>-0.18</v>
      </c>
      <c r="AC105" s="229">
        <v>4.0000000000000002E-4</v>
      </c>
      <c r="AD105" s="228">
        <v>0.04</v>
      </c>
      <c r="AE105" s="228">
        <v>0.22</v>
      </c>
      <c r="AF105" s="228">
        <v>-0.18</v>
      </c>
      <c r="AG105" s="229">
        <v>4.0000000000000002E-4</v>
      </c>
      <c r="AH105" s="228">
        <v>-0.56000000000000005</v>
      </c>
      <c r="AI105" s="228">
        <v>-0.34</v>
      </c>
      <c r="AJ105" s="228">
        <v>-0.22</v>
      </c>
      <c r="AK105" s="229">
        <v>-5.7000000000000002E-3</v>
      </c>
      <c r="AL105" s="228">
        <v>-0.6</v>
      </c>
      <c r="AM105" s="228">
        <v>-0.33</v>
      </c>
      <c r="AN105" s="228">
        <v>-0.27</v>
      </c>
      <c r="AO105" s="229">
        <v>-6.1000000000000004E-3</v>
      </c>
      <c r="AP105" s="228">
        <v>98.48</v>
      </c>
      <c r="AQ105" s="228">
        <v>97.76</v>
      </c>
      <c r="AR105" s="228">
        <v>0</v>
      </c>
      <c r="AS105" s="228">
        <v>79</v>
      </c>
      <c r="AT105" s="228">
        <v>158</v>
      </c>
      <c r="AU105" s="228">
        <v>-79</v>
      </c>
      <c r="AV105" s="229">
        <v>-0.50049999999999994</v>
      </c>
      <c r="AW105" s="228">
        <v>61</v>
      </c>
      <c r="AX105" s="228">
        <v>126</v>
      </c>
      <c r="AY105" s="228">
        <v>-65</v>
      </c>
      <c r="AZ105" s="229">
        <v>-0.5141</v>
      </c>
      <c r="BA105" s="228">
        <v>15</v>
      </c>
      <c r="BB105" s="228">
        <v>25</v>
      </c>
      <c r="BC105" s="228">
        <v>-11</v>
      </c>
      <c r="BD105" s="229">
        <v>-0.42080000000000001</v>
      </c>
      <c r="BE105" s="228">
        <v>3</v>
      </c>
      <c r="BF105" s="228">
        <v>7</v>
      </c>
      <c r="BG105" s="228">
        <v>-4</v>
      </c>
      <c r="BH105" s="229">
        <v>-0.54779999999999995</v>
      </c>
      <c r="BI105" s="228">
        <v>294</v>
      </c>
      <c r="BJ105" s="228">
        <v>694</v>
      </c>
      <c r="BK105" s="228">
        <v>-400</v>
      </c>
      <c r="BL105" s="229">
        <v>-0.5766</v>
      </c>
      <c r="BM105" s="228">
        <v>118</v>
      </c>
      <c r="BN105" s="228">
        <v>194</v>
      </c>
      <c r="BO105" s="228">
        <v>-75</v>
      </c>
      <c r="BP105" s="229">
        <v>-0.3896</v>
      </c>
      <c r="BQ105" s="228">
        <v>491</v>
      </c>
      <c r="BR105" s="230">
        <v>1046</v>
      </c>
      <c r="BS105" s="228">
        <v>-555</v>
      </c>
      <c r="BT105" s="229">
        <v>-0.53049999999999997</v>
      </c>
      <c r="BU105" s="230">
        <v>17680341</v>
      </c>
      <c r="BV105" s="230">
        <v>24853137</v>
      </c>
      <c r="BW105" s="230">
        <v>-7172796</v>
      </c>
      <c r="BX105" s="229">
        <v>-0.28860000000000002</v>
      </c>
      <c r="BY105" s="228">
        <v>528</v>
      </c>
      <c r="BZ105" s="228">
        <v>523</v>
      </c>
      <c r="CA105" s="228">
        <v>6</v>
      </c>
      <c r="CB105" s="229">
        <v>1.0699999999999999E-2</v>
      </c>
      <c r="CC105" s="228">
        <v>461</v>
      </c>
      <c r="CD105" s="228">
        <v>460</v>
      </c>
      <c r="CE105" s="228">
        <v>1</v>
      </c>
      <c r="CF105" s="229">
        <v>1.5E-3</v>
      </c>
      <c r="CG105" s="228">
        <v>57</v>
      </c>
      <c r="CH105" s="228">
        <v>53</v>
      </c>
      <c r="CI105" s="228">
        <v>4</v>
      </c>
      <c r="CJ105" s="229">
        <v>6.6199999999999995E-2</v>
      </c>
      <c r="CK105" s="228">
        <v>11</v>
      </c>
      <c r="CL105" s="228">
        <v>10</v>
      </c>
      <c r="CM105" s="228">
        <v>1</v>
      </c>
      <c r="CN105" s="229">
        <v>0.1429</v>
      </c>
      <c r="CO105" s="228">
        <v>331</v>
      </c>
      <c r="CP105" s="228">
        <v>344</v>
      </c>
      <c r="CQ105" s="228">
        <v>-13</v>
      </c>
      <c r="CR105" s="229">
        <v>-3.6700000000000003E-2</v>
      </c>
      <c r="CS105" s="228">
        <v>245</v>
      </c>
      <c r="CT105" s="228">
        <v>243</v>
      </c>
      <c r="CU105" s="228">
        <v>2</v>
      </c>
      <c r="CV105" s="229">
        <v>7.9000000000000008E-3</v>
      </c>
      <c r="CW105" s="230">
        <v>1105</v>
      </c>
      <c r="CX105" s="230">
        <v>1110</v>
      </c>
      <c r="CY105" s="228">
        <v>-5</v>
      </c>
      <c r="CZ105" s="229">
        <v>-4.5999999999999999E-3</v>
      </c>
      <c r="DA105" s="228">
        <v>38.049999999999997</v>
      </c>
      <c r="DB105" s="228">
        <v>39.21</v>
      </c>
      <c r="DC105" s="228">
        <v>-1.1599999999999999</v>
      </c>
      <c r="DD105" s="228">
        <v>-1.1599999999999999</v>
      </c>
      <c r="DE105" s="228">
        <v>46.06</v>
      </c>
      <c r="DF105" s="228">
        <v>46.17</v>
      </c>
      <c r="DG105" s="228">
        <v>-8.01</v>
      </c>
      <c r="DH105" s="228">
        <v>-0.11</v>
      </c>
      <c r="DI105" s="228">
        <v>37.270000000000003</v>
      </c>
      <c r="DJ105" s="228">
        <v>38.6</v>
      </c>
      <c r="DK105" s="228">
        <v>-1.33</v>
      </c>
      <c r="DL105" s="228">
        <v>-1.33</v>
      </c>
      <c r="DM105" s="228">
        <v>40</v>
      </c>
      <c r="DN105" s="228">
        <v>41.37</v>
      </c>
      <c r="DO105" s="228">
        <v>-1.37</v>
      </c>
      <c r="DP105" s="228">
        <v>-1.37</v>
      </c>
      <c r="DQ105" s="228">
        <v>0.74</v>
      </c>
      <c r="DR105" s="228">
        <v>0.71</v>
      </c>
      <c r="DS105" s="228">
        <v>0.03</v>
      </c>
      <c r="DT105" s="229">
        <v>4.2299999999999997E-2</v>
      </c>
      <c r="DU105" s="228">
        <v>110</v>
      </c>
      <c r="DV105" s="228">
        <v>90</v>
      </c>
      <c r="DW105" s="228">
        <v>0.4</v>
      </c>
      <c r="DX105" s="228">
        <v>0.28000000000000003</v>
      </c>
      <c r="DY105" s="228">
        <v>0.12</v>
      </c>
      <c r="DZ105" s="229">
        <v>0.42859999999999998</v>
      </c>
      <c r="EA105" s="229">
        <v>0.12809999999999999</v>
      </c>
      <c r="EB105" s="230">
        <v>6370750</v>
      </c>
      <c r="EC105" s="229">
        <v>-6.1000000000000004E-3</v>
      </c>
      <c r="ED105" s="229">
        <v>0.12809999999999999</v>
      </c>
      <c r="EE105" s="228">
        <v>-0.72</v>
      </c>
      <c r="EF105" s="229">
        <v>-7.3000000000000001E-3</v>
      </c>
      <c r="EG105" s="230">
        <v>4293705</v>
      </c>
      <c r="EH105" s="230">
        <v>8137222</v>
      </c>
      <c r="EI105" s="229">
        <v>-0.4723</v>
      </c>
      <c r="EJ105" s="229">
        <v>0.2429</v>
      </c>
      <c r="EK105" s="228">
        <v>318.29000000000002</v>
      </c>
      <c r="EL105" s="228">
        <v>115.08</v>
      </c>
      <c r="EM105" s="228">
        <v>78.77</v>
      </c>
      <c r="EN105" s="228">
        <v>25.42</v>
      </c>
      <c r="EO105" s="228">
        <v>512.14</v>
      </c>
      <c r="EP105" s="231">
        <v>1098.07</v>
      </c>
      <c r="EQ105" s="228">
        <v>-585.92999999999995</v>
      </c>
      <c r="ER105" s="229">
        <v>-0.53359999999999996</v>
      </c>
      <c r="ES105" s="228">
        <v>347.78</v>
      </c>
      <c r="ET105" s="228">
        <v>238.27</v>
      </c>
      <c r="EU105" s="228">
        <v>527.84</v>
      </c>
      <c r="EV105" s="231">
        <v>267310350</v>
      </c>
      <c r="EW105" s="231">
        <v>1113.8900000000001</v>
      </c>
      <c r="EX105" s="231">
        <v>1124.6199999999999</v>
      </c>
      <c r="EY105" s="228">
        <v>-10.73</v>
      </c>
      <c r="EZ105" s="229">
        <v>-9.4999999999999998E-3</v>
      </c>
      <c r="FA105" s="229">
        <v>0.4194</v>
      </c>
      <c r="FB105" s="227" t="s">
        <v>566</v>
      </c>
      <c r="FC105">
        <f t="shared" si="1"/>
        <v>67</v>
      </c>
    </row>
    <row r="106" spans="1:159" ht="17.25" thickBot="1" x14ac:dyDescent="0.3">
      <c r="A106" s="226">
        <v>46121</v>
      </c>
      <c r="B106" s="227" t="s">
        <v>168</v>
      </c>
      <c r="C106" s="227" t="s">
        <v>242</v>
      </c>
      <c r="D106" s="228">
        <v>1600</v>
      </c>
      <c r="E106" s="228">
        <v>19</v>
      </c>
      <c r="F106" s="228">
        <v>303.75</v>
      </c>
      <c r="G106" s="228">
        <v>303.64999999999998</v>
      </c>
      <c r="H106" s="228">
        <v>0.1</v>
      </c>
      <c r="I106" s="229">
        <v>2.9999999999999997E-4</v>
      </c>
      <c r="J106" s="228">
        <v>303</v>
      </c>
      <c r="K106" s="228">
        <v>302.45</v>
      </c>
      <c r="L106" s="228">
        <v>0.55000000000000004</v>
      </c>
      <c r="M106" s="229">
        <v>1.8E-3</v>
      </c>
      <c r="N106" s="228">
        <v>303.75</v>
      </c>
      <c r="O106" s="228">
        <v>303.64999999999998</v>
      </c>
      <c r="P106" s="228">
        <v>0.1</v>
      </c>
      <c r="Q106" s="229">
        <v>2.9999999999999997E-4</v>
      </c>
      <c r="R106" s="228">
        <v>305.55</v>
      </c>
      <c r="S106" s="228">
        <v>305.64999999999998</v>
      </c>
      <c r="T106" s="228">
        <v>-0.1</v>
      </c>
      <c r="U106" s="229">
        <v>-2.9999999999999997E-4</v>
      </c>
      <c r="V106" s="228">
        <v>307.45</v>
      </c>
      <c r="W106" s="228">
        <v>307.2</v>
      </c>
      <c r="X106" s="228">
        <v>0.25</v>
      </c>
      <c r="Y106" s="229">
        <v>8.0000000000000004E-4</v>
      </c>
      <c r="Z106" s="228">
        <v>0.75</v>
      </c>
      <c r="AA106" s="228">
        <v>1.2</v>
      </c>
      <c r="AB106" s="228">
        <v>-0.45</v>
      </c>
      <c r="AC106" s="229">
        <v>2.5000000000000001E-3</v>
      </c>
      <c r="AD106" s="228">
        <v>0.75</v>
      </c>
      <c r="AE106" s="228">
        <v>1.2</v>
      </c>
      <c r="AF106" s="228">
        <v>-0.45</v>
      </c>
      <c r="AG106" s="229">
        <v>2.5000000000000001E-3</v>
      </c>
      <c r="AH106" s="228">
        <v>2.5499999999999998</v>
      </c>
      <c r="AI106" s="228">
        <v>3.2</v>
      </c>
      <c r="AJ106" s="228">
        <v>-0.65</v>
      </c>
      <c r="AK106" s="229">
        <v>8.3999999999999995E-3</v>
      </c>
      <c r="AL106" s="228">
        <v>4.45</v>
      </c>
      <c r="AM106" s="228">
        <v>4.75</v>
      </c>
      <c r="AN106" s="228">
        <v>-0.3</v>
      </c>
      <c r="AO106" s="229">
        <v>1.47E-2</v>
      </c>
      <c r="AP106" s="228">
        <v>303.97000000000003</v>
      </c>
      <c r="AQ106" s="228">
        <v>305.72000000000003</v>
      </c>
      <c r="AR106" s="228">
        <v>0</v>
      </c>
      <c r="AS106" s="228">
        <v>320</v>
      </c>
      <c r="AT106" s="228">
        <v>595</v>
      </c>
      <c r="AU106" s="228">
        <v>-275</v>
      </c>
      <c r="AV106" s="229">
        <v>-0.4622</v>
      </c>
      <c r="AW106" s="228">
        <v>287</v>
      </c>
      <c r="AX106" s="228">
        <v>503</v>
      </c>
      <c r="AY106" s="228">
        <v>-216</v>
      </c>
      <c r="AZ106" s="229">
        <v>-0.42970000000000003</v>
      </c>
      <c r="BA106" s="228">
        <v>28</v>
      </c>
      <c r="BB106" s="228">
        <v>77</v>
      </c>
      <c r="BC106" s="228">
        <v>-49</v>
      </c>
      <c r="BD106" s="229">
        <v>-0.63649999999999995</v>
      </c>
      <c r="BE106" s="228">
        <v>5</v>
      </c>
      <c r="BF106" s="228">
        <v>15</v>
      </c>
      <c r="BG106" s="228">
        <v>-10</v>
      </c>
      <c r="BH106" s="229">
        <v>-0.65269999999999995</v>
      </c>
      <c r="BI106" s="230">
        <v>2126</v>
      </c>
      <c r="BJ106" s="230">
        <v>2521</v>
      </c>
      <c r="BK106" s="228">
        <v>-395</v>
      </c>
      <c r="BL106" s="229">
        <v>-0.15670000000000001</v>
      </c>
      <c r="BM106" s="228">
        <v>778</v>
      </c>
      <c r="BN106" s="230">
        <v>1253</v>
      </c>
      <c r="BO106" s="228">
        <v>-475</v>
      </c>
      <c r="BP106" s="229">
        <v>-0.37890000000000001</v>
      </c>
      <c r="BQ106" s="230">
        <v>3224</v>
      </c>
      <c r="BR106" s="230">
        <v>4369</v>
      </c>
      <c r="BS106" s="230">
        <v>-1145</v>
      </c>
      <c r="BT106" s="229">
        <v>-0.26200000000000001</v>
      </c>
      <c r="BU106" s="230">
        <v>18381582</v>
      </c>
      <c r="BV106" s="230">
        <v>23543372</v>
      </c>
      <c r="BW106" s="230">
        <v>-5161790</v>
      </c>
      <c r="BX106" s="229">
        <v>-0.21920000000000001</v>
      </c>
      <c r="BY106" s="230">
        <v>4866</v>
      </c>
      <c r="BZ106" s="230">
        <v>4856</v>
      </c>
      <c r="CA106" s="228">
        <v>10</v>
      </c>
      <c r="CB106" s="229">
        <v>2.0999999999999999E-3</v>
      </c>
      <c r="CC106" s="230">
        <v>4455</v>
      </c>
      <c r="CD106" s="230">
        <v>4455</v>
      </c>
      <c r="CE106" s="228">
        <v>0</v>
      </c>
      <c r="CF106" s="229">
        <v>0</v>
      </c>
      <c r="CG106" s="228">
        <v>364</v>
      </c>
      <c r="CH106" s="228">
        <v>355</v>
      </c>
      <c r="CI106" s="228">
        <v>8</v>
      </c>
      <c r="CJ106" s="229">
        <v>2.35E-2</v>
      </c>
      <c r="CK106" s="228">
        <v>47</v>
      </c>
      <c r="CL106" s="228">
        <v>45</v>
      </c>
      <c r="CM106" s="228">
        <v>2</v>
      </c>
      <c r="CN106" s="229">
        <v>4.7300000000000002E-2</v>
      </c>
      <c r="CO106" s="230">
        <v>2582</v>
      </c>
      <c r="CP106" s="230">
        <v>2369</v>
      </c>
      <c r="CQ106" s="228">
        <v>213</v>
      </c>
      <c r="CR106" s="229">
        <v>9.01E-2</v>
      </c>
      <c r="CS106" s="230">
        <v>1465</v>
      </c>
      <c r="CT106" s="230">
        <v>1448</v>
      </c>
      <c r="CU106" s="228">
        <v>17</v>
      </c>
      <c r="CV106" s="229">
        <v>1.15E-2</v>
      </c>
      <c r="CW106" s="230">
        <v>8913</v>
      </c>
      <c r="CX106" s="230">
        <v>8673</v>
      </c>
      <c r="CY106" s="228">
        <v>240</v>
      </c>
      <c r="CZ106" s="229">
        <v>2.7699999999999999E-2</v>
      </c>
      <c r="DA106" s="228">
        <v>19.559999999999999</v>
      </c>
      <c r="DB106" s="228">
        <v>19.940000000000001</v>
      </c>
      <c r="DC106" s="228">
        <v>-0.38</v>
      </c>
      <c r="DD106" s="228">
        <v>-0.38</v>
      </c>
      <c r="DE106" s="228">
        <v>24.54</v>
      </c>
      <c r="DF106" s="228">
        <v>24.6</v>
      </c>
      <c r="DG106" s="228">
        <v>-4.9800000000000004</v>
      </c>
      <c r="DH106" s="228">
        <v>-0.06</v>
      </c>
      <c r="DI106" s="228">
        <v>19.28</v>
      </c>
      <c r="DJ106" s="228">
        <v>19.34</v>
      </c>
      <c r="DK106" s="228">
        <v>-0.06</v>
      </c>
      <c r="DL106" s="228">
        <v>-0.06</v>
      </c>
      <c r="DM106" s="228">
        <v>20.350000000000001</v>
      </c>
      <c r="DN106" s="228">
        <v>21.15</v>
      </c>
      <c r="DO106" s="228">
        <v>-0.8</v>
      </c>
      <c r="DP106" s="228">
        <v>-0.8</v>
      </c>
      <c r="DQ106" s="228">
        <v>0.56999999999999995</v>
      </c>
      <c r="DR106" s="228">
        <v>0.61</v>
      </c>
      <c r="DS106" s="228">
        <v>-0.04</v>
      </c>
      <c r="DT106" s="229">
        <v>-6.5600000000000006E-2</v>
      </c>
      <c r="DU106" s="228">
        <v>300</v>
      </c>
      <c r="DV106" s="228">
        <v>300</v>
      </c>
      <c r="DW106" s="228">
        <v>0.37</v>
      </c>
      <c r="DX106" s="228">
        <v>0.5</v>
      </c>
      <c r="DY106" s="228">
        <v>-0.13</v>
      </c>
      <c r="DZ106" s="229">
        <v>-0.26</v>
      </c>
      <c r="EA106" s="229">
        <v>8.4500000000000006E-2</v>
      </c>
      <c r="EB106" s="230">
        <v>13190400</v>
      </c>
      <c r="EC106" s="229">
        <v>5.8999999999999999E-3</v>
      </c>
      <c r="ED106" s="229">
        <v>8.4500000000000006E-2</v>
      </c>
      <c r="EE106" s="228">
        <v>1.75</v>
      </c>
      <c r="EF106" s="229">
        <v>5.7999999999999996E-3</v>
      </c>
      <c r="EG106" s="230">
        <v>12101013</v>
      </c>
      <c r="EH106" s="230">
        <v>15114291</v>
      </c>
      <c r="EI106" s="229">
        <v>-0.19939999999999999</v>
      </c>
      <c r="EJ106" s="229">
        <v>0.6583</v>
      </c>
      <c r="EK106" s="231">
        <v>2209.0700000000002</v>
      </c>
      <c r="EL106" s="228">
        <v>766.65</v>
      </c>
      <c r="EM106" s="228">
        <v>320.54000000000002</v>
      </c>
      <c r="EN106" s="228">
        <v>93.04</v>
      </c>
      <c r="EO106" s="231">
        <v>3296.26</v>
      </c>
      <c r="EP106" s="231">
        <v>4437.37</v>
      </c>
      <c r="EQ106" s="231">
        <v>-1141.1099999999999</v>
      </c>
      <c r="ER106" s="229">
        <v>-0.25719999999999998</v>
      </c>
      <c r="ES106" s="231">
        <v>2676.8</v>
      </c>
      <c r="ET106" s="231">
        <v>1434.43</v>
      </c>
      <c r="EU106" s="231">
        <v>4868.91</v>
      </c>
      <c r="EV106" s="231">
        <v>1317896781</v>
      </c>
      <c r="EW106" s="231">
        <v>8980.14</v>
      </c>
      <c r="EX106" s="231">
        <v>8734.1299999999992</v>
      </c>
      <c r="EY106" s="228">
        <v>246.01</v>
      </c>
      <c r="EZ106" s="229">
        <v>2.8199999999999999E-2</v>
      </c>
      <c r="FA106" s="229">
        <v>0.22270000000000001</v>
      </c>
      <c r="FB106" s="227" t="s">
        <v>555</v>
      </c>
      <c r="FC106">
        <f t="shared" si="1"/>
        <v>411</v>
      </c>
    </row>
    <row r="107" spans="1:159" ht="17.25" thickBot="1" x14ac:dyDescent="0.3">
      <c r="A107" s="226">
        <v>46121</v>
      </c>
      <c r="B107" s="227" t="s">
        <v>227</v>
      </c>
      <c r="C107" s="227" t="s">
        <v>243</v>
      </c>
      <c r="D107" s="228">
        <v>625</v>
      </c>
      <c r="E107" s="228">
        <v>19</v>
      </c>
      <c r="F107" s="231">
        <v>1205.5</v>
      </c>
      <c r="G107" s="231">
        <v>1208.4000000000001</v>
      </c>
      <c r="H107" s="228">
        <v>-2.9</v>
      </c>
      <c r="I107" s="229">
        <v>-2.3999999999999998E-3</v>
      </c>
      <c r="J107" s="231">
        <v>1199.5999999999999</v>
      </c>
      <c r="K107" s="231">
        <v>1213.0999999999999</v>
      </c>
      <c r="L107" s="228">
        <v>-13.5</v>
      </c>
      <c r="M107" s="229">
        <v>-1.11E-2</v>
      </c>
      <c r="N107" s="231">
        <v>1205.5</v>
      </c>
      <c r="O107" s="231">
        <v>1208.4000000000001</v>
      </c>
      <c r="P107" s="228">
        <v>-2.9</v>
      </c>
      <c r="Q107" s="229">
        <v>-2.3999999999999998E-3</v>
      </c>
      <c r="R107" s="231">
        <v>1211.4000000000001</v>
      </c>
      <c r="S107" s="231">
        <v>1213.3</v>
      </c>
      <c r="T107" s="228">
        <v>-1.9</v>
      </c>
      <c r="U107" s="229">
        <v>-1.6000000000000001E-3</v>
      </c>
      <c r="V107" s="231">
        <v>1219</v>
      </c>
      <c r="W107" s="231">
        <v>1219.7</v>
      </c>
      <c r="X107" s="228">
        <v>-0.7</v>
      </c>
      <c r="Y107" s="229">
        <v>-5.9999999999999995E-4</v>
      </c>
      <c r="Z107" s="228">
        <v>5.9</v>
      </c>
      <c r="AA107" s="228">
        <v>-4.7</v>
      </c>
      <c r="AB107" s="228">
        <v>10.6</v>
      </c>
      <c r="AC107" s="229">
        <v>4.8999999999999998E-3</v>
      </c>
      <c r="AD107" s="228">
        <v>5.9</v>
      </c>
      <c r="AE107" s="228">
        <v>-4.7</v>
      </c>
      <c r="AF107" s="228">
        <v>10.6</v>
      </c>
      <c r="AG107" s="229">
        <v>4.8999999999999998E-3</v>
      </c>
      <c r="AH107" s="228">
        <v>11.8</v>
      </c>
      <c r="AI107" s="228">
        <v>0.2</v>
      </c>
      <c r="AJ107" s="228">
        <v>11.6</v>
      </c>
      <c r="AK107" s="229">
        <v>9.7999999999999997E-3</v>
      </c>
      <c r="AL107" s="228">
        <v>19.399999999999999</v>
      </c>
      <c r="AM107" s="228">
        <v>6.6</v>
      </c>
      <c r="AN107" s="228">
        <v>12.8</v>
      </c>
      <c r="AO107" s="229">
        <v>1.6199999999999999E-2</v>
      </c>
      <c r="AP107" s="231">
        <v>1211.9000000000001</v>
      </c>
      <c r="AQ107" s="231">
        <v>1219.01</v>
      </c>
      <c r="AR107" s="228">
        <v>0</v>
      </c>
      <c r="AS107" s="228">
        <v>273</v>
      </c>
      <c r="AT107" s="228">
        <v>472</v>
      </c>
      <c r="AU107" s="228">
        <v>-198</v>
      </c>
      <c r="AV107" s="229">
        <v>-0.42049999999999998</v>
      </c>
      <c r="AW107" s="228">
        <v>260</v>
      </c>
      <c r="AX107" s="228">
        <v>423</v>
      </c>
      <c r="AY107" s="228">
        <v>-163</v>
      </c>
      <c r="AZ107" s="229">
        <v>-0.38529999999999998</v>
      </c>
      <c r="BA107" s="228">
        <v>12</v>
      </c>
      <c r="BB107" s="228">
        <v>48</v>
      </c>
      <c r="BC107" s="228">
        <v>-35</v>
      </c>
      <c r="BD107" s="229">
        <v>-0.74250000000000005</v>
      </c>
      <c r="BE107" s="228">
        <v>1</v>
      </c>
      <c r="BF107" s="228">
        <v>1</v>
      </c>
      <c r="BG107" s="228">
        <v>0</v>
      </c>
      <c r="BH107" s="229">
        <v>9.0899999999999995E-2</v>
      </c>
      <c r="BI107" s="228">
        <v>370</v>
      </c>
      <c r="BJ107" s="228">
        <v>624</v>
      </c>
      <c r="BK107" s="228">
        <v>-254</v>
      </c>
      <c r="BL107" s="229">
        <v>-0.40710000000000002</v>
      </c>
      <c r="BM107" s="228">
        <v>354</v>
      </c>
      <c r="BN107" s="228">
        <v>383</v>
      </c>
      <c r="BO107" s="228">
        <v>-29</v>
      </c>
      <c r="BP107" s="229">
        <v>-7.5700000000000003E-2</v>
      </c>
      <c r="BQ107" s="228">
        <v>997</v>
      </c>
      <c r="BR107" s="230">
        <v>1479</v>
      </c>
      <c r="BS107" s="228">
        <v>-482</v>
      </c>
      <c r="BT107" s="229">
        <v>-0.3256</v>
      </c>
      <c r="BU107" s="230">
        <v>2250037</v>
      </c>
      <c r="BV107" s="230">
        <v>1610737</v>
      </c>
      <c r="BW107" s="230">
        <v>639300</v>
      </c>
      <c r="BX107" s="229">
        <v>0.39689999999999998</v>
      </c>
      <c r="BY107" s="230">
        <v>1506</v>
      </c>
      <c r="BZ107" s="230">
        <v>1489</v>
      </c>
      <c r="CA107" s="228">
        <v>17</v>
      </c>
      <c r="CB107" s="229">
        <v>1.11E-2</v>
      </c>
      <c r="CC107" s="230">
        <v>1359</v>
      </c>
      <c r="CD107" s="230">
        <v>1349</v>
      </c>
      <c r="CE107" s="228">
        <v>11</v>
      </c>
      <c r="CF107" s="229">
        <v>8.0000000000000002E-3</v>
      </c>
      <c r="CG107" s="228">
        <v>145</v>
      </c>
      <c r="CH107" s="228">
        <v>139</v>
      </c>
      <c r="CI107" s="228">
        <v>6</v>
      </c>
      <c r="CJ107" s="229">
        <v>4.1200000000000001E-2</v>
      </c>
      <c r="CK107" s="228">
        <v>2</v>
      </c>
      <c r="CL107" s="228">
        <v>2</v>
      </c>
      <c r="CM107" s="228">
        <v>0</v>
      </c>
      <c r="CN107" s="229">
        <v>0.05</v>
      </c>
      <c r="CO107" s="228">
        <v>323</v>
      </c>
      <c r="CP107" s="228">
        <v>302</v>
      </c>
      <c r="CQ107" s="228">
        <v>21</v>
      </c>
      <c r="CR107" s="229">
        <v>6.8599999999999994E-2</v>
      </c>
      <c r="CS107" s="228">
        <v>339</v>
      </c>
      <c r="CT107" s="228">
        <v>301</v>
      </c>
      <c r="CU107" s="228">
        <v>38</v>
      </c>
      <c r="CV107" s="229">
        <v>0.126</v>
      </c>
      <c r="CW107" s="230">
        <v>2168</v>
      </c>
      <c r="CX107" s="230">
        <v>2092</v>
      </c>
      <c r="CY107" s="228">
        <v>75</v>
      </c>
      <c r="CZ107" s="229">
        <v>3.5999999999999997E-2</v>
      </c>
      <c r="DA107" s="228">
        <v>32.090000000000003</v>
      </c>
      <c r="DB107" s="228">
        <v>32.9</v>
      </c>
      <c r="DC107" s="228">
        <v>-0.81</v>
      </c>
      <c r="DD107" s="228">
        <v>-0.81</v>
      </c>
      <c r="DE107" s="228">
        <v>38.21</v>
      </c>
      <c r="DF107" s="228">
        <v>38.270000000000003</v>
      </c>
      <c r="DG107" s="228">
        <v>-6.12</v>
      </c>
      <c r="DH107" s="228">
        <v>-0.06</v>
      </c>
      <c r="DI107" s="228">
        <v>30.83</v>
      </c>
      <c r="DJ107" s="228">
        <v>31.52</v>
      </c>
      <c r="DK107" s="228">
        <v>-0.69</v>
      </c>
      <c r="DL107" s="228">
        <v>-0.69</v>
      </c>
      <c r="DM107" s="228">
        <v>33.4</v>
      </c>
      <c r="DN107" s="228">
        <v>35.159999999999997</v>
      </c>
      <c r="DO107" s="228">
        <v>-1.76</v>
      </c>
      <c r="DP107" s="228">
        <v>-1.76</v>
      </c>
      <c r="DQ107" s="228">
        <v>1.05</v>
      </c>
      <c r="DR107" s="228">
        <v>1</v>
      </c>
      <c r="DS107" s="228">
        <v>0.05</v>
      </c>
      <c r="DT107" s="229">
        <v>0.05</v>
      </c>
      <c r="DU107" s="231">
        <v>1200</v>
      </c>
      <c r="DV107" s="231">
        <v>1200</v>
      </c>
      <c r="DW107" s="228">
        <v>0.96</v>
      </c>
      <c r="DX107" s="228">
        <v>0.61</v>
      </c>
      <c r="DY107" s="228">
        <v>0.35</v>
      </c>
      <c r="DZ107" s="229">
        <v>0.57379999999999998</v>
      </c>
      <c r="EA107" s="229">
        <v>9.7199999999999995E-2</v>
      </c>
      <c r="EB107" s="230">
        <v>1165625</v>
      </c>
      <c r="EC107" s="229">
        <v>4.8999999999999998E-3</v>
      </c>
      <c r="ED107" s="229">
        <v>9.7199999999999995E-2</v>
      </c>
      <c r="EE107" s="228">
        <v>7.11</v>
      </c>
      <c r="EF107" s="229">
        <v>5.8999999999999999E-3</v>
      </c>
      <c r="EG107" s="230">
        <v>1216141</v>
      </c>
      <c r="EH107" s="230">
        <v>574833</v>
      </c>
      <c r="EI107" s="229">
        <v>1.1155999999999999</v>
      </c>
      <c r="EJ107" s="229">
        <v>0.54049999999999998</v>
      </c>
      <c r="EK107" s="228">
        <v>389.96</v>
      </c>
      <c r="EL107" s="228">
        <v>347.26</v>
      </c>
      <c r="EM107" s="228">
        <v>274.88</v>
      </c>
      <c r="EN107" s="228">
        <v>68.16</v>
      </c>
      <c r="EO107" s="231">
        <v>1012.1</v>
      </c>
      <c r="EP107" s="231">
        <v>1495.62</v>
      </c>
      <c r="EQ107" s="228">
        <v>-483.53</v>
      </c>
      <c r="ER107" s="229">
        <v>-0.32329999999999998</v>
      </c>
      <c r="ES107" s="228">
        <v>329.57</v>
      </c>
      <c r="ET107" s="228">
        <v>319.66000000000003</v>
      </c>
      <c r="EU107" s="231">
        <v>1506.32</v>
      </c>
      <c r="EV107" s="231">
        <v>45844541</v>
      </c>
      <c r="EW107" s="231">
        <v>2155.5500000000002</v>
      </c>
      <c r="EX107" s="231">
        <v>2081.88</v>
      </c>
      <c r="EY107" s="228">
        <v>73.67</v>
      </c>
      <c r="EZ107" s="229">
        <v>3.5400000000000001E-2</v>
      </c>
      <c r="FA107" s="229">
        <v>0.39219999999999999</v>
      </c>
      <c r="FB107" s="227" t="s">
        <v>566</v>
      </c>
      <c r="FC107">
        <f t="shared" si="1"/>
        <v>147</v>
      </c>
    </row>
    <row r="108" spans="1:159" ht="17.25" thickBot="1" x14ac:dyDescent="0.3">
      <c r="A108" s="226">
        <v>46121</v>
      </c>
      <c r="B108" s="227" t="s">
        <v>175</v>
      </c>
      <c r="C108" s="227" t="s">
        <v>569</v>
      </c>
      <c r="D108" s="228">
        <v>2350</v>
      </c>
      <c r="E108" s="228">
        <v>19</v>
      </c>
      <c r="F108" s="228">
        <v>239.74</v>
      </c>
      <c r="G108" s="228">
        <v>247.91</v>
      </c>
      <c r="H108" s="228">
        <v>-8.17</v>
      </c>
      <c r="I108" s="229">
        <v>-3.3000000000000002E-2</v>
      </c>
      <c r="J108" s="228">
        <v>238.84</v>
      </c>
      <c r="K108" s="228">
        <v>246.86</v>
      </c>
      <c r="L108" s="228">
        <v>-8.02</v>
      </c>
      <c r="M108" s="229">
        <v>-3.2500000000000001E-2</v>
      </c>
      <c r="N108" s="228">
        <v>239.74</v>
      </c>
      <c r="O108" s="228">
        <v>247.91</v>
      </c>
      <c r="P108" s="228">
        <v>-8.17</v>
      </c>
      <c r="Q108" s="229">
        <v>-3.3000000000000002E-2</v>
      </c>
      <c r="R108" s="228">
        <v>241.3</v>
      </c>
      <c r="S108" s="228">
        <v>249.22</v>
      </c>
      <c r="T108" s="228">
        <v>-7.92</v>
      </c>
      <c r="U108" s="229">
        <v>-3.1800000000000002E-2</v>
      </c>
      <c r="V108" s="228">
        <v>242.6</v>
      </c>
      <c r="W108" s="228">
        <v>250.73</v>
      </c>
      <c r="X108" s="228">
        <v>-8.1300000000000008</v>
      </c>
      <c r="Y108" s="229">
        <v>-3.2399999999999998E-2</v>
      </c>
      <c r="Z108" s="228">
        <v>0.9</v>
      </c>
      <c r="AA108" s="228">
        <v>1.05</v>
      </c>
      <c r="AB108" s="228">
        <v>-0.15</v>
      </c>
      <c r="AC108" s="229">
        <v>3.8E-3</v>
      </c>
      <c r="AD108" s="228">
        <v>0.9</v>
      </c>
      <c r="AE108" s="228">
        <v>1.05</v>
      </c>
      <c r="AF108" s="228">
        <v>-0.15</v>
      </c>
      <c r="AG108" s="229">
        <v>3.8E-3</v>
      </c>
      <c r="AH108" s="228">
        <v>2.46</v>
      </c>
      <c r="AI108" s="228">
        <v>2.36</v>
      </c>
      <c r="AJ108" s="228">
        <v>0.1</v>
      </c>
      <c r="AK108" s="229">
        <v>1.03E-2</v>
      </c>
      <c r="AL108" s="228">
        <v>3.76</v>
      </c>
      <c r="AM108" s="228">
        <v>3.87</v>
      </c>
      <c r="AN108" s="228">
        <v>-0.11</v>
      </c>
      <c r="AO108" s="229">
        <v>1.5699999999999999E-2</v>
      </c>
      <c r="AP108" s="228">
        <v>240.9</v>
      </c>
      <c r="AQ108" s="228">
        <v>243.2</v>
      </c>
      <c r="AR108" s="228">
        <v>0</v>
      </c>
      <c r="AS108" s="228">
        <v>441</v>
      </c>
      <c r="AT108" s="228">
        <v>450</v>
      </c>
      <c r="AU108" s="228">
        <v>-10</v>
      </c>
      <c r="AV108" s="229">
        <v>-2.1999999999999999E-2</v>
      </c>
      <c r="AW108" s="228">
        <v>385</v>
      </c>
      <c r="AX108" s="228">
        <v>363</v>
      </c>
      <c r="AY108" s="228">
        <v>22</v>
      </c>
      <c r="AZ108" s="229">
        <v>6.08E-2</v>
      </c>
      <c r="BA108" s="228">
        <v>45</v>
      </c>
      <c r="BB108" s="228">
        <v>76</v>
      </c>
      <c r="BC108" s="228">
        <v>-31</v>
      </c>
      <c r="BD108" s="229">
        <v>-0.4042</v>
      </c>
      <c r="BE108" s="228">
        <v>10</v>
      </c>
      <c r="BF108" s="228">
        <v>12</v>
      </c>
      <c r="BG108" s="228">
        <v>-1</v>
      </c>
      <c r="BH108" s="229">
        <v>-0.125</v>
      </c>
      <c r="BI108" s="228">
        <v>883</v>
      </c>
      <c r="BJ108" s="230">
        <v>1159</v>
      </c>
      <c r="BK108" s="228">
        <v>-276</v>
      </c>
      <c r="BL108" s="229">
        <v>-0.23799999999999999</v>
      </c>
      <c r="BM108" s="228">
        <v>493</v>
      </c>
      <c r="BN108" s="228">
        <v>565</v>
      </c>
      <c r="BO108" s="228">
        <v>-72</v>
      </c>
      <c r="BP108" s="229">
        <v>-0.12770000000000001</v>
      </c>
      <c r="BQ108" s="230">
        <v>1816</v>
      </c>
      <c r="BR108" s="230">
        <v>2174</v>
      </c>
      <c r="BS108" s="228">
        <v>-358</v>
      </c>
      <c r="BT108" s="229">
        <v>-0.1646</v>
      </c>
      <c r="BU108" s="230">
        <v>22489343</v>
      </c>
      <c r="BV108" s="230">
        <v>20846492</v>
      </c>
      <c r="BW108" s="230">
        <v>1642851</v>
      </c>
      <c r="BX108" s="229">
        <v>7.8799999999999995E-2</v>
      </c>
      <c r="BY108" s="230">
        <v>3667</v>
      </c>
      <c r="BZ108" s="230">
        <v>3651</v>
      </c>
      <c r="CA108" s="228">
        <v>17</v>
      </c>
      <c r="CB108" s="229">
        <v>4.5999999999999999E-3</v>
      </c>
      <c r="CC108" s="230">
        <v>3182</v>
      </c>
      <c r="CD108" s="230">
        <v>3191</v>
      </c>
      <c r="CE108" s="228">
        <v>-9</v>
      </c>
      <c r="CF108" s="229">
        <v>-2.8E-3</v>
      </c>
      <c r="CG108" s="228">
        <v>456</v>
      </c>
      <c r="CH108" s="228">
        <v>436</v>
      </c>
      <c r="CI108" s="228">
        <v>19</v>
      </c>
      <c r="CJ108" s="229">
        <v>4.4299999999999999E-2</v>
      </c>
      <c r="CK108" s="228">
        <v>30</v>
      </c>
      <c r="CL108" s="228">
        <v>24</v>
      </c>
      <c r="CM108" s="228">
        <v>6</v>
      </c>
      <c r="CN108" s="229">
        <v>0.26179999999999998</v>
      </c>
      <c r="CO108" s="228">
        <v>972</v>
      </c>
      <c r="CP108" s="228">
        <v>841</v>
      </c>
      <c r="CQ108" s="228">
        <v>131</v>
      </c>
      <c r="CR108" s="229">
        <v>0.1555</v>
      </c>
      <c r="CS108" s="228">
        <v>808</v>
      </c>
      <c r="CT108" s="228">
        <v>731</v>
      </c>
      <c r="CU108" s="228">
        <v>77</v>
      </c>
      <c r="CV108" s="229">
        <v>0.1055</v>
      </c>
      <c r="CW108" s="230">
        <v>5448</v>
      </c>
      <c r="CX108" s="230">
        <v>5223</v>
      </c>
      <c r="CY108" s="228">
        <v>225</v>
      </c>
      <c r="CZ108" s="229">
        <v>4.2999999999999997E-2</v>
      </c>
      <c r="DA108" s="228">
        <v>37.9</v>
      </c>
      <c r="DB108" s="228">
        <v>36.32</v>
      </c>
      <c r="DC108" s="228">
        <v>1.58</v>
      </c>
      <c r="DD108" s="228">
        <v>1.58</v>
      </c>
      <c r="DE108" s="228">
        <v>37.46</v>
      </c>
      <c r="DF108" s="228">
        <v>37.28</v>
      </c>
      <c r="DG108" s="228">
        <v>0.44</v>
      </c>
      <c r="DH108" s="228">
        <v>0.18</v>
      </c>
      <c r="DI108" s="228">
        <v>37.409999999999997</v>
      </c>
      <c r="DJ108" s="228">
        <v>35.369999999999997</v>
      </c>
      <c r="DK108" s="228">
        <v>2.04</v>
      </c>
      <c r="DL108" s="228">
        <v>2.04</v>
      </c>
      <c r="DM108" s="228">
        <v>38.770000000000003</v>
      </c>
      <c r="DN108" s="228">
        <v>38.270000000000003</v>
      </c>
      <c r="DO108" s="228">
        <v>0.5</v>
      </c>
      <c r="DP108" s="228">
        <v>0.5</v>
      </c>
      <c r="DQ108" s="228">
        <v>0.83</v>
      </c>
      <c r="DR108" s="228">
        <v>0.87</v>
      </c>
      <c r="DS108" s="228">
        <v>-0.04</v>
      </c>
      <c r="DT108" s="229">
        <v>-4.5999999999999999E-2</v>
      </c>
      <c r="DU108" s="228">
        <v>250</v>
      </c>
      <c r="DV108" s="228">
        <v>240</v>
      </c>
      <c r="DW108" s="228">
        <v>0.56000000000000005</v>
      </c>
      <c r="DX108" s="228">
        <v>0.49</v>
      </c>
      <c r="DY108" s="228">
        <v>7.0000000000000007E-2</v>
      </c>
      <c r="DZ108" s="229">
        <v>0.1429</v>
      </c>
      <c r="EA108" s="229">
        <v>0.13239999999999999</v>
      </c>
      <c r="EB108" s="230">
        <v>19190100</v>
      </c>
      <c r="EC108" s="229">
        <v>6.4999999999999997E-3</v>
      </c>
      <c r="ED108" s="229">
        <v>0.13239999999999999</v>
      </c>
      <c r="EE108" s="228">
        <v>2.2999999999999998</v>
      </c>
      <c r="EF108" s="229">
        <v>9.4999999999999998E-3</v>
      </c>
      <c r="EG108" s="230">
        <v>11240686</v>
      </c>
      <c r="EH108" s="230">
        <v>8661588</v>
      </c>
      <c r="EI108" s="229">
        <v>0.29780000000000001</v>
      </c>
      <c r="EJ108" s="229">
        <v>0.49980000000000002</v>
      </c>
      <c r="EK108" s="228">
        <v>948.27</v>
      </c>
      <c r="EL108" s="228">
        <v>491.01</v>
      </c>
      <c r="EM108" s="228">
        <v>443.24</v>
      </c>
      <c r="EN108" s="228">
        <v>63.3</v>
      </c>
      <c r="EO108" s="231">
        <v>1882.52</v>
      </c>
      <c r="EP108" s="231">
        <v>2289.54</v>
      </c>
      <c r="EQ108" s="228">
        <v>-407.02</v>
      </c>
      <c r="ER108" s="229">
        <v>-0.17780000000000001</v>
      </c>
      <c r="ES108" s="231">
        <v>1037.73</v>
      </c>
      <c r="ET108" s="228">
        <v>820.37</v>
      </c>
      <c r="EU108" s="231">
        <v>3670.7</v>
      </c>
      <c r="EV108" s="231">
        <v>490240515</v>
      </c>
      <c r="EW108" s="231">
        <v>5528.81</v>
      </c>
      <c r="EX108" s="231">
        <v>5421.9</v>
      </c>
      <c r="EY108" s="228">
        <v>106.91</v>
      </c>
      <c r="EZ108" s="229">
        <v>1.9699999999999999E-2</v>
      </c>
      <c r="FA108" s="229">
        <v>0.46350000000000002</v>
      </c>
      <c r="FB108" s="227" t="s">
        <v>566</v>
      </c>
      <c r="FC108">
        <f t="shared" si="1"/>
        <v>485</v>
      </c>
    </row>
    <row r="109" spans="1:159" ht="17.25" thickBot="1" x14ac:dyDescent="0.3">
      <c r="A109" s="226">
        <v>46121</v>
      </c>
      <c r="B109" s="227" t="s">
        <v>161</v>
      </c>
      <c r="C109" s="227" t="s">
        <v>579</v>
      </c>
      <c r="D109" s="228">
        <v>1000</v>
      </c>
      <c r="E109" s="228">
        <v>19</v>
      </c>
      <c r="F109" s="228">
        <v>491.65</v>
      </c>
      <c r="G109" s="228">
        <v>504.7</v>
      </c>
      <c r="H109" s="228">
        <v>-13.05</v>
      </c>
      <c r="I109" s="229">
        <v>-2.5899999999999999E-2</v>
      </c>
      <c r="J109" s="228">
        <v>489.15</v>
      </c>
      <c r="K109" s="228">
        <v>502.05</v>
      </c>
      <c r="L109" s="228">
        <v>-12.9</v>
      </c>
      <c r="M109" s="229">
        <v>-2.5700000000000001E-2</v>
      </c>
      <c r="N109" s="228">
        <v>491.65</v>
      </c>
      <c r="O109" s="228">
        <v>504.7</v>
      </c>
      <c r="P109" s="228">
        <v>-13.05</v>
      </c>
      <c r="Q109" s="229">
        <v>-2.5899999999999999E-2</v>
      </c>
      <c r="R109" s="228">
        <v>494.45</v>
      </c>
      <c r="S109" s="228">
        <v>507.85</v>
      </c>
      <c r="T109" s="228">
        <v>-13.4</v>
      </c>
      <c r="U109" s="229">
        <v>-2.64E-2</v>
      </c>
      <c r="V109" s="228">
        <v>502.25</v>
      </c>
      <c r="W109" s="228">
        <v>505.95</v>
      </c>
      <c r="X109" s="228">
        <v>-3.7</v>
      </c>
      <c r="Y109" s="229">
        <v>-7.3000000000000001E-3</v>
      </c>
      <c r="Z109" s="228">
        <v>2.5</v>
      </c>
      <c r="AA109" s="228">
        <v>2.65</v>
      </c>
      <c r="AB109" s="228">
        <v>-0.15</v>
      </c>
      <c r="AC109" s="229">
        <v>5.1000000000000004E-3</v>
      </c>
      <c r="AD109" s="228">
        <v>2.5</v>
      </c>
      <c r="AE109" s="228">
        <v>2.65</v>
      </c>
      <c r="AF109" s="228">
        <v>-0.15</v>
      </c>
      <c r="AG109" s="229">
        <v>5.1000000000000004E-3</v>
      </c>
      <c r="AH109" s="228">
        <v>5.3</v>
      </c>
      <c r="AI109" s="228">
        <v>5.8</v>
      </c>
      <c r="AJ109" s="228">
        <v>-0.5</v>
      </c>
      <c r="AK109" s="229">
        <v>1.0800000000000001E-2</v>
      </c>
      <c r="AL109" s="228">
        <v>13.1</v>
      </c>
      <c r="AM109" s="228">
        <v>3.9</v>
      </c>
      <c r="AN109" s="228">
        <v>9.1999999999999993</v>
      </c>
      <c r="AO109" s="229">
        <v>2.6800000000000001E-2</v>
      </c>
      <c r="AP109" s="228">
        <v>497.12</v>
      </c>
      <c r="AQ109" s="228">
        <v>500.59</v>
      </c>
      <c r="AR109" s="228">
        <v>0</v>
      </c>
      <c r="AS109" s="228">
        <v>177</v>
      </c>
      <c r="AT109" s="228">
        <v>142</v>
      </c>
      <c r="AU109" s="228">
        <v>35</v>
      </c>
      <c r="AV109" s="229">
        <v>0.2462</v>
      </c>
      <c r="AW109" s="228">
        <v>171</v>
      </c>
      <c r="AX109" s="228">
        <v>138</v>
      </c>
      <c r="AY109" s="228">
        <v>33</v>
      </c>
      <c r="AZ109" s="229">
        <v>0.24049999999999999</v>
      </c>
      <c r="BA109" s="228">
        <v>6</v>
      </c>
      <c r="BB109" s="228">
        <v>4</v>
      </c>
      <c r="BC109" s="228">
        <v>2</v>
      </c>
      <c r="BD109" s="229">
        <v>0.53849999999999998</v>
      </c>
      <c r="BE109" s="228">
        <v>0</v>
      </c>
      <c r="BF109" s="228">
        <v>0</v>
      </c>
      <c r="BG109" s="228">
        <v>0</v>
      </c>
      <c r="BH109" s="229">
        <v>-0.625</v>
      </c>
      <c r="BI109" s="228">
        <v>456</v>
      </c>
      <c r="BJ109" s="228">
        <v>315</v>
      </c>
      <c r="BK109" s="228">
        <v>141</v>
      </c>
      <c r="BL109" s="229">
        <v>0.44669999999999999</v>
      </c>
      <c r="BM109" s="228">
        <v>149</v>
      </c>
      <c r="BN109" s="228">
        <v>113</v>
      </c>
      <c r="BO109" s="228">
        <v>36</v>
      </c>
      <c r="BP109" s="229">
        <v>0.31709999999999999</v>
      </c>
      <c r="BQ109" s="228">
        <v>781</v>
      </c>
      <c r="BR109" s="228">
        <v>570</v>
      </c>
      <c r="BS109" s="228">
        <v>211</v>
      </c>
      <c r="BT109" s="229">
        <v>0.371</v>
      </c>
      <c r="BU109" s="230">
        <v>3318137</v>
      </c>
      <c r="BV109" s="230">
        <v>2337710</v>
      </c>
      <c r="BW109" s="230">
        <v>980427</v>
      </c>
      <c r="BX109" s="229">
        <v>0.4194</v>
      </c>
      <c r="BY109" s="230">
        <v>1339</v>
      </c>
      <c r="BZ109" s="230">
        <v>1301</v>
      </c>
      <c r="CA109" s="228">
        <v>38</v>
      </c>
      <c r="CB109" s="229">
        <v>2.8899999999999999E-2</v>
      </c>
      <c r="CC109" s="230">
        <v>1326</v>
      </c>
      <c r="CD109" s="230">
        <v>1290</v>
      </c>
      <c r="CE109" s="228">
        <v>35</v>
      </c>
      <c r="CF109" s="229">
        <v>2.7300000000000001E-2</v>
      </c>
      <c r="CG109" s="228">
        <v>12</v>
      </c>
      <c r="CH109" s="228">
        <v>10</v>
      </c>
      <c r="CI109" s="228">
        <v>2</v>
      </c>
      <c r="CJ109" s="229">
        <v>0.23</v>
      </c>
      <c r="CK109" s="228">
        <v>1</v>
      </c>
      <c r="CL109" s="228">
        <v>1</v>
      </c>
      <c r="CM109" s="228">
        <v>0</v>
      </c>
      <c r="CN109" s="229">
        <v>0.1875</v>
      </c>
      <c r="CO109" s="228">
        <v>349</v>
      </c>
      <c r="CP109" s="228">
        <v>272</v>
      </c>
      <c r="CQ109" s="228">
        <v>77</v>
      </c>
      <c r="CR109" s="229">
        <v>0.28210000000000002</v>
      </c>
      <c r="CS109" s="228">
        <v>194</v>
      </c>
      <c r="CT109" s="228">
        <v>160</v>
      </c>
      <c r="CU109" s="228">
        <v>33</v>
      </c>
      <c r="CV109" s="229">
        <v>0.2082</v>
      </c>
      <c r="CW109" s="230">
        <v>1881</v>
      </c>
      <c r="CX109" s="230">
        <v>1733</v>
      </c>
      <c r="CY109" s="228">
        <v>148</v>
      </c>
      <c r="CZ109" s="229">
        <v>8.5300000000000001E-2</v>
      </c>
      <c r="DA109" s="228">
        <v>35.1</v>
      </c>
      <c r="DB109" s="228">
        <v>33.33</v>
      </c>
      <c r="DC109" s="228">
        <v>1.77</v>
      </c>
      <c r="DD109" s="228">
        <v>1.77</v>
      </c>
      <c r="DE109" s="228">
        <v>42.81</v>
      </c>
      <c r="DF109" s="228">
        <v>42.77</v>
      </c>
      <c r="DG109" s="228">
        <v>-7.71</v>
      </c>
      <c r="DH109" s="228">
        <v>0.04</v>
      </c>
      <c r="DI109" s="228">
        <v>35.299999999999997</v>
      </c>
      <c r="DJ109" s="228">
        <v>33.26</v>
      </c>
      <c r="DK109" s="228">
        <v>2.04</v>
      </c>
      <c r="DL109" s="228">
        <v>2.04</v>
      </c>
      <c r="DM109" s="228">
        <v>34.49</v>
      </c>
      <c r="DN109" s="228">
        <v>33.5</v>
      </c>
      <c r="DO109" s="228">
        <v>0.99</v>
      </c>
      <c r="DP109" s="228">
        <v>0.99</v>
      </c>
      <c r="DQ109" s="228">
        <v>0.56000000000000005</v>
      </c>
      <c r="DR109" s="228">
        <v>0.59</v>
      </c>
      <c r="DS109" s="228">
        <v>-0.03</v>
      </c>
      <c r="DT109" s="229">
        <v>-5.0799999999999998E-2</v>
      </c>
      <c r="DU109" s="228">
        <v>500</v>
      </c>
      <c r="DV109" s="228">
        <v>500</v>
      </c>
      <c r="DW109" s="228">
        <v>0.33</v>
      </c>
      <c r="DX109" s="228">
        <v>0.36</v>
      </c>
      <c r="DY109" s="228">
        <v>-0.03</v>
      </c>
      <c r="DZ109" s="229">
        <v>-8.3299999999999999E-2</v>
      </c>
      <c r="EA109" s="229">
        <v>9.7000000000000003E-3</v>
      </c>
      <c r="EB109" s="230">
        <v>216000</v>
      </c>
      <c r="EC109" s="229">
        <v>5.7000000000000002E-3</v>
      </c>
      <c r="ED109" s="229">
        <v>9.7000000000000003E-3</v>
      </c>
      <c r="EE109" s="228">
        <v>3.47</v>
      </c>
      <c r="EF109" s="229">
        <v>7.0000000000000001E-3</v>
      </c>
      <c r="EG109" s="230">
        <v>1619331</v>
      </c>
      <c r="EH109" s="230">
        <v>986472</v>
      </c>
      <c r="EI109" s="229">
        <v>0.64149999999999996</v>
      </c>
      <c r="EJ109" s="229">
        <v>0.48799999999999999</v>
      </c>
      <c r="EK109" s="228">
        <v>485.43</v>
      </c>
      <c r="EL109" s="228">
        <v>150.9</v>
      </c>
      <c r="EM109" s="228">
        <v>178.96</v>
      </c>
      <c r="EN109" s="228">
        <v>32.380000000000003</v>
      </c>
      <c r="EO109" s="228">
        <v>815.28</v>
      </c>
      <c r="EP109" s="228">
        <v>598.80999999999995</v>
      </c>
      <c r="EQ109" s="228">
        <v>216.47</v>
      </c>
      <c r="ER109" s="229">
        <v>0.36149999999999999</v>
      </c>
      <c r="ES109" s="228">
        <v>366.14</v>
      </c>
      <c r="ET109" s="228">
        <v>194</v>
      </c>
      <c r="EU109" s="231">
        <v>1338.8</v>
      </c>
      <c r="EV109" s="231">
        <v>75294901</v>
      </c>
      <c r="EW109" s="231">
        <v>1898.94</v>
      </c>
      <c r="EX109" s="231">
        <v>1782.96</v>
      </c>
      <c r="EY109" s="228">
        <v>115.98</v>
      </c>
      <c r="EZ109" s="229">
        <v>6.5000000000000002E-2</v>
      </c>
      <c r="FA109" s="229">
        <v>0.50819999999999999</v>
      </c>
      <c r="FB109" s="227" t="s">
        <v>566</v>
      </c>
      <c r="FC109">
        <f t="shared" si="1"/>
        <v>13</v>
      </c>
    </row>
    <row r="110" spans="1:159" ht="17.25" thickBot="1" x14ac:dyDescent="0.3">
      <c r="A110" s="226">
        <v>46121</v>
      </c>
      <c r="B110" s="227" t="s">
        <v>227</v>
      </c>
      <c r="C110" s="227" t="s">
        <v>244</v>
      </c>
      <c r="D110" s="228">
        <v>675</v>
      </c>
      <c r="E110" s="228">
        <v>19</v>
      </c>
      <c r="F110" s="231">
        <v>1213.9000000000001</v>
      </c>
      <c r="G110" s="231">
        <v>1196.9000000000001</v>
      </c>
      <c r="H110" s="228">
        <v>17</v>
      </c>
      <c r="I110" s="229">
        <v>1.4200000000000001E-2</v>
      </c>
      <c r="J110" s="231">
        <v>1209.7</v>
      </c>
      <c r="K110" s="231">
        <v>1194.3</v>
      </c>
      <c r="L110" s="228">
        <v>15.4</v>
      </c>
      <c r="M110" s="229">
        <v>1.29E-2</v>
      </c>
      <c r="N110" s="231">
        <v>1213.9000000000001</v>
      </c>
      <c r="O110" s="231">
        <v>1196.9000000000001</v>
      </c>
      <c r="P110" s="228">
        <v>17</v>
      </c>
      <c r="Q110" s="229">
        <v>1.4200000000000001E-2</v>
      </c>
      <c r="R110" s="231">
        <v>1220.5999999999999</v>
      </c>
      <c r="S110" s="231">
        <v>1203.9000000000001</v>
      </c>
      <c r="T110" s="228">
        <v>16.7</v>
      </c>
      <c r="U110" s="229">
        <v>1.3899999999999999E-2</v>
      </c>
      <c r="V110" s="231">
        <v>1226.4000000000001</v>
      </c>
      <c r="W110" s="231">
        <v>1211.3</v>
      </c>
      <c r="X110" s="228">
        <v>15.1</v>
      </c>
      <c r="Y110" s="229">
        <v>1.2500000000000001E-2</v>
      </c>
      <c r="Z110" s="228">
        <v>4.2</v>
      </c>
      <c r="AA110" s="228">
        <v>2.6</v>
      </c>
      <c r="AB110" s="228">
        <v>1.6</v>
      </c>
      <c r="AC110" s="229">
        <v>3.5000000000000001E-3</v>
      </c>
      <c r="AD110" s="228">
        <v>4.2</v>
      </c>
      <c r="AE110" s="228">
        <v>2.6</v>
      </c>
      <c r="AF110" s="228">
        <v>1.6</v>
      </c>
      <c r="AG110" s="229">
        <v>3.5000000000000001E-3</v>
      </c>
      <c r="AH110" s="228">
        <v>10.9</v>
      </c>
      <c r="AI110" s="228">
        <v>9.6</v>
      </c>
      <c r="AJ110" s="228">
        <v>1.3</v>
      </c>
      <c r="AK110" s="229">
        <v>8.9999999999999993E-3</v>
      </c>
      <c r="AL110" s="228">
        <v>16.7</v>
      </c>
      <c r="AM110" s="228">
        <v>17</v>
      </c>
      <c r="AN110" s="228">
        <v>-0.3</v>
      </c>
      <c r="AO110" s="229">
        <v>1.38E-2</v>
      </c>
      <c r="AP110" s="231">
        <v>1211.79</v>
      </c>
      <c r="AQ110" s="231">
        <v>1218.3</v>
      </c>
      <c r="AR110" s="228">
        <v>0</v>
      </c>
      <c r="AS110" s="228">
        <v>432</v>
      </c>
      <c r="AT110" s="228">
        <v>471</v>
      </c>
      <c r="AU110" s="228">
        <v>-39</v>
      </c>
      <c r="AV110" s="229">
        <v>-8.3099999999999993E-2</v>
      </c>
      <c r="AW110" s="228">
        <v>401</v>
      </c>
      <c r="AX110" s="228">
        <v>443</v>
      </c>
      <c r="AY110" s="228">
        <v>-41</v>
      </c>
      <c r="AZ110" s="229">
        <v>-9.3700000000000006E-2</v>
      </c>
      <c r="BA110" s="228">
        <v>30</v>
      </c>
      <c r="BB110" s="228">
        <v>27</v>
      </c>
      <c r="BC110" s="228">
        <v>3</v>
      </c>
      <c r="BD110" s="229">
        <v>0.11310000000000001</v>
      </c>
      <c r="BE110" s="228">
        <v>1</v>
      </c>
      <c r="BF110" s="228">
        <v>2</v>
      </c>
      <c r="BG110" s="228">
        <v>-1</v>
      </c>
      <c r="BH110" s="229">
        <v>-0.39129999999999998</v>
      </c>
      <c r="BI110" s="228">
        <v>847</v>
      </c>
      <c r="BJ110" s="228">
        <v>797</v>
      </c>
      <c r="BK110" s="228">
        <v>50</v>
      </c>
      <c r="BL110" s="229">
        <v>6.2899999999999998E-2</v>
      </c>
      <c r="BM110" s="228">
        <v>497</v>
      </c>
      <c r="BN110" s="228">
        <v>716</v>
      </c>
      <c r="BO110" s="228">
        <v>-219</v>
      </c>
      <c r="BP110" s="229">
        <v>-0.30559999999999998</v>
      </c>
      <c r="BQ110" s="230">
        <v>1777</v>
      </c>
      <c r="BR110" s="230">
        <v>1984</v>
      </c>
      <c r="BS110" s="228">
        <v>-208</v>
      </c>
      <c r="BT110" s="229">
        <v>-0.1047</v>
      </c>
      <c r="BU110" s="230">
        <v>2738895</v>
      </c>
      <c r="BV110" s="230">
        <v>2463396</v>
      </c>
      <c r="BW110" s="230">
        <v>275499</v>
      </c>
      <c r="BX110" s="229">
        <v>0.1118</v>
      </c>
      <c r="BY110" s="230">
        <v>6167</v>
      </c>
      <c r="BZ110" s="230">
        <v>6189</v>
      </c>
      <c r="CA110" s="228">
        <v>-22</v>
      </c>
      <c r="CB110" s="229">
        <v>-3.5000000000000001E-3</v>
      </c>
      <c r="CC110" s="230">
        <v>5639</v>
      </c>
      <c r="CD110" s="230">
        <v>5669</v>
      </c>
      <c r="CE110" s="228">
        <v>-30</v>
      </c>
      <c r="CF110" s="229">
        <v>-5.3E-3</v>
      </c>
      <c r="CG110" s="228">
        <v>517</v>
      </c>
      <c r="CH110" s="228">
        <v>509</v>
      </c>
      <c r="CI110" s="228">
        <v>8</v>
      </c>
      <c r="CJ110" s="229">
        <v>1.5900000000000001E-2</v>
      </c>
      <c r="CK110" s="228">
        <v>11</v>
      </c>
      <c r="CL110" s="228">
        <v>11</v>
      </c>
      <c r="CM110" s="228">
        <v>0</v>
      </c>
      <c r="CN110" s="229">
        <v>3.85E-2</v>
      </c>
      <c r="CO110" s="228">
        <v>828</v>
      </c>
      <c r="CP110" s="228">
        <v>820</v>
      </c>
      <c r="CQ110" s="228">
        <v>8</v>
      </c>
      <c r="CR110" s="229">
        <v>9.5999999999999992E-3</v>
      </c>
      <c r="CS110" s="228">
        <v>689</v>
      </c>
      <c r="CT110" s="228">
        <v>687</v>
      </c>
      <c r="CU110" s="228">
        <v>2</v>
      </c>
      <c r="CV110" s="229">
        <v>2.7000000000000001E-3</v>
      </c>
      <c r="CW110" s="230">
        <v>7684</v>
      </c>
      <c r="CX110" s="230">
        <v>7695</v>
      </c>
      <c r="CY110" s="228">
        <v>-12</v>
      </c>
      <c r="CZ110" s="229">
        <v>-1.5E-3</v>
      </c>
      <c r="DA110" s="228">
        <v>31.05</v>
      </c>
      <c r="DB110" s="228">
        <v>33.630000000000003</v>
      </c>
      <c r="DC110" s="228">
        <v>-2.58</v>
      </c>
      <c r="DD110" s="228">
        <v>-2.58</v>
      </c>
      <c r="DE110" s="228">
        <v>32.28</v>
      </c>
      <c r="DF110" s="228">
        <v>32.299999999999997</v>
      </c>
      <c r="DG110" s="228">
        <v>-1.23</v>
      </c>
      <c r="DH110" s="228">
        <v>-0.02</v>
      </c>
      <c r="DI110" s="228">
        <v>29.65</v>
      </c>
      <c r="DJ110" s="228">
        <v>31.77</v>
      </c>
      <c r="DK110" s="228">
        <v>-2.12</v>
      </c>
      <c r="DL110" s="228">
        <v>-2.12</v>
      </c>
      <c r="DM110" s="228">
        <v>33.43</v>
      </c>
      <c r="DN110" s="228">
        <v>35.700000000000003</v>
      </c>
      <c r="DO110" s="228">
        <v>-2.27</v>
      </c>
      <c r="DP110" s="228">
        <v>-2.27</v>
      </c>
      <c r="DQ110" s="228">
        <v>0.83</v>
      </c>
      <c r="DR110" s="228">
        <v>0.84</v>
      </c>
      <c r="DS110" s="228">
        <v>-0.01</v>
      </c>
      <c r="DT110" s="229">
        <v>-1.1900000000000001E-2</v>
      </c>
      <c r="DU110" s="231">
        <v>1160</v>
      </c>
      <c r="DV110" s="231">
        <v>1100</v>
      </c>
      <c r="DW110" s="228">
        <v>0.59</v>
      </c>
      <c r="DX110" s="228">
        <v>0.9</v>
      </c>
      <c r="DY110" s="228">
        <v>-0.31</v>
      </c>
      <c r="DZ110" s="229">
        <v>-0.34439999999999998</v>
      </c>
      <c r="EA110" s="229">
        <v>8.5599999999999996E-2</v>
      </c>
      <c r="EB110" s="230">
        <v>4280850</v>
      </c>
      <c r="EC110" s="229">
        <v>5.4999999999999997E-3</v>
      </c>
      <c r="ED110" s="229">
        <v>8.5599999999999996E-2</v>
      </c>
      <c r="EE110" s="228">
        <v>6.51</v>
      </c>
      <c r="EF110" s="229">
        <v>5.4000000000000003E-3</v>
      </c>
      <c r="EG110" s="230">
        <v>1259851</v>
      </c>
      <c r="EH110" s="230">
        <v>1155535</v>
      </c>
      <c r="EI110" s="229">
        <v>9.0300000000000005E-2</v>
      </c>
      <c r="EJ110" s="229">
        <v>0.46</v>
      </c>
      <c r="EK110" s="228">
        <v>881.33</v>
      </c>
      <c r="EL110" s="228">
        <v>478.89</v>
      </c>
      <c r="EM110" s="228">
        <v>431.56</v>
      </c>
      <c r="EN110" s="228">
        <v>55.34</v>
      </c>
      <c r="EO110" s="231">
        <v>1791.79</v>
      </c>
      <c r="EP110" s="231">
        <v>1955.12</v>
      </c>
      <c r="EQ110" s="228">
        <v>-163.33000000000001</v>
      </c>
      <c r="ER110" s="229">
        <v>-8.3500000000000005E-2</v>
      </c>
      <c r="ES110" s="228">
        <v>824.68</v>
      </c>
      <c r="ET110" s="228">
        <v>631.89</v>
      </c>
      <c r="EU110" s="231">
        <v>6170.21</v>
      </c>
      <c r="EV110" s="231">
        <v>133242960</v>
      </c>
      <c r="EW110" s="231">
        <v>7626.79</v>
      </c>
      <c r="EX110" s="231">
        <v>7542.64</v>
      </c>
      <c r="EY110" s="228">
        <v>84.15</v>
      </c>
      <c r="EZ110" s="229">
        <v>1.12E-2</v>
      </c>
      <c r="FA110" s="229">
        <v>0.47499999999999998</v>
      </c>
      <c r="FB110" s="227" t="s">
        <v>694</v>
      </c>
      <c r="FC110">
        <f t="shared" si="1"/>
        <v>528</v>
      </c>
    </row>
    <row r="111" spans="1:159" ht="17.25" thickBot="1" x14ac:dyDescent="0.3">
      <c r="A111" s="226">
        <v>46121</v>
      </c>
      <c r="B111" s="227" t="s">
        <v>168</v>
      </c>
      <c r="C111" s="227" t="s">
        <v>245</v>
      </c>
      <c r="D111" s="228">
        <v>1250</v>
      </c>
      <c r="E111" s="228">
        <v>19</v>
      </c>
      <c r="F111" s="228">
        <v>426.35</v>
      </c>
      <c r="G111" s="228">
        <v>428.75</v>
      </c>
      <c r="H111" s="228">
        <v>-2.4</v>
      </c>
      <c r="I111" s="229">
        <v>-5.5999999999999999E-3</v>
      </c>
      <c r="J111" s="228">
        <v>427.85</v>
      </c>
      <c r="K111" s="228">
        <v>435.75</v>
      </c>
      <c r="L111" s="228">
        <v>-7.9</v>
      </c>
      <c r="M111" s="229">
        <v>-1.8100000000000002E-2</v>
      </c>
      <c r="N111" s="228">
        <v>426.35</v>
      </c>
      <c r="O111" s="228">
        <v>428.75</v>
      </c>
      <c r="P111" s="228">
        <v>-2.4</v>
      </c>
      <c r="Q111" s="229">
        <v>-5.5999999999999999E-3</v>
      </c>
      <c r="R111" s="228">
        <v>417.65</v>
      </c>
      <c r="S111" s="228">
        <v>420.2</v>
      </c>
      <c r="T111" s="228">
        <v>-2.5499999999999998</v>
      </c>
      <c r="U111" s="229">
        <v>-6.1000000000000004E-3</v>
      </c>
      <c r="V111" s="228">
        <v>413.4</v>
      </c>
      <c r="W111" s="228">
        <v>414.45</v>
      </c>
      <c r="X111" s="228">
        <v>-1.05</v>
      </c>
      <c r="Y111" s="229">
        <v>-2.5000000000000001E-3</v>
      </c>
      <c r="Z111" s="228">
        <v>-1.5</v>
      </c>
      <c r="AA111" s="228">
        <v>-7</v>
      </c>
      <c r="AB111" s="228">
        <v>5.5</v>
      </c>
      <c r="AC111" s="229">
        <v>-3.5000000000000001E-3</v>
      </c>
      <c r="AD111" s="228">
        <v>-1.5</v>
      </c>
      <c r="AE111" s="228">
        <v>-7</v>
      </c>
      <c r="AF111" s="228">
        <v>5.5</v>
      </c>
      <c r="AG111" s="229">
        <v>-3.5000000000000001E-3</v>
      </c>
      <c r="AH111" s="228">
        <v>-10.199999999999999</v>
      </c>
      <c r="AI111" s="228">
        <v>-15.55</v>
      </c>
      <c r="AJ111" s="228">
        <v>5.35</v>
      </c>
      <c r="AK111" s="229">
        <v>-2.3800000000000002E-2</v>
      </c>
      <c r="AL111" s="228">
        <v>-14.45</v>
      </c>
      <c r="AM111" s="228">
        <v>-21.3</v>
      </c>
      <c r="AN111" s="228">
        <v>6.85</v>
      </c>
      <c r="AO111" s="229">
        <v>-3.3799999999999997E-2</v>
      </c>
      <c r="AP111" s="228">
        <v>426.75</v>
      </c>
      <c r="AQ111" s="228">
        <v>418.21</v>
      </c>
      <c r="AR111" s="228">
        <v>0</v>
      </c>
      <c r="AS111" s="228">
        <v>292</v>
      </c>
      <c r="AT111" s="228">
        <v>820</v>
      </c>
      <c r="AU111" s="228">
        <v>-528</v>
      </c>
      <c r="AV111" s="229">
        <v>-0.64390000000000003</v>
      </c>
      <c r="AW111" s="228">
        <v>226</v>
      </c>
      <c r="AX111" s="228">
        <v>646</v>
      </c>
      <c r="AY111" s="228">
        <v>-420</v>
      </c>
      <c r="AZ111" s="229">
        <v>-0.64959999999999996</v>
      </c>
      <c r="BA111" s="228">
        <v>58</v>
      </c>
      <c r="BB111" s="228">
        <v>156</v>
      </c>
      <c r="BC111" s="228">
        <v>-98</v>
      </c>
      <c r="BD111" s="229">
        <v>-0.62819999999999998</v>
      </c>
      <c r="BE111" s="228">
        <v>8</v>
      </c>
      <c r="BF111" s="228">
        <v>18</v>
      </c>
      <c r="BG111" s="228">
        <v>-11</v>
      </c>
      <c r="BH111" s="229">
        <v>-0.57930000000000004</v>
      </c>
      <c r="BI111" s="228">
        <v>586</v>
      </c>
      <c r="BJ111" s="230">
        <v>1694</v>
      </c>
      <c r="BK111" s="230">
        <v>-1107</v>
      </c>
      <c r="BL111" s="229">
        <v>-0.65380000000000005</v>
      </c>
      <c r="BM111" s="228">
        <v>270</v>
      </c>
      <c r="BN111" s="228">
        <v>949</v>
      </c>
      <c r="BO111" s="228">
        <v>-679</v>
      </c>
      <c r="BP111" s="229">
        <v>-0.71530000000000005</v>
      </c>
      <c r="BQ111" s="230">
        <v>1149</v>
      </c>
      <c r="BR111" s="230">
        <v>3463</v>
      </c>
      <c r="BS111" s="230">
        <v>-2314</v>
      </c>
      <c r="BT111" s="229">
        <v>-0.66830000000000001</v>
      </c>
      <c r="BU111" s="230">
        <v>3177856</v>
      </c>
      <c r="BV111" s="230">
        <v>13963792</v>
      </c>
      <c r="BW111" s="230">
        <v>-10785936</v>
      </c>
      <c r="BX111" s="229">
        <v>-0.77239999999999998</v>
      </c>
      <c r="BY111" s="230">
        <v>1722</v>
      </c>
      <c r="BZ111" s="230">
        <v>1627</v>
      </c>
      <c r="CA111" s="228">
        <v>95</v>
      </c>
      <c r="CB111" s="229">
        <v>5.8599999999999999E-2</v>
      </c>
      <c r="CC111" s="230">
        <v>1430</v>
      </c>
      <c r="CD111" s="230">
        <v>1370</v>
      </c>
      <c r="CE111" s="228">
        <v>60</v>
      </c>
      <c r="CF111" s="229">
        <v>4.3700000000000003E-2</v>
      </c>
      <c r="CG111" s="228">
        <v>271</v>
      </c>
      <c r="CH111" s="228">
        <v>237</v>
      </c>
      <c r="CI111" s="228">
        <v>33</v>
      </c>
      <c r="CJ111" s="229">
        <v>0.1396</v>
      </c>
      <c r="CK111" s="228">
        <v>21</v>
      </c>
      <c r="CL111" s="228">
        <v>19</v>
      </c>
      <c r="CM111" s="228">
        <v>2</v>
      </c>
      <c r="CN111" s="229">
        <v>0.1222</v>
      </c>
      <c r="CO111" s="228">
        <v>651</v>
      </c>
      <c r="CP111" s="228">
        <v>664</v>
      </c>
      <c r="CQ111" s="228">
        <v>-13</v>
      </c>
      <c r="CR111" s="229">
        <v>-1.89E-2</v>
      </c>
      <c r="CS111" s="228">
        <v>432</v>
      </c>
      <c r="CT111" s="228">
        <v>433</v>
      </c>
      <c r="CU111" s="228">
        <v>-1</v>
      </c>
      <c r="CV111" s="229">
        <v>-2.5000000000000001E-3</v>
      </c>
      <c r="CW111" s="230">
        <v>2806</v>
      </c>
      <c r="CX111" s="230">
        <v>2724</v>
      </c>
      <c r="CY111" s="228">
        <v>82</v>
      </c>
      <c r="CZ111" s="229">
        <v>0.03</v>
      </c>
      <c r="DA111" s="228">
        <v>38.82</v>
      </c>
      <c r="DB111" s="228">
        <v>38.33</v>
      </c>
      <c r="DC111" s="228">
        <v>0.49</v>
      </c>
      <c r="DD111" s="228">
        <v>0.49</v>
      </c>
      <c r="DE111" s="228">
        <v>37.78</v>
      </c>
      <c r="DF111" s="228">
        <v>37.799999999999997</v>
      </c>
      <c r="DG111" s="228">
        <v>1.04</v>
      </c>
      <c r="DH111" s="228">
        <v>-0.02</v>
      </c>
      <c r="DI111" s="228">
        <v>39.07</v>
      </c>
      <c r="DJ111" s="228">
        <v>37.71</v>
      </c>
      <c r="DK111" s="228">
        <v>1.36</v>
      </c>
      <c r="DL111" s="228">
        <v>1.36</v>
      </c>
      <c r="DM111" s="228">
        <v>38.270000000000003</v>
      </c>
      <c r="DN111" s="228">
        <v>39.43</v>
      </c>
      <c r="DO111" s="228">
        <v>-1.1599999999999999</v>
      </c>
      <c r="DP111" s="228">
        <v>-1.1599999999999999</v>
      </c>
      <c r="DQ111" s="228">
        <v>0.66</v>
      </c>
      <c r="DR111" s="228">
        <v>0.65</v>
      </c>
      <c r="DS111" s="228">
        <v>0.01</v>
      </c>
      <c r="DT111" s="229">
        <v>1.54E-2</v>
      </c>
      <c r="DU111" s="228">
        <v>500</v>
      </c>
      <c r="DV111" s="228">
        <v>420</v>
      </c>
      <c r="DW111" s="228">
        <v>0.46</v>
      </c>
      <c r="DX111" s="228">
        <v>0.56000000000000005</v>
      </c>
      <c r="DY111" s="228">
        <v>-0.1</v>
      </c>
      <c r="DZ111" s="229">
        <v>-0.17860000000000001</v>
      </c>
      <c r="EA111" s="229">
        <v>0.1694</v>
      </c>
      <c r="EB111" s="230">
        <v>6010000</v>
      </c>
      <c r="EC111" s="229">
        <v>-2.0400000000000001E-2</v>
      </c>
      <c r="ED111" s="229">
        <v>0.1694</v>
      </c>
      <c r="EE111" s="228">
        <v>-8.5399999999999991</v>
      </c>
      <c r="EF111" s="229">
        <v>-0.02</v>
      </c>
      <c r="EG111" s="230">
        <v>977855</v>
      </c>
      <c r="EH111" s="230">
        <v>5494238</v>
      </c>
      <c r="EI111" s="229">
        <v>-0.82199999999999995</v>
      </c>
      <c r="EJ111" s="229">
        <v>0.30769999999999997</v>
      </c>
      <c r="EK111" s="228">
        <v>652.1</v>
      </c>
      <c r="EL111" s="228">
        <v>270.39999999999998</v>
      </c>
      <c r="EM111" s="228">
        <v>290.98</v>
      </c>
      <c r="EN111" s="228">
        <v>123.73</v>
      </c>
      <c r="EO111" s="231">
        <v>1213.48</v>
      </c>
      <c r="EP111" s="231">
        <v>3584.64</v>
      </c>
      <c r="EQ111" s="231">
        <v>-2371.17</v>
      </c>
      <c r="ER111" s="229">
        <v>-0.66149999999999998</v>
      </c>
      <c r="ES111" s="228">
        <v>712.61</v>
      </c>
      <c r="ET111" s="228">
        <v>432.55</v>
      </c>
      <c r="EU111" s="231">
        <v>1715.65</v>
      </c>
      <c r="EV111" s="231">
        <v>58777851</v>
      </c>
      <c r="EW111" s="231">
        <v>2860.82</v>
      </c>
      <c r="EX111" s="231">
        <v>2797.81</v>
      </c>
      <c r="EY111" s="228">
        <v>63.01</v>
      </c>
      <c r="EZ111" s="229">
        <v>2.2499999999999999E-2</v>
      </c>
      <c r="FA111" s="229">
        <v>1.1195999999999999</v>
      </c>
      <c r="FB111" s="227" t="s">
        <v>566</v>
      </c>
      <c r="FC111">
        <f t="shared" si="1"/>
        <v>292</v>
      </c>
    </row>
    <row r="112" spans="1:159" ht="17.25" thickBot="1" x14ac:dyDescent="0.3">
      <c r="A112" s="226">
        <v>46121</v>
      </c>
      <c r="B112" s="227" t="s">
        <v>168</v>
      </c>
      <c r="C112" s="227" t="s">
        <v>581</v>
      </c>
      <c r="D112" s="228">
        <v>1175</v>
      </c>
      <c r="E112" s="228">
        <v>19</v>
      </c>
      <c r="F112" s="228">
        <v>447.85</v>
      </c>
      <c r="G112" s="228">
        <v>447.8</v>
      </c>
      <c r="H112" s="228">
        <v>0.05</v>
      </c>
      <c r="I112" s="229">
        <v>1E-4</v>
      </c>
      <c r="J112" s="228">
        <v>446.1</v>
      </c>
      <c r="K112" s="228">
        <v>445.55</v>
      </c>
      <c r="L112" s="228">
        <v>0.55000000000000004</v>
      </c>
      <c r="M112" s="229">
        <v>1.1999999999999999E-3</v>
      </c>
      <c r="N112" s="228">
        <v>447.85</v>
      </c>
      <c r="O112" s="228">
        <v>447.8</v>
      </c>
      <c r="P112" s="228">
        <v>0.05</v>
      </c>
      <c r="Q112" s="229">
        <v>1E-4</v>
      </c>
      <c r="R112" s="228">
        <v>450.9</v>
      </c>
      <c r="S112" s="228">
        <v>450.3</v>
      </c>
      <c r="T112" s="228">
        <v>0.6</v>
      </c>
      <c r="U112" s="229">
        <v>1.2999999999999999E-3</v>
      </c>
      <c r="V112" s="228">
        <v>452.55</v>
      </c>
      <c r="W112" s="228">
        <v>452.4</v>
      </c>
      <c r="X112" s="228">
        <v>0.15</v>
      </c>
      <c r="Y112" s="229">
        <v>2.9999999999999997E-4</v>
      </c>
      <c r="Z112" s="228">
        <v>1.75</v>
      </c>
      <c r="AA112" s="228">
        <v>2.25</v>
      </c>
      <c r="AB112" s="228">
        <v>-0.5</v>
      </c>
      <c r="AC112" s="229">
        <v>3.8999999999999998E-3</v>
      </c>
      <c r="AD112" s="228">
        <v>1.75</v>
      </c>
      <c r="AE112" s="228">
        <v>2.25</v>
      </c>
      <c r="AF112" s="228">
        <v>-0.5</v>
      </c>
      <c r="AG112" s="229">
        <v>3.8999999999999998E-3</v>
      </c>
      <c r="AH112" s="228">
        <v>4.8</v>
      </c>
      <c r="AI112" s="228">
        <v>4.75</v>
      </c>
      <c r="AJ112" s="228">
        <v>0.05</v>
      </c>
      <c r="AK112" s="229">
        <v>1.0800000000000001E-2</v>
      </c>
      <c r="AL112" s="228">
        <v>6.45</v>
      </c>
      <c r="AM112" s="228">
        <v>6.85</v>
      </c>
      <c r="AN112" s="228">
        <v>-0.4</v>
      </c>
      <c r="AO112" s="229">
        <v>1.4500000000000001E-2</v>
      </c>
      <c r="AP112" s="228">
        <v>447.57</v>
      </c>
      <c r="AQ112" s="228">
        <v>450</v>
      </c>
      <c r="AR112" s="228">
        <v>0</v>
      </c>
      <c r="AS112" s="228">
        <v>144</v>
      </c>
      <c r="AT112" s="228">
        <v>307</v>
      </c>
      <c r="AU112" s="228">
        <v>-163</v>
      </c>
      <c r="AV112" s="229">
        <v>-0.53210000000000002</v>
      </c>
      <c r="AW112" s="228">
        <v>130</v>
      </c>
      <c r="AX112" s="228">
        <v>290</v>
      </c>
      <c r="AY112" s="228">
        <v>-160</v>
      </c>
      <c r="AZ112" s="229">
        <v>-0.55069999999999997</v>
      </c>
      <c r="BA112" s="228">
        <v>12</v>
      </c>
      <c r="BB112" s="228">
        <v>13</v>
      </c>
      <c r="BC112" s="228">
        <v>-2</v>
      </c>
      <c r="BD112" s="229">
        <v>-0.127</v>
      </c>
      <c r="BE112" s="228">
        <v>2</v>
      </c>
      <c r="BF112" s="228">
        <v>4</v>
      </c>
      <c r="BG112" s="228">
        <v>-2</v>
      </c>
      <c r="BH112" s="229">
        <v>-0.52859999999999996</v>
      </c>
      <c r="BI112" s="228">
        <v>406</v>
      </c>
      <c r="BJ112" s="230">
        <v>1209</v>
      </c>
      <c r="BK112" s="228">
        <v>-803</v>
      </c>
      <c r="BL112" s="229">
        <v>-0.66410000000000002</v>
      </c>
      <c r="BM112" s="228">
        <v>249</v>
      </c>
      <c r="BN112" s="228">
        <v>400</v>
      </c>
      <c r="BO112" s="228">
        <v>-151</v>
      </c>
      <c r="BP112" s="229">
        <v>-0.37769999999999998</v>
      </c>
      <c r="BQ112" s="228">
        <v>799</v>
      </c>
      <c r="BR112" s="230">
        <v>1916</v>
      </c>
      <c r="BS112" s="230">
        <v>-1117</v>
      </c>
      <c r="BT112" s="229">
        <v>-0.58309999999999995</v>
      </c>
      <c r="BU112" s="230">
        <v>5993681</v>
      </c>
      <c r="BV112" s="230">
        <v>10863968</v>
      </c>
      <c r="BW112" s="230">
        <v>-4870287</v>
      </c>
      <c r="BX112" s="229">
        <v>-0.44829999999999998</v>
      </c>
      <c r="BY112" s="230">
        <v>1085</v>
      </c>
      <c r="BZ112" s="230">
        <v>1071</v>
      </c>
      <c r="CA112" s="228">
        <v>13</v>
      </c>
      <c r="CB112" s="229">
        <v>1.2500000000000001E-2</v>
      </c>
      <c r="CC112" s="230">
        <v>1058</v>
      </c>
      <c r="CD112" s="230">
        <v>1047</v>
      </c>
      <c r="CE112" s="228">
        <v>12</v>
      </c>
      <c r="CF112" s="229">
        <v>1.11E-2</v>
      </c>
      <c r="CG112" s="228">
        <v>25</v>
      </c>
      <c r="CH112" s="228">
        <v>23</v>
      </c>
      <c r="CI112" s="228">
        <v>2</v>
      </c>
      <c r="CJ112" s="229">
        <v>6.88E-2</v>
      </c>
      <c r="CK112" s="228">
        <v>2</v>
      </c>
      <c r="CL112" s="228">
        <v>2</v>
      </c>
      <c r="CM112" s="228">
        <v>0</v>
      </c>
      <c r="CN112" s="229">
        <v>0.1515</v>
      </c>
      <c r="CO112" s="228">
        <v>258</v>
      </c>
      <c r="CP112" s="228">
        <v>240</v>
      </c>
      <c r="CQ112" s="228">
        <v>18</v>
      </c>
      <c r="CR112" s="229">
        <v>7.46E-2</v>
      </c>
      <c r="CS112" s="228">
        <v>238</v>
      </c>
      <c r="CT112" s="228">
        <v>224</v>
      </c>
      <c r="CU112" s="228">
        <v>14</v>
      </c>
      <c r="CV112" s="229">
        <v>6.0699999999999997E-2</v>
      </c>
      <c r="CW112" s="230">
        <v>1580</v>
      </c>
      <c r="CX112" s="230">
        <v>1535</v>
      </c>
      <c r="CY112" s="228">
        <v>45</v>
      </c>
      <c r="CZ112" s="229">
        <v>2.93E-2</v>
      </c>
      <c r="DA112" s="228">
        <v>40.229999999999997</v>
      </c>
      <c r="DB112" s="228">
        <v>41.03</v>
      </c>
      <c r="DC112" s="228">
        <v>-0.8</v>
      </c>
      <c r="DD112" s="228">
        <v>-0.8</v>
      </c>
      <c r="DE112" s="228">
        <v>52.89</v>
      </c>
      <c r="DF112" s="228">
        <v>53.02</v>
      </c>
      <c r="DG112" s="228">
        <v>-12.66</v>
      </c>
      <c r="DH112" s="228">
        <v>-0.13</v>
      </c>
      <c r="DI112" s="228">
        <v>39.729999999999997</v>
      </c>
      <c r="DJ112" s="228">
        <v>40.11</v>
      </c>
      <c r="DK112" s="228">
        <v>-0.38</v>
      </c>
      <c r="DL112" s="228">
        <v>-0.38</v>
      </c>
      <c r="DM112" s="228">
        <v>41.06</v>
      </c>
      <c r="DN112" s="228">
        <v>43.83</v>
      </c>
      <c r="DO112" s="228">
        <v>-2.77</v>
      </c>
      <c r="DP112" s="228">
        <v>-2.77</v>
      </c>
      <c r="DQ112" s="228">
        <v>0.92</v>
      </c>
      <c r="DR112" s="228">
        <v>0.94</v>
      </c>
      <c r="DS112" s="228">
        <v>-0.02</v>
      </c>
      <c r="DT112" s="229">
        <v>-2.1299999999999999E-2</v>
      </c>
      <c r="DU112" s="228">
        <v>400</v>
      </c>
      <c r="DV112" s="228">
        <v>400</v>
      </c>
      <c r="DW112" s="228">
        <v>0.61</v>
      </c>
      <c r="DX112" s="228">
        <v>0.33</v>
      </c>
      <c r="DY112" s="228">
        <v>0.28000000000000003</v>
      </c>
      <c r="DZ112" s="229">
        <v>0.84850000000000003</v>
      </c>
      <c r="EA112" s="229">
        <v>2.4500000000000001E-2</v>
      </c>
      <c r="EB112" s="230">
        <v>551075</v>
      </c>
      <c r="EC112" s="229">
        <v>6.7999999999999996E-3</v>
      </c>
      <c r="ED112" s="229">
        <v>2.4500000000000001E-2</v>
      </c>
      <c r="EE112" s="228">
        <v>2.4300000000000002</v>
      </c>
      <c r="EF112" s="229">
        <v>5.4000000000000003E-3</v>
      </c>
      <c r="EG112" s="230">
        <v>2101044</v>
      </c>
      <c r="EH112" s="230">
        <v>3819923</v>
      </c>
      <c r="EI112" s="229">
        <v>-0.45</v>
      </c>
      <c r="EJ112" s="229">
        <v>0.35049999999999998</v>
      </c>
      <c r="EK112" s="228">
        <v>429.56</v>
      </c>
      <c r="EL112" s="228">
        <v>243.82</v>
      </c>
      <c r="EM112" s="228">
        <v>143.69999999999999</v>
      </c>
      <c r="EN112" s="228">
        <v>53.07</v>
      </c>
      <c r="EO112" s="228">
        <v>817.08</v>
      </c>
      <c r="EP112" s="231">
        <v>1921.81</v>
      </c>
      <c r="EQ112" s="231">
        <v>-1104.73</v>
      </c>
      <c r="ER112" s="229">
        <v>-0.57479999999999998</v>
      </c>
      <c r="ES112" s="228">
        <v>250.38</v>
      </c>
      <c r="ET112" s="228">
        <v>213.54</v>
      </c>
      <c r="EU112" s="231">
        <v>1084.8399999999999</v>
      </c>
      <c r="EV112" s="231">
        <v>57686748</v>
      </c>
      <c r="EW112" s="231">
        <v>1548.77</v>
      </c>
      <c r="EX112" s="231">
        <v>1501.63</v>
      </c>
      <c r="EY112" s="228">
        <v>47.14</v>
      </c>
      <c r="EZ112" s="229">
        <v>3.1399999999999997E-2</v>
      </c>
      <c r="FA112" s="229">
        <v>0.61170000000000002</v>
      </c>
      <c r="FB112" s="227" t="s">
        <v>555</v>
      </c>
      <c r="FC112">
        <f t="shared" si="1"/>
        <v>27</v>
      </c>
    </row>
    <row r="113" spans="1:159" ht="17.25" thickBot="1" x14ac:dyDescent="0.3">
      <c r="A113" s="226">
        <v>46121</v>
      </c>
      <c r="B113" s="227" t="s">
        <v>184</v>
      </c>
      <c r="C113" s="227" t="s">
        <v>674</v>
      </c>
      <c r="D113" s="228">
        <v>100</v>
      </c>
      <c r="E113" s="228">
        <v>19</v>
      </c>
      <c r="F113" s="231">
        <v>3802.8</v>
      </c>
      <c r="G113" s="231">
        <v>3909.5</v>
      </c>
      <c r="H113" s="228">
        <v>-106.7</v>
      </c>
      <c r="I113" s="229">
        <v>-2.7300000000000001E-2</v>
      </c>
      <c r="J113" s="231">
        <v>3851.5</v>
      </c>
      <c r="K113" s="231">
        <v>3911.4</v>
      </c>
      <c r="L113" s="228">
        <v>-59.9</v>
      </c>
      <c r="M113" s="229">
        <v>-1.5299999999999999E-2</v>
      </c>
      <c r="N113" s="231">
        <v>3802.8</v>
      </c>
      <c r="O113" s="231">
        <v>3909.5</v>
      </c>
      <c r="P113" s="228">
        <v>-106.7</v>
      </c>
      <c r="Q113" s="229">
        <v>-2.7300000000000001E-2</v>
      </c>
      <c r="R113" s="231">
        <v>3783.2</v>
      </c>
      <c r="S113" s="231">
        <v>3900.6</v>
      </c>
      <c r="T113" s="228">
        <v>-117.4</v>
      </c>
      <c r="U113" s="229">
        <v>-3.0099999999999998E-2</v>
      </c>
      <c r="V113" s="231">
        <v>3773</v>
      </c>
      <c r="W113" s="231">
        <v>3905.9</v>
      </c>
      <c r="X113" s="228">
        <v>-132.9</v>
      </c>
      <c r="Y113" s="229">
        <v>-3.4000000000000002E-2</v>
      </c>
      <c r="Z113" s="228">
        <v>-48.7</v>
      </c>
      <c r="AA113" s="228">
        <v>-1.9</v>
      </c>
      <c r="AB113" s="228">
        <v>-46.8</v>
      </c>
      <c r="AC113" s="229">
        <v>-1.26E-2</v>
      </c>
      <c r="AD113" s="228">
        <v>-48.7</v>
      </c>
      <c r="AE113" s="228">
        <v>-1.9</v>
      </c>
      <c r="AF113" s="228">
        <v>-46.8</v>
      </c>
      <c r="AG113" s="229">
        <v>-1.26E-2</v>
      </c>
      <c r="AH113" s="228">
        <v>-68.3</v>
      </c>
      <c r="AI113" s="228">
        <v>-10.8</v>
      </c>
      <c r="AJ113" s="228">
        <v>-57.5</v>
      </c>
      <c r="AK113" s="229">
        <v>-1.77E-2</v>
      </c>
      <c r="AL113" s="228">
        <v>-78.5</v>
      </c>
      <c r="AM113" s="228">
        <v>-5.5</v>
      </c>
      <c r="AN113" s="228">
        <v>-73</v>
      </c>
      <c r="AO113" s="229">
        <v>-2.0400000000000001E-2</v>
      </c>
      <c r="AP113" s="231">
        <v>3817.42</v>
      </c>
      <c r="AQ113" s="231">
        <v>3795.51</v>
      </c>
      <c r="AR113" s="228">
        <v>0</v>
      </c>
      <c r="AS113" s="228">
        <v>495</v>
      </c>
      <c r="AT113" s="228">
        <v>516</v>
      </c>
      <c r="AU113" s="228">
        <v>-20</v>
      </c>
      <c r="AV113" s="229">
        <v>-3.9399999999999998E-2</v>
      </c>
      <c r="AW113" s="228">
        <v>426</v>
      </c>
      <c r="AX113" s="228">
        <v>477</v>
      </c>
      <c r="AY113" s="228">
        <v>-51</v>
      </c>
      <c r="AZ113" s="229">
        <v>-0.10589999999999999</v>
      </c>
      <c r="BA113" s="228">
        <v>60</v>
      </c>
      <c r="BB113" s="228">
        <v>36</v>
      </c>
      <c r="BC113" s="228">
        <v>24</v>
      </c>
      <c r="BD113" s="229">
        <v>0.65469999999999995</v>
      </c>
      <c r="BE113" s="228">
        <v>10</v>
      </c>
      <c r="BF113" s="228">
        <v>3</v>
      </c>
      <c r="BG113" s="228">
        <v>7</v>
      </c>
      <c r="BH113" s="229">
        <v>2.1899000000000002</v>
      </c>
      <c r="BI113" s="228">
        <v>946</v>
      </c>
      <c r="BJ113" s="230">
        <v>1280</v>
      </c>
      <c r="BK113" s="228">
        <v>-334</v>
      </c>
      <c r="BL113" s="229">
        <v>-0.26090000000000002</v>
      </c>
      <c r="BM113" s="228">
        <v>405</v>
      </c>
      <c r="BN113" s="228">
        <v>494</v>
      </c>
      <c r="BO113" s="228">
        <v>-89</v>
      </c>
      <c r="BP113" s="229">
        <v>-0.1804</v>
      </c>
      <c r="BQ113" s="230">
        <v>1847</v>
      </c>
      <c r="BR113" s="230">
        <v>2290</v>
      </c>
      <c r="BS113" s="228">
        <v>-444</v>
      </c>
      <c r="BT113" s="229">
        <v>-0.19370000000000001</v>
      </c>
      <c r="BU113" s="230">
        <v>1705903</v>
      </c>
      <c r="BV113" s="230">
        <v>1777679</v>
      </c>
      <c r="BW113" s="230">
        <v>-71776</v>
      </c>
      <c r="BX113" s="229">
        <v>-4.0399999999999998E-2</v>
      </c>
      <c r="BY113" s="230">
        <v>1286</v>
      </c>
      <c r="BZ113" s="230">
        <v>1213</v>
      </c>
      <c r="CA113" s="228">
        <v>73</v>
      </c>
      <c r="CB113" s="229">
        <v>6.0400000000000002E-2</v>
      </c>
      <c r="CC113" s="230">
        <v>1193</v>
      </c>
      <c r="CD113" s="230">
        <v>1148</v>
      </c>
      <c r="CE113" s="228">
        <v>45</v>
      </c>
      <c r="CF113" s="229">
        <v>3.8800000000000001E-2</v>
      </c>
      <c r="CG113" s="228">
        <v>83</v>
      </c>
      <c r="CH113" s="228">
        <v>59</v>
      </c>
      <c r="CI113" s="228">
        <v>24</v>
      </c>
      <c r="CJ113" s="229">
        <v>0.4088</v>
      </c>
      <c r="CK113" s="228">
        <v>11</v>
      </c>
      <c r="CL113" s="228">
        <v>6</v>
      </c>
      <c r="CM113" s="228">
        <v>5</v>
      </c>
      <c r="CN113" s="229">
        <v>0.74850000000000005</v>
      </c>
      <c r="CO113" s="228">
        <v>469</v>
      </c>
      <c r="CP113" s="228">
        <v>422</v>
      </c>
      <c r="CQ113" s="228">
        <v>47</v>
      </c>
      <c r="CR113" s="229">
        <v>0.1115</v>
      </c>
      <c r="CS113" s="228">
        <v>344</v>
      </c>
      <c r="CT113" s="228">
        <v>347</v>
      </c>
      <c r="CU113" s="228">
        <v>-3</v>
      </c>
      <c r="CV113" s="229">
        <v>-8.3000000000000001E-3</v>
      </c>
      <c r="CW113" s="230">
        <v>2098</v>
      </c>
      <c r="CX113" s="230">
        <v>1981</v>
      </c>
      <c r="CY113" s="228">
        <v>117</v>
      </c>
      <c r="CZ113" s="229">
        <v>5.9200000000000003E-2</v>
      </c>
      <c r="DA113" s="228">
        <v>51.3</v>
      </c>
      <c r="DB113" s="228">
        <v>48.74</v>
      </c>
      <c r="DC113" s="228">
        <v>2.56</v>
      </c>
      <c r="DD113" s="228">
        <v>2.56</v>
      </c>
      <c r="DE113" s="228">
        <v>61.36</v>
      </c>
      <c r="DF113" s="228">
        <v>61.4</v>
      </c>
      <c r="DG113" s="228">
        <v>-10.06</v>
      </c>
      <c r="DH113" s="228">
        <v>-0.04</v>
      </c>
      <c r="DI113" s="228">
        <v>50.71</v>
      </c>
      <c r="DJ113" s="228">
        <v>47.03</v>
      </c>
      <c r="DK113" s="228">
        <v>3.68</v>
      </c>
      <c r="DL113" s="228">
        <v>3.68</v>
      </c>
      <c r="DM113" s="228">
        <v>52.69</v>
      </c>
      <c r="DN113" s="228">
        <v>53.18</v>
      </c>
      <c r="DO113" s="228">
        <v>-0.49</v>
      </c>
      <c r="DP113" s="228">
        <v>-0.49</v>
      </c>
      <c r="DQ113" s="228">
        <v>0.73</v>
      </c>
      <c r="DR113" s="228">
        <v>0.82</v>
      </c>
      <c r="DS113" s="228">
        <v>-0.09</v>
      </c>
      <c r="DT113" s="229">
        <v>-0.10979999999999999</v>
      </c>
      <c r="DU113" s="231">
        <v>4000</v>
      </c>
      <c r="DV113" s="231">
        <v>3600</v>
      </c>
      <c r="DW113" s="228">
        <v>0.43</v>
      </c>
      <c r="DX113" s="228">
        <v>0.39</v>
      </c>
      <c r="DY113" s="228">
        <v>0.04</v>
      </c>
      <c r="DZ113" s="229">
        <v>0.1026</v>
      </c>
      <c r="EA113" s="229">
        <v>7.2800000000000004E-2</v>
      </c>
      <c r="EB113" s="230">
        <v>170800</v>
      </c>
      <c r="EC113" s="229">
        <v>-5.1999999999999998E-3</v>
      </c>
      <c r="ED113" s="229">
        <v>7.2800000000000004E-2</v>
      </c>
      <c r="EE113" s="228">
        <v>-21.91</v>
      </c>
      <c r="EF113" s="229">
        <v>-5.7000000000000002E-3</v>
      </c>
      <c r="EG113" s="230">
        <v>344080</v>
      </c>
      <c r="EH113" s="230">
        <v>424163</v>
      </c>
      <c r="EI113" s="229">
        <v>-0.1888</v>
      </c>
      <c r="EJ113" s="229">
        <v>0.20169999999999999</v>
      </c>
      <c r="EK113" s="231">
        <v>1023.86</v>
      </c>
      <c r="EL113" s="228">
        <v>397.22</v>
      </c>
      <c r="EM113" s="228">
        <v>496.96</v>
      </c>
      <c r="EN113" s="228">
        <v>131.41999999999999</v>
      </c>
      <c r="EO113" s="231">
        <v>1918.04</v>
      </c>
      <c r="EP113" s="231">
        <v>2392.16</v>
      </c>
      <c r="EQ113" s="228">
        <v>-474.12</v>
      </c>
      <c r="ER113" s="229">
        <v>-0.19819999999999999</v>
      </c>
      <c r="ES113" s="228">
        <v>480.88</v>
      </c>
      <c r="ET113" s="228">
        <v>320.14</v>
      </c>
      <c r="EU113" s="231">
        <v>1285.67</v>
      </c>
      <c r="EV113" s="231">
        <v>4679418</v>
      </c>
      <c r="EW113" s="231">
        <v>2086.69</v>
      </c>
      <c r="EX113" s="231">
        <v>2001.21</v>
      </c>
      <c r="EY113" s="228">
        <v>85.48</v>
      </c>
      <c r="EZ113" s="229">
        <v>4.2700000000000002E-2</v>
      </c>
      <c r="FA113" s="229">
        <v>1.1793</v>
      </c>
      <c r="FB113" s="227" t="s">
        <v>566</v>
      </c>
      <c r="FC113">
        <f t="shared" si="1"/>
        <v>93</v>
      </c>
    </row>
    <row r="114" spans="1:159" ht="17.25" thickBot="1" x14ac:dyDescent="0.3">
      <c r="A114" s="226">
        <v>46121</v>
      </c>
      <c r="B114" s="227" t="s">
        <v>161</v>
      </c>
      <c r="C114" s="227" t="s">
        <v>609</v>
      </c>
      <c r="D114" s="228">
        <v>175</v>
      </c>
      <c r="E114" s="228">
        <v>19</v>
      </c>
      <c r="F114" s="231">
        <v>4418.8</v>
      </c>
      <c r="G114" s="231">
        <v>4447.2</v>
      </c>
      <c r="H114" s="228">
        <v>-28.4</v>
      </c>
      <c r="I114" s="229">
        <v>-6.4000000000000003E-3</v>
      </c>
      <c r="J114" s="231">
        <v>4416.8999999999996</v>
      </c>
      <c r="K114" s="231">
        <v>4507.2</v>
      </c>
      <c r="L114" s="228">
        <v>-90.3</v>
      </c>
      <c r="M114" s="229">
        <v>-0.02</v>
      </c>
      <c r="N114" s="231">
        <v>4418.8</v>
      </c>
      <c r="O114" s="231">
        <v>4447.2</v>
      </c>
      <c r="P114" s="228">
        <v>-28.4</v>
      </c>
      <c r="Q114" s="229">
        <v>-6.4000000000000003E-3</v>
      </c>
      <c r="R114" s="231">
        <v>4360.1000000000004</v>
      </c>
      <c r="S114" s="231">
        <v>4375.2</v>
      </c>
      <c r="T114" s="228">
        <v>-15.1</v>
      </c>
      <c r="U114" s="229">
        <v>-3.5000000000000001E-3</v>
      </c>
      <c r="V114" s="231">
        <v>4348.8</v>
      </c>
      <c r="W114" s="231">
        <v>4453.1000000000004</v>
      </c>
      <c r="X114" s="228">
        <v>-104.3</v>
      </c>
      <c r="Y114" s="229">
        <v>-2.3400000000000001E-2</v>
      </c>
      <c r="Z114" s="228">
        <v>1.9</v>
      </c>
      <c r="AA114" s="228">
        <v>-60</v>
      </c>
      <c r="AB114" s="228">
        <v>61.9</v>
      </c>
      <c r="AC114" s="229">
        <v>4.0000000000000002E-4</v>
      </c>
      <c r="AD114" s="228">
        <v>1.9</v>
      </c>
      <c r="AE114" s="228">
        <v>-60</v>
      </c>
      <c r="AF114" s="228">
        <v>61.9</v>
      </c>
      <c r="AG114" s="229">
        <v>4.0000000000000002E-4</v>
      </c>
      <c r="AH114" s="228">
        <v>-56.8</v>
      </c>
      <c r="AI114" s="228">
        <v>-132</v>
      </c>
      <c r="AJ114" s="228">
        <v>75.2</v>
      </c>
      <c r="AK114" s="229">
        <v>-1.29E-2</v>
      </c>
      <c r="AL114" s="228">
        <v>-68.099999999999994</v>
      </c>
      <c r="AM114" s="228">
        <v>-54.1</v>
      </c>
      <c r="AN114" s="228">
        <v>-14</v>
      </c>
      <c r="AO114" s="229">
        <v>-1.54E-2</v>
      </c>
      <c r="AP114" s="231">
        <v>4414.82</v>
      </c>
      <c r="AQ114" s="231">
        <v>4349.32</v>
      </c>
      <c r="AR114" s="228">
        <v>0</v>
      </c>
      <c r="AS114" s="228">
        <v>167</v>
      </c>
      <c r="AT114" s="228">
        <v>333</v>
      </c>
      <c r="AU114" s="228">
        <v>-165</v>
      </c>
      <c r="AV114" s="229">
        <v>-0.49730000000000002</v>
      </c>
      <c r="AW114" s="228">
        <v>152</v>
      </c>
      <c r="AX114" s="228">
        <v>284</v>
      </c>
      <c r="AY114" s="228">
        <v>-132</v>
      </c>
      <c r="AZ114" s="229">
        <v>-0.46350000000000002</v>
      </c>
      <c r="BA114" s="228">
        <v>15</v>
      </c>
      <c r="BB114" s="228">
        <v>48</v>
      </c>
      <c r="BC114" s="228">
        <v>-33</v>
      </c>
      <c r="BD114" s="229">
        <v>-0.69159999999999999</v>
      </c>
      <c r="BE114" s="228">
        <v>0</v>
      </c>
      <c r="BF114" s="228">
        <v>1</v>
      </c>
      <c r="BG114" s="228">
        <v>-1</v>
      </c>
      <c r="BH114" s="229">
        <v>-0.84619999999999995</v>
      </c>
      <c r="BI114" s="228">
        <v>269</v>
      </c>
      <c r="BJ114" s="228">
        <v>433</v>
      </c>
      <c r="BK114" s="228">
        <v>-164</v>
      </c>
      <c r="BL114" s="229">
        <v>-0.37809999999999999</v>
      </c>
      <c r="BM114" s="228">
        <v>120</v>
      </c>
      <c r="BN114" s="228">
        <v>168</v>
      </c>
      <c r="BO114" s="228">
        <v>-48</v>
      </c>
      <c r="BP114" s="229">
        <v>-0.28499999999999998</v>
      </c>
      <c r="BQ114" s="228">
        <v>557</v>
      </c>
      <c r="BR114" s="228">
        <v>934</v>
      </c>
      <c r="BS114" s="228">
        <v>-377</v>
      </c>
      <c r="BT114" s="229">
        <v>-0.40389999999999998</v>
      </c>
      <c r="BU114" s="230">
        <v>490181</v>
      </c>
      <c r="BV114" s="230">
        <v>797219</v>
      </c>
      <c r="BW114" s="230">
        <v>-307038</v>
      </c>
      <c r="BX114" s="229">
        <v>-0.3851</v>
      </c>
      <c r="BY114" s="228">
        <v>963</v>
      </c>
      <c r="BZ114" s="228">
        <v>966</v>
      </c>
      <c r="CA114" s="228">
        <v>-3</v>
      </c>
      <c r="CB114" s="229">
        <v>-3.3999999999999998E-3</v>
      </c>
      <c r="CC114" s="228">
        <v>902</v>
      </c>
      <c r="CD114" s="228">
        <v>913</v>
      </c>
      <c r="CE114" s="228">
        <v>-11</v>
      </c>
      <c r="CF114" s="229">
        <v>-1.1900000000000001E-2</v>
      </c>
      <c r="CG114" s="228">
        <v>60</v>
      </c>
      <c r="CH114" s="228">
        <v>53</v>
      </c>
      <c r="CI114" s="228">
        <v>7</v>
      </c>
      <c r="CJ114" s="229">
        <v>0.14099999999999999</v>
      </c>
      <c r="CK114" s="228">
        <v>1</v>
      </c>
      <c r="CL114" s="228">
        <v>1</v>
      </c>
      <c r="CM114" s="228">
        <v>0</v>
      </c>
      <c r="CN114" s="229">
        <v>0.1429</v>
      </c>
      <c r="CO114" s="228">
        <v>220</v>
      </c>
      <c r="CP114" s="228">
        <v>181</v>
      </c>
      <c r="CQ114" s="228">
        <v>39</v>
      </c>
      <c r="CR114" s="229">
        <v>0.21410000000000001</v>
      </c>
      <c r="CS114" s="228">
        <v>187</v>
      </c>
      <c r="CT114" s="228">
        <v>166</v>
      </c>
      <c r="CU114" s="228">
        <v>20</v>
      </c>
      <c r="CV114" s="229">
        <v>0.12280000000000001</v>
      </c>
      <c r="CW114" s="230">
        <v>1369</v>
      </c>
      <c r="CX114" s="230">
        <v>1313</v>
      </c>
      <c r="CY114" s="228">
        <v>56</v>
      </c>
      <c r="CZ114" s="229">
        <v>4.2500000000000003E-2</v>
      </c>
      <c r="DA114" s="228">
        <v>40.47</v>
      </c>
      <c r="DB114" s="228">
        <v>40.92</v>
      </c>
      <c r="DC114" s="228">
        <v>-0.45</v>
      </c>
      <c r="DD114" s="228">
        <v>-0.45</v>
      </c>
      <c r="DE114" s="228">
        <v>46.72</v>
      </c>
      <c r="DF114" s="228">
        <v>46.83</v>
      </c>
      <c r="DG114" s="228">
        <v>-6.25</v>
      </c>
      <c r="DH114" s="228">
        <v>-0.11</v>
      </c>
      <c r="DI114" s="228">
        <v>40.04</v>
      </c>
      <c r="DJ114" s="228">
        <v>40.01</v>
      </c>
      <c r="DK114" s="228">
        <v>0.03</v>
      </c>
      <c r="DL114" s="228">
        <v>0.03</v>
      </c>
      <c r="DM114" s="228">
        <v>41.44</v>
      </c>
      <c r="DN114" s="228">
        <v>43.26</v>
      </c>
      <c r="DO114" s="228">
        <v>-1.82</v>
      </c>
      <c r="DP114" s="228">
        <v>-1.82</v>
      </c>
      <c r="DQ114" s="228">
        <v>0.85</v>
      </c>
      <c r="DR114" s="228">
        <v>0.92</v>
      </c>
      <c r="DS114" s="228">
        <v>-7.0000000000000007E-2</v>
      </c>
      <c r="DT114" s="229">
        <v>-7.6100000000000001E-2</v>
      </c>
      <c r="DU114" s="231">
        <v>5000</v>
      </c>
      <c r="DV114" s="231">
        <v>4500</v>
      </c>
      <c r="DW114" s="228">
        <v>0.45</v>
      </c>
      <c r="DX114" s="228">
        <v>0.39</v>
      </c>
      <c r="DY114" s="228">
        <v>0.06</v>
      </c>
      <c r="DZ114" s="229">
        <v>0.15379999999999999</v>
      </c>
      <c r="EA114" s="229">
        <v>6.3700000000000007E-2</v>
      </c>
      <c r="EB114" s="230">
        <v>121625</v>
      </c>
      <c r="EC114" s="229">
        <v>-1.3299999999999999E-2</v>
      </c>
      <c r="ED114" s="229">
        <v>6.3700000000000007E-2</v>
      </c>
      <c r="EE114" s="228">
        <v>-65.5</v>
      </c>
      <c r="EF114" s="229">
        <v>-1.4800000000000001E-2</v>
      </c>
      <c r="EG114" s="230">
        <v>210263</v>
      </c>
      <c r="EH114" s="230">
        <v>370073</v>
      </c>
      <c r="EI114" s="229">
        <v>-0.43180000000000002</v>
      </c>
      <c r="EJ114" s="229">
        <v>0.4289</v>
      </c>
      <c r="EK114" s="228">
        <v>288.42</v>
      </c>
      <c r="EL114" s="228">
        <v>120.87</v>
      </c>
      <c r="EM114" s="228">
        <v>166.89</v>
      </c>
      <c r="EN114" s="228">
        <v>27.63</v>
      </c>
      <c r="EO114" s="228">
        <v>576.17999999999995</v>
      </c>
      <c r="EP114" s="228">
        <v>960.08</v>
      </c>
      <c r="EQ114" s="228">
        <v>-383.91</v>
      </c>
      <c r="ER114" s="229">
        <v>-0.39989999999999998</v>
      </c>
      <c r="ES114" s="228">
        <v>221.77</v>
      </c>
      <c r="ET114" s="228">
        <v>175.71</v>
      </c>
      <c r="EU114" s="228">
        <v>962.16</v>
      </c>
      <c r="EV114" s="231">
        <v>9320940</v>
      </c>
      <c r="EW114" s="231">
        <v>1359.64</v>
      </c>
      <c r="EX114" s="231">
        <v>1308.31</v>
      </c>
      <c r="EY114" s="228">
        <v>51.33</v>
      </c>
      <c r="EZ114" s="229">
        <v>3.9199999999999999E-2</v>
      </c>
      <c r="FA114" s="229">
        <v>0.33239999999999997</v>
      </c>
      <c r="FB114" s="227" t="s">
        <v>567</v>
      </c>
      <c r="FC114">
        <f t="shared" si="1"/>
        <v>61</v>
      </c>
    </row>
    <row r="115" spans="1:159" ht="17.25" thickBot="1" x14ac:dyDescent="0.3">
      <c r="A115" s="226">
        <v>46121</v>
      </c>
      <c r="B115" s="227" t="s">
        <v>175</v>
      </c>
      <c r="C115" s="227" t="s">
        <v>681</v>
      </c>
      <c r="D115" s="228">
        <v>500</v>
      </c>
      <c r="E115" s="228">
        <v>19</v>
      </c>
      <c r="F115" s="228">
        <v>893.85</v>
      </c>
      <c r="G115" s="228">
        <v>911.35</v>
      </c>
      <c r="H115" s="228">
        <v>-17.5</v>
      </c>
      <c r="I115" s="229">
        <v>-1.9199999999999998E-2</v>
      </c>
      <c r="J115" s="228">
        <v>892.25</v>
      </c>
      <c r="K115" s="228">
        <v>919.35</v>
      </c>
      <c r="L115" s="228">
        <v>-27.1</v>
      </c>
      <c r="M115" s="229">
        <v>-2.9499999999999998E-2</v>
      </c>
      <c r="N115" s="228">
        <v>893.85</v>
      </c>
      <c r="O115" s="228">
        <v>911.35</v>
      </c>
      <c r="P115" s="228">
        <v>-17.5</v>
      </c>
      <c r="Q115" s="229">
        <v>-1.9199999999999998E-2</v>
      </c>
      <c r="R115" s="228">
        <v>877.25</v>
      </c>
      <c r="S115" s="228">
        <v>895.35</v>
      </c>
      <c r="T115" s="228">
        <v>-18.100000000000001</v>
      </c>
      <c r="U115" s="229">
        <v>-2.0199999999999999E-2</v>
      </c>
      <c r="V115" s="228">
        <v>873.75</v>
      </c>
      <c r="W115" s="228">
        <v>888.1</v>
      </c>
      <c r="X115" s="228">
        <v>-14.35</v>
      </c>
      <c r="Y115" s="229">
        <v>-1.6199999999999999E-2</v>
      </c>
      <c r="Z115" s="228">
        <v>1.6</v>
      </c>
      <c r="AA115" s="228">
        <v>-8</v>
      </c>
      <c r="AB115" s="228">
        <v>9.6</v>
      </c>
      <c r="AC115" s="229">
        <v>1.8E-3</v>
      </c>
      <c r="AD115" s="228">
        <v>1.6</v>
      </c>
      <c r="AE115" s="228">
        <v>-8</v>
      </c>
      <c r="AF115" s="228">
        <v>9.6</v>
      </c>
      <c r="AG115" s="229">
        <v>1.8E-3</v>
      </c>
      <c r="AH115" s="228">
        <v>-15</v>
      </c>
      <c r="AI115" s="228">
        <v>-24</v>
      </c>
      <c r="AJ115" s="228">
        <v>9</v>
      </c>
      <c r="AK115" s="229">
        <v>-1.6799999999999999E-2</v>
      </c>
      <c r="AL115" s="228">
        <v>-18.5</v>
      </c>
      <c r="AM115" s="228">
        <v>-31.25</v>
      </c>
      <c r="AN115" s="228">
        <v>12.75</v>
      </c>
      <c r="AO115" s="229">
        <v>-2.07E-2</v>
      </c>
      <c r="AP115" s="228">
        <v>900.95</v>
      </c>
      <c r="AQ115" s="228">
        <v>884.54</v>
      </c>
      <c r="AR115" s="228">
        <v>0</v>
      </c>
      <c r="AS115" s="228">
        <v>150</v>
      </c>
      <c r="AT115" s="228">
        <v>216</v>
      </c>
      <c r="AU115" s="228">
        <v>-66</v>
      </c>
      <c r="AV115" s="229">
        <v>-0.30470000000000003</v>
      </c>
      <c r="AW115" s="228">
        <v>127</v>
      </c>
      <c r="AX115" s="228">
        <v>192</v>
      </c>
      <c r="AY115" s="228">
        <v>-65</v>
      </c>
      <c r="AZ115" s="229">
        <v>-0.33679999999999999</v>
      </c>
      <c r="BA115" s="228">
        <v>21</v>
      </c>
      <c r="BB115" s="228">
        <v>23</v>
      </c>
      <c r="BC115" s="228">
        <v>-2</v>
      </c>
      <c r="BD115" s="229">
        <v>-8.7900000000000006E-2</v>
      </c>
      <c r="BE115" s="228">
        <v>2</v>
      </c>
      <c r="BF115" s="228">
        <v>1</v>
      </c>
      <c r="BG115" s="228">
        <v>1</v>
      </c>
      <c r="BH115" s="229">
        <v>0.64290000000000003</v>
      </c>
      <c r="BI115" s="228">
        <v>209</v>
      </c>
      <c r="BJ115" s="228">
        <v>210</v>
      </c>
      <c r="BK115" s="228">
        <v>-1</v>
      </c>
      <c r="BL115" s="229">
        <v>-3.2000000000000002E-3</v>
      </c>
      <c r="BM115" s="228">
        <v>52</v>
      </c>
      <c r="BN115" s="228">
        <v>79</v>
      </c>
      <c r="BO115" s="228">
        <v>-27</v>
      </c>
      <c r="BP115" s="229">
        <v>-0.3458</v>
      </c>
      <c r="BQ115" s="228">
        <v>411</v>
      </c>
      <c r="BR115" s="228">
        <v>505</v>
      </c>
      <c r="BS115" s="228">
        <v>-94</v>
      </c>
      <c r="BT115" s="229">
        <v>-0.18559999999999999</v>
      </c>
      <c r="BU115" s="230">
        <v>1861938</v>
      </c>
      <c r="BV115" s="230">
        <v>2071829</v>
      </c>
      <c r="BW115" s="230">
        <v>-209891</v>
      </c>
      <c r="BX115" s="229">
        <v>-0.1013</v>
      </c>
      <c r="BY115" s="228">
        <v>302</v>
      </c>
      <c r="BZ115" s="228">
        <v>269</v>
      </c>
      <c r="CA115" s="228">
        <v>33</v>
      </c>
      <c r="CB115" s="229">
        <v>0.1207</v>
      </c>
      <c r="CC115" s="228">
        <v>266</v>
      </c>
      <c r="CD115" s="228">
        <v>240</v>
      </c>
      <c r="CE115" s="228">
        <v>26</v>
      </c>
      <c r="CF115" s="229">
        <v>0.1089</v>
      </c>
      <c r="CG115" s="228">
        <v>33</v>
      </c>
      <c r="CH115" s="228">
        <v>27</v>
      </c>
      <c r="CI115" s="228">
        <v>6</v>
      </c>
      <c r="CJ115" s="229">
        <v>0.21249999999999999</v>
      </c>
      <c r="CK115" s="228">
        <v>3</v>
      </c>
      <c r="CL115" s="228">
        <v>2</v>
      </c>
      <c r="CM115" s="228">
        <v>1</v>
      </c>
      <c r="CN115" s="229">
        <v>0.28570000000000001</v>
      </c>
      <c r="CO115" s="228">
        <v>119</v>
      </c>
      <c r="CP115" s="228">
        <v>82</v>
      </c>
      <c r="CQ115" s="228">
        <v>37</v>
      </c>
      <c r="CR115" s="229">
        <v>0.4511</v>
      </c>
      <c r="CS115" s="228">
        <v>61</v>
      </c>
      <c r="CT115" s="228">
        <v>50</v>
      </c>
      <c r="CU115" s="228">
        <v>10</v>
      </c>
      <c r="CV115" s="229">
        <v>0.20549999999999999</v>
      </c>
      <c r="CW115" s="228">
        <v>481</v>
      </c>
      <c r="CX115" s="228">
        <v>402</v>
      </c>
      <c r="CY115" s="228">
        <v>80</v>
      </c>
      <c r="CZ115" s="229">
        <v>0.1986</v>
      </c>
      <c r="DA115" s="228">
        <v>44.32</v>
      </c>
      <c r="DB115" s="228">
        <v>40.590000000000003</v>
      </c>
      <c r="DC115" s="228">
        <v>3.73</v>
      </c>
      <c r="DD115" s="228">
        <v>3.73</v>
      </c>
      <c r="DE115" s="228">
        <v>50.5</v>
      </c>
      <c r="DF115" s="228">
        <v>50.55</v>
      </c>
      <c r="DG115" s="228">
        <v>-6.18</v>
      </c>
      <c r="DH115" s="228">
        <v>-0.05</v>
      </c>
      <c r="DI115" s="228">
        <v>44.19</v>
      </c>
      <c r="DJ115" s="228">
        <v>39.81</v>
      </c>
      <c r="DK115" s="228">
        <v>4.38</v>
      </c>
      <c r="DL115" s="228">
        <v>4.38</v>
      </c>
      <c r="DM115" s="228">
        <v>44.85</v>
      </c>
      <c r="DN115" s="228">
        <v>42.65</v>
      </c>
      <c r="DO115" s="228">
        <v>2.2000000000000002</v>
      </c>
      <c r="DP115" s="228">
        <v>2.2000000000000002</v>
      </c>
      <c r="DQ115" s="228">
        <v>0.51</v>
      </c>
      <c r="DR115" s="228">
        <v>0.62</v>
      </c>
      <c r="DS115" s="228">
        <v>-0.11</v>
      </c>
      <c r="DT115" s="229">
        <v>-0.1774</v>
      </c>
      <c r="DU115" s="228">
        <v>980</v>
      </c>
      <c r="DV115" s="228">
        <v>900</v>
      </c>
      <c r="DW115" s="228">
        <v>0.25</v>
      </c>
      <c r="DX115" s="228">
        <v>0.38</v>
      </c>
      <c r="DY115" s="228">
        <v>-0.13</v>
      </c>
      <c r="DZ115" s="229">
        <v>-0.34210000000000002</v>
      </c>
      <c r="EA115" s="229">
        <v>0.1182</v>
      </c>
      <c r="EB115" s="230">
        <v>328000</v>
      </c>
      <c r="EC115" s="229">
        <v>-1.8599999999999998E-2</v>
      </c>
      <c r="ED115" s="229">
        <v>0.1182</v>
      </c>
      <c r="EE115" s="228">
        <v>-16.41</v>
      </c>
      <c r="EF115" s="229">
        <v>-1.8200000000000001E-2</v>
      </c>
      <c r="EG115" s="230">
        <v>841524</v>
      </c>
      <c r="EH115" s="230">
        <v>875861</v>
      </c>
      <c r="EI115" s="229">
        <v>-3.9199999999999999E-2</v>
      </c>
      <c r="EJ115" s="229">
        <v>0.45200000000000001</v>
      </c>
      <c r="EK115" s="228">
        <v>228.92</v>
      </c>
      <c r="EL115" s="228">
        <v>52.18</v>
      </c>
      <c r="EM115" s="228">
        <v>150.78</v>
      </c>
      <c r="EN115" s="228">
        <v>31.5</v>
      </c>
      <c r="EO115" s="228">
        <v>431.88</v>
      </c>
      <c r="EP115" s="228">
        <v>531.54</v>
      </c>
      <c r="EQ115" s="228">
        <v>-99.66</v>
      </c>
      <c r="ER115" s="229">
        <v>-0.1875</v>
      </c>
      <c r="ES115" s="228">
        <v>126.43</v>
      </c>
      <c r="ET115" s="228">
        <v>60.41</v>
      </c>
      <c r="EU115" s="228">
        <v>301.36</v>
      </c>
      <c r="EV115" s="231">
        <v>19953342</v>
      </c>
      <c r="EW115" s="228">
        <v>488.2</v>
      </c>
      <c r="EX115" s="228">
        <v>411.89</v>
      </c>
      <c r="EY115" s="228">
        <v>76.31</v>
      </c>
      <c r="EZ115" s="229">
        <v>0.18529999999999999</v>
      </c>
      <c r="FA115" s="229">
        <v>0.27</v>
      </c>
      <c r="FB115" s="227" t="s">
        <v>566</v>
      </c>
      <c r="FC115">
        <f t="shared" si="1"/>
        <v>36</v>
      </c>
    </row>
    <row r="116" spans="1:159" ht="17.25" thickBot="1" x14ac:dyDescent="0.3">
      <c r="A116" s="226">
        <v>46121</v>
      </c>
      <c r="B116" s="227" t="s">
        <v>172</v>
      </c>
      <c r="C116" s="227" t="s">
        <v>246</v>
      </c>
      <c r="D116" s="228">
        <v>2000</v>
      </c>
      <c r="E116" s="228">
        <v>19</v>
      </c>
      <c r="F116" s="228">
        <v>373.05</v>
      </c>
      <c r="G116" s="228">
        <v>380.95</v>
      </c>
      <c r="H116" s="228">
        <v>-7.9</v>
      </c>
      <c r="I116" s="229">
        <v>-2.07E-2</v>
      </c>
      <c r="J116" s="228">
        <v>371.9</v>
      </c>
      <c r="K116" s="228">
        <v>380.15</v>
      </c>
      <c r="L116" s="228">
        <v>-8.25</v>
      </c>
      <c r="M116" s="229">
        <v>-2.1700000000000001E-2</v>
      </c>
      <c r="N116" s="228">
        <v>373.05</v>
      </c>
      <c r="O116" s="228">
        <v>380.95</v>
      </c>
      <c r="P116" s="228">
        <v>-7.9</v>
      </c>
      <c r="Q116" s="229">
        <v>-2.07E-2</v>
      </c>
      <c r="R116" s="228">
        <v>375.25</v>
      </c>
      <c r="S116" s="228">
        <v>383.4</v>
      </c>
      <c r="T116" s="228">
        <v>-8.15</v>
      </c>
      <c r="U116" s="229">
        <v>-2.1299999999999999E-2</v>
      </c>
      <c r="V116" s="228">
        <v>378.25</v>
      </c>
      <c r="W116" s="228">
        <v>384.95</v>
      </c>
      <c r="X116" s="228">
        <v>-6.7</v>
      </c>
      <c r="Y116" s="229">
        <v>-1.7399999999999999E-2</v>
      </c>
      <c r="Z116" s="228">
        <v>1.1499999999999999</v>
      </c>
      <c r="AA116" s="228">
        <v>0.8</v>
      </c>
      <c r="AB116" s="228">
        <v>0.35</v>
      </c>
      <c r="AC116" s="229">
        <v>3.0999999999999999E-3</v>
      </c>
      <c r="AD116" s="228">
        <v>1.1499999999999999</v>
      </c>
      <c r="AE116" s="228">
        <v>0.8</v>
      </c>
      <c r="AF116" s="228">
        <v>0.35</v>
      </c>
      <c r="AG116" s="229">
        <v>3.0999999999999999E-3</v>
      </c>
      <c r="AH116" s="228">
        <v>3.35</v>
      </c>
      <c r="AI116" s="228">
        <v>3.25</v>
      </c>
      <c r="AJ116" s="228">
        <v>0.1</v>
      </c>
      <c r="AK116" s="229">
        <v>8.9999999999999993E-3</v>
      </c>
      <c r="AL116" s="228">
        <v>6.35</v>
      </c>
      <c r="AM116" s="228">
        <v>4.8</v>
      </c>
      <c r="AN116" s="228">
        <v>1.55</v>
      </c>
      <c r="AO116" s="229">
        <v>1.7100000000000001E-2</v>
      </c>
      <c r="AP116" s="228">
        <v>374.03</v>
      </c>
      <c r="AQ116" s="228">
        <v>376.13</v>
      </c>
      <c r="AR116" s="228">
        <v>0</v>
      </c>
      <c r="AS116" s="228">
        <v>513</v>
      </c>
      <c r="AT116" s="230">
        <v>1132</v>
      </c>
      <c r="AU116" s="228">
        <v>-619</v>
      </c>
      <c r="AV116" s="229">
        <v>-0.54690000000000005</v>
      </c>
      <c r="AW116" s="228">
        <v>464</v>
      </c>
      <c r="AX116" s="230">
        <v>1076</v>
      </c>
      <c r="AY116" s="228">
        <v>-612</v>
      </c>
      <c r="AZ116" s="229">
        <v>-0.56879999999999997</v>
      </c>
      <c r="BA116" s="228">
        <v>44</v>
      </c>
      <c r="BB116" s="228">
        <v>49</v>
      </c>
      <c r="BC116" s="228">
        <v>-5</v>
      </c>
      <c r="BD116" s="229">
        <v>-0.10199999999999999</v>
      </c>
      <c r="BE116" s="228">
        <v>5</v>
      </c>
      <c r="BF116" s="228">
        <v>6</v>
      </c>
      <c r="BG116" s="228">
        <v>-2</v>
      </c>
      <c r="BH116" s="229">
        <v>-0.27589999999999998</v>
      </c>
      <c r="BI116" s="228">
        <v>772</v>
      </c>
      <c r="BJ116" s="230">
        <v>1400</v>
      </c>
      <c r="BK116" s="228">
        <v>-628</v>
      </c>
      <c r="BL116" s="229">
        <v>-0.44869999999999999</v>
      </c>
      <c r="BM116" s="228">
        <v>529</v>
      </c>
      <c r="BN116" s="228">
        <v>971</v>
      </c>
      <c r="BO116" s="228">
        <v>-441</v>
      </c>
      <c r="BP116" s="229">
        <v>-0.4546</v>
      </c>
      <c r="BQ116" s="230">
        <v>1814</v>
      </c>
      <c r="BR116" s="230">
        <v>3503</v>
      </c>
      <c r="BS116" s="230">
        <v>-1688</v>
      </c>
      <c r="BT116" s="229">
        <v>-0.48199999999999998</v>
      </c>
      <c r="BU116" s="230">
        <v>14823378</v>
      </c>
      <c r="BV116" s="230">
        <v>32664654</v>
      </c>
      <c r="BW116" s="230">
        <v>-17841276</v>
      </c>
      <c r="BX116" s="229">
        <v>-0.54620000000000002</v>
      </c>
      <c r="BY116" s="230">
        <v>8066</v>
      </c>
      <c r="BZ116" s="230">
        <v>8061</v>
      </c>
      <c r="CA116" s="228">
        <v>5</v>
      </c>
      <c r="CB116" s="229">
        <v>5.9999999999999995E-4</v>
      </c>
      <c r="CC116" s="230">
        <v>7109</v>
      </c>
      <c r="CD116" s="230">
        <v>7134</v>
      </c>
      <c r="CE116" s="228">
        <v>-25</v>
      </c>
      <c r="CF116" s="229">
        <v>-3.5000000000000001E-3</v>
      </c>
      <c r="CG116" s="228">
        <v>913</v>
      </c>
      <c r="CH116" s="228">
        <v>887</v>
      </c>
      <c r="CI116" s="228">
        <v>27</v>
      </c>
      <c r="CJ116" s="229">
        <v>0.03</v>
      </c>
      <c r="CK116" s="228">
        <v>43</v>
      </c>
      <c r="CL116" s="228">
        <v>40</v>
      </c>
      <c r="CM116" s="228">
        <v>4</v>
      </c>
      <c r="CN116" s="229">
        <v>9.7900000000000001E-2</v>
      </c>
      <c r="CO116" s="228">
        <v>881</v>
      </c>
      <c r="CP116" s="228">
        <v>815</v>
      </c>
      <c r="CQ116" s="228">
        <v>66</v>
      </c>
      <c r="CR116" s="229">
        <v>8.1199999999999994E-2</v>
      </c>
      <c r="CS116" s="228">
        <v>928</v>
      </c>
      <c r="CT116" s="228">
        <v>957</v>
      </c>
      <c r="CU116" s="228">
        <v>-29</v>
      </c>
      <c r="CV116" s="229">
        <v>-2.9899999999999999E-2</v>
      </c>
      <c r="CW116" s="230">
        <v>9876</v>
      </c>
      <c r="CX116" s="230">
        <v>9833</v>
      </c>
      <c r="CY116" s="228">
        <v>43</v>
      </c>
      <c r="CZ116" s="229">
        <v>4.3E-3</v>
      </c>
      <c r="DA116" s="228">
        <v>28.47</v>
      </c>
      <c r="DB116" s="228">
        <v>28.07</v>
      </c>
      <c r="DC116" s="228">
        <v>0.4</v>
      </c>
      <c r="DD116" s="228">
        <v>0.4</v>
      </c>
      <c r="DE116" s="228">
        <v>27.33</v>
      </c>
      <c r="DF116" s="228">
        <v>27.24</v>
      </c>
      <c r="DG116" s="228">
        <v>1.1399999999999999</v>
      </c>
      <c r="DH116" s="228">
        <v>0.09</v>
      </c>
      <c r="DI116" s="228">
        <v>27.79</v>
      </c>
      <c r="DJ116" s="228">
        <v>26.6</v>
      </c>
      <c r="DK116" s="228">
        <v>1.19</v>
      </c>
      <c r="DL116" s="228">
        <v>1.19</v>
      </c>
      <c r="DM116" s="228">
        <v>29.46</v>
      </c>
      <c r="DN116" s="228">
        <v>30.2</v>
      </c>
      <c r="DO116" s="228">
        <v>-0.74</v>
      </c>
      <c r="DP116" s="228">
        <v>-0.74</v>
      </c>
      <c r="DQ116" s="228">
        <v>1.05</v>
      </c>
      <c r="DR116" s="228">
        <v>1.17</v>
      </c>
      <c r="DS116" s="228">
        <v>-0.12</v>
      </c>
      <c r="DT116" s="229">
        <v>-0.1026</v>
      </c>
      <c r="DU116" s="228">
        <v>370</v>
      </c>
      <c r="DV116" s="228">
        <v>335</v>
      </c>
      <c r="DW116" s="228">
        <v>0.69</v>
      </c>
      <c r="DX116" s="228">
        <v>0.69</v>
      </c>
      <c r="DY116" s="228">
        <v>0</v>
      </c>
      <c r="DZ116" s="229">
        <v>0</v>
      </c>
      <c r="EA116" s="229">
        <v>0.1186</v>
      </c>
      <c r="EB116" s="230">
        <v>24834000</v>
      </c>
      <c r="EC116" s="229">
        <v>5.8999999999999999E-3</v>
      </c>
      <c r="ED116" s="229">
        <v>0.1186</v>
      </c>
      <c r="EE116" s="228">
        <v>2.1</v>
      </c>
      <c r="EF116" s="229">
        <v>5.5999999999999999E-3</v>
      </c>
      <c r="EG116" s="230">
        <v>7910271</v>
      </c>
      <c r="EH116" s="230">
        <v>22407759</v>
      </c>
      <c r="EI116" s="229">
        <v>-0.64700000000000002</v>
      </c>
      <c r="EJ116" s="229">
        <v>0.53359999999999996</v>
      </c>
      <c r="EK116" s="228">
        <v>810.96</v>
      </c>
      <c r="EL116" s="228">
        <v>528.14</v>
      </c>
      <c r="EM116" s="228">
        <v>514.44000000000005</v>
      </c>
      <c r="EN116" s="228">
        <v>119.87</v>
      </c>
      <c r="EO116" s="231">
        <v>1853.54</v>
      </c>
      <c r="EP116" s="231">
        <v>3568.39</v>
      </c>
      <c r="EQ116" s="231">
        <v>-1714.85</v>
      </c>
      <c r="ER116" s="229">
        <v>-0.48060000000000003</v>
      </c>
      <c r="ES116" s="228">
        <v>901.11</v>
      </c>
      <c r="ET116" s="228">
        <v>881.72</v>
      </c>
      <c r="EU116" s="231">
        <v>8072.01</v>
      </c>
      <c r="EV116" s="231">
        <v>882793124</v>
      </c>
      <c r="EW116" s="231">
        <v>9854.84</v>
      </c>
      <c r="EX116" s="231">
        <v>9979.73</v>
      </c>
      <c r="EY116" s="228">
        <v>-124.89</v>
      </c>
      <c r="EZ116" s="229">
        <v>-1.2500000000000001E-2</v>
      </c>
      <c r="FA116" s="229">
        <v>0.2999</v>
      </c>
      <c r="FB116" s="227" t="s">
        <v>566</v>
      </c>
      <c r="FC116">
        <f t="shared" si="1"/>
        <v>957</v>
      </c>
    </row>
    <row r="117" spans="1:159" ht="17.25" thickBot="1" x14ac:dyDescent="0.3">
      <c r="A117" s="226">
        <v>46121</v>
      </c>
      <c r="B117" s="227" t="s">
        <v>221</v>
      </c>
      <c r="C117" s="227" t="s">
        <v>576</v>
      </c>
      <c r="D117" s="228">
        <v>425</v>
      </c>
      <c r="E117" s="228">
        <v>19</v>
      </c>
      <c r="F117" s="228">
        <v>718.9</v>
      </c>
      <c r="G117" s="228">
        <v>725.05</v>
      </c>
      <c r="H117" s="228">
        <v>-6.15</v>
      </c>
      <c r="I117" s="229">
        <v>-8.5000000000000006E-3</v>
      </c>
      <c r="J117" s="228">
        <v>716.05</v>
      </c>
      <c r="K117" s="228">
        <v>721.15</v>
      </c>
      <c r="L117" s="228">
        <v>-5.0999999999999996</v>
      </c>
      <c r="M117" s="229">
        <v>-7.1000000000000004E-3</v>
      </c>
      <c r="N117" s="228">
        <v>718.9</v>
      </c>
      <c r="O117" s="228">
        <v>725.05</v>
      </c>
      <c r="P117" s="228">
        <v>-6.15</v>
      </c>
      <c r="Q117" s="229">
        <v>-8.5000000000000006E-3</v>
      </c>
      <c r="R117" s="228">
        <v>722.95</v>
      </c>
      <c r="S117" s="228">
        <v>729.05</v>
      </c>
      <c r="T117" s="228">
        <v>-6.1</v>
      </c>
      <c r="U117" s="229">
        <v>-8.3999999999999995E-3</v>
      </c>
      <c r="V117" s="228">
        <v>726</v>
      </c>
      <c r="W117" s="228">
        <v>733.4</v>
      </c>
      <c r="X117" s="228">
        <v>-7.4</v>
      </c>
      <c r="Y117" s="229">
        <v>-1.01E-2</v>
      </c>
      <c r="Z117" s="228">
        <v>2.85</v>
      </c>
      <c r="AA117" s="228">
        <v>3.9</v>
      </c>
      <c r="AB117" s="228">
        <v>-1.05</v>
      </c>
      <c r="AC117" s="229">
        <v>4.0000000000000001E-3</v>
      </c>
      <c r="AD117" s="228">
        <v>2.85</v>
      </c>
      <c r="AE117" s="228">
        <v>3.9</v>
      </c>
      <c r="AF117" s="228">
        <v>-1.05</v>
      </c>
      <c r="AG117" s="229">
        <v>4.0000000000000001E-3</v>
      </c>
      <c r="AH117" s="228">
        <v>6.9</v>
      </c>
      <c r="AI117" s="228">
        <v>7.9</v>
      </c>
      <c r="AJ117" s="228">
        <v>-1</v>
      </c>
      <c r="AK117" s="229">
        <v>9.5999999999999992E-3</v>
      </c>
      <c r="AL117" s="228">
        <v>9.9499999999999993</v>
      </c>
      <c r="AM117" s="228">
        <v>12.25</v>
      </c>
      <c r="AN117" s="228">
        <v>-2.2999999999999998</v>
      </c>
      <c r="AO117" s="229">
        <v>1.3899999999999999E-2</v>
      </c>
      <c r="AP117" s="228">
        <v>717.47</v>
      </c>
      <c r="AQ117" s="228">
        <v>720.51</v>
      </c>
      <c r="AR117" s="228">
        <v>0</v>
      </c>
      <c r="AS117" s="228">
        <v>103</v>
      </c>
      <c r="AT117" s="228">
        <v>147</v>
      </c>
      <c r="AU117" s="228">
        <v>-45</v>
      </c>
      <c r="AV117" s="229">
        <v>-0.30280000000000001</v>
      </c>
      <c r="AW117" s="228">
        <v>89</v>
      </c>
      <c r="AX117" s="228">
        <v>136</v>
      </c>
      <c r="AY117" s="228">
        <v>-47</v>
      </c>
      <c r="AZ117" s="229">
        <v>-0.34389999999999998</v>
      </c>
      <c r="BA117" s="228">
        <v>8</v>
      </c>
      <c r="BB117" s="228">
        <v>8</v>
      </c>
      <c r="BC117" s="228">
        <v>0</v>
      </c>
      <c r="BD117" s="229">
        <v>7.4000000000000003E-3</v>
      </c>
      <c r="BE117" s="228">
        <v>5</v>
      </c>
      <c r="BF117" s="228">
        <v>2</v>
      </c>
      <c r="BG117" s="228">
        <v>2</v>
      </c>
      <c r="BH117" s="229">
        <v>0.9375</v>
      </c>
      <c r="BI117" s="228">
        <v>196</v>
      </c>
      <c r="BJ117" s="228">
        <v>354</v>
      </c>
      <c r="BK117" s="228">
        <v>-158</v>
      </c>
      <c r="BL117" s="229">
        <v>-0.44629999999999997</v>
      </c>
      <c r="BM117" s="228">
        <v>87</v>
      </c>
      <c r="BN117" s="228">
        <v>116</v>
      </c>
      <c r="BO117" s="228">
        <v>-28</v>
      </c>
      <c r="BP117" s="229">
        <v>-0.2457</v>
      </c>
      <c r="BQ117" s="228">
        <v>386</v>
      </c>
      <c r="BR117" s="228">
        <v>617</v>
      </c>
      <c r="BS117" s="228">
        <v>-231</v>
      </c>
      <c r="BT117" s="229">
        <v>-0.3745</v>
      </c>
      <c r="BU117" s="230">
        <v>1849458</v>
      </c>
      <c r="BV117" s="230">
        <v>2750519</v>
      </c>
      <c r="BW117" s="230">
        <v>-901061</v>
      </c>
      <c r="BX117" s="229">
        <v>-0.3276</v>
      </c>
      <c r="BY117" s="228">
        <v>482</v>
      </c>
      <c r="BZ117" s="228">
        <v>472</v>
      </c>
      <c r="CA117" s="228">
        <v>10</v>
      </c>
      <c r="CB117" s="229">
        <v>2.1100000000000001E-2</v>
      </c>
      <c r="CC117" s="228">
        <v>459</v>
      </c>
      <c r="CD117" s="228">
        <v>448</v>
      </c>
      <c r="CE117" s="228">
        <v>11</v>
      </c>
      <c r="CF117" s="229">
        <v>2.35E-2</v>
      </c>
      <c r="CG117" s="228">
        <v>21</v>
      </c>
      <c r="CH117" s="228">
        <v>19</v>
      </c>
      <c r="CI117" s="228">
        <v>2</v>
      </c>
      <c r="CJ117" s="229">
        <v>9.69E-2</v>
      </c>
      <c r="CK117" s="228">
        <v>3</v>
      </c>
      <c r="CL117" s="228">
        <v>5</v>
      </c>
      <c r="CM117" s="228">
        <v>-2</v>
      </c>
      <c r="CN117" s="229">
        <v>-0.46750000000000003</v>
      </c>
      <c r="CO117" s="228">
        <v>209</v>
      </c>
      <c r="CP117" s="228">
        <v>199</v>
      </c>
      <c r="CQ117" s="228">
        <v>9</v>
      </c>
      <c r="CR117" s="229">
        <v>4.5900000000000003E-2</v>
      </c>
      <c r="CS117" s="228">
        <v>169</v>
      </c>
      <c r="CT117" s="228">
        <v>160</v>
      </c>
      <c r="CU117" s="228">
        <v>10</v>
      </c>
      <c r="CV117" s="229">
        <v>6.2399999999999997E-2</v>
      </c>
      <c r="CW117" s="228">
        <v>860</v>
      </c>
      <c r="CX117" s="228">
        <v>831</v>
      </c>
      <c r="CY117" s="228">
        <v>29</v>
      </c>
      <c r="CZ117" s="229">
        <v>3.5000000000000003E-2</v>
      </c>
      <c r="DA117" s="228">
        <v>46.05</v>
      </c>
      <c r="DB117" s="228">
        <v>46.13</v>
      </c>
      <c r="DC117" s="228">
        <v>-0.08</v>
      </c>
      <c r="DD117" s="228">
        <v>-0.08</v>
      </c>
      <c r="DE117" s="228">
        <v>45.38</v>
      </c>
      <c r="DF117" s="228">
        <v>45.48</v>
      </c>
      <c r="DG117" s="228">
        <v>0.67</v>
      </c>
      <c r="DH117" s="228">
        <v>-0.1</v>
      </c>
      <c r="DI117" s="228">
        <v>45.6</v>
      </c>
      <c r="DJ117" s="228">
        <v>45.54</v>
      </c>
      <c r="DK117" s="228">
        <v>0.06</v>
      </c>
      <c r="DL117" s="228">
        <v>0.06</v>
      </c>
      <c r="DM117" s="228">
        <v>47.05</v>
      </c>
      <c r="DN117" s="228">
        <v>47.92</v>
      </c>
      <c r="DO117" s="228">
        <v>-0.87</v>
      </c>
      <c r="DP117" s="228">
        <v>-0.87</v>
      </c>
      <c r="DQ117" s="228">
        <v>0.81</v>
      </c>
      <c r="DR117" s="228">
        <v>0.8</v>
      </c>
      <c r="DS117" s="228">
        <v>0.01</v>
      </c>
      <c r="DT117" s="229">
        <v>1.2500000000000001E-2</v>
      </c>
      <c r="DU117" s="228">
        <v>700</v>
      </c>
      <c r="DV117" s="228">
        <v>700</v>
      </c>
      <c r="DW117" s="228">
        <v>0.45</v>
      </c>
      <c r="DX117" s="228">
        <v>0.33</v>
      </c>
      <c r="DY117" s="228">
        <v>0.12</v>
      </c>
      <c r="DZ117" s="229">
        <v>0.36359999999999998</v>
      </c>
      <c r="EA117" s="229">
        <v>4.87E-2</v>
      </c>
      <c r="EB117" s="230">
        <v>334900</v>
      </c>
      <c r="EC117" s="229">
        <v>5.5999999999999999E-3</v>
      </c>
      <c r="ED117" s="229">
        <v>4.87E-2</v>
      </c>
      <c r="EE117" s="228">
        <v>3.04</v>
      </c>
      <c r="EF117" s="229">
        <v>4.1999999999999997E-3</v>
      </c>
      <c r="EG117" s="230">
        <v>636145</v>
      </c>
      <c r="EH117" s="230">
        <v>1152823</v>
      </c>
      <c r="EI117" s="229">
        <v>-0.44819999999999999</v>
      </c>
      <c r="EJ117" s="229">
        <v>0.34399999999999997</v>
      </c>
      <c r="EK117" s="228">
        <v>208.6</v>
      </c>
      <c r="EL117" s="228">
        <v>86.59</v>
      </c>
      <c r="EM117" s="228">
        <v>102.34</v>
      </c>
      <c r="EN117" s="228">
        <v>41.81</v>
      </c>
      <c r="EO117" s="228">
        <v>397.53</v>
      </c>
      <c r="EP117" s="228">
        <v>641.32000000000005</v>
      </c>
      <c r="EQ117" s="228">
        <v>-243.79</v>
      </c>
      <c r="ER117" s="229">
        <v>-0.38009999999999999</v>
      </c>
      <c r="ES117" s="228">
        <v>215.21</v>
      </c>
      <c r="ET117" s="228">
        <v>158.01</v>
      </c>
      <c r="EU117" s="228">
        <v>482.15</v>
      </c>
      <c r="EV117" s="231">
        <v>24611073</v>
      </c>
      <c r="EW117" s="228">
        <v>855.37</v>
      </c>
      <c r="EX117" s="228">
        <v>828.89</v>
      </c>
      <c r="EY117" s="228">
        <v>26.48</v>
      </c>
      <c r="EZ117" s="229">
        <v>3.1899999999999998E-2</v>
      </c>
      <c r="FA117" s="229">
        <v>0.48609999999999998</v>
      </c>
      <c r="FB117" s="227" t="s">
        <v>566</v>
      </c>
      <c r="FC117">
        <f t="shared" si="1"/>
        <v>23</v>
      </c>
    </row>
    <row r="118" spans="1:159" ht="17.25" thickBot="1" x14ac:dyDescent="0.3">
      <c r="A118" s="226">
        <v>46121</v>
      </c>
      <c r="B118" s="227" t="s">
        <v>170</v>
      </c>
      <c r="C118" s="227" t="s">
        <v>535</v>
      </c>
      <c r="D118" s="228">
        <v>850</v>
      </c>
      <c r="E118" s="228">
        <v>19</v>
      </c>
      <c r="F118" s="231">
        <v>1087.4000000000001</v>
      </c>
      <c r="G118" s="231">
        <v>1085.4000000000001</v>
      </c>
      <c r="H118" s="228">
        <v>2</v>
      </c>
      <c r="I118" s="229">
        <v>1.8E-3</v>
      </c>
      <c r="J118" s="231">
        <v>1083.7</v>
      </c>
      <c r="K118" s="231">
        <v>1082.45</v>
      </c>
      <c r="L118" s="228">
        <v>1.25</v>
      </c>
      <c r="M118" s="229">
        <v>1.1999999999999999E-3</v>
      </c>
      <c r="N118" s="231">
        <v>1087.4000000000001</v>
      </c>
      <c r="O118" s="231">
        <v>1085.4000000000001</v>
      </c>
      <c r="P118" s="228">
        <v>2</v>
      </c>
      <c r="Q118" s="229">
        <v>1.8E-3</v>
      </c>
      <c r="R118" s="231">
        <v>1094.4000000000001</v>
      </c>
      <c r="S118" s="231">
        <v>1091.75</v>
      </c>
      <c r="T118" s="228">
        <v>2.65</v>
      </c>
      <c r="U118" s="229">
        <v>2.3999999999999998E-3</v>
      </c>
      <c r="V118" s="231">
        <v>1100</v>
      </c>
      <c r="W118" s="231">
        <v>1095.5</v>
      </c>
      <c r="X118" s="228">
        <v>4.5</v>
      </c>
      <c r="Y118" s="229">
        <v>4.1000000000000003E-3</v>
      </c>
      <c r="Z118" s="228">
        <v>3.7</v>
      </c>
      <c r="AA118" s="228">
        <v>2.95</v>
      </c>
      <c r="AB118" s="228">
        <v>0.75</v>
      </c>
      <c r="AC118" s="229">
        <v>3.3999999999999998E-3</v>
      </c>
      <c r="AD118" s="228">
        <v>3.7</v>
      </c>
      <c r="AE118" s="228">
        <v>2.95</v>
      </c>
      <c r="AF118" s="228">
        <v>0.75</v>
      </c>
      <c r="AG118" s="229">
        <v>3.3999999999999998E-3</v>
      </c>
      <c r="AH118" s="228">
        <v>10.7</v>
      </c>
      <c r="AI118" s="228">
        <v>9.3000000000000007</v>
      </c>
      <c r="AJ118" s="228">
        <v>1.4</v>
      </c>
      <c r="AK118" s="229">
        <v>9.9000000000000008E-3</v>
      </c>
      <c r="AL118" s="228">
        <v>16.3</v>
      </c>
      <c r="AM118" s="228">
        <v>13.05</v>
      </c>
      <c r="AN118" s="228">
        <v>3.25</v>
      </c>
      <c r="AO118" s="229">
        <v>1.4999999999999999E-2</v>
      </c>
      <c r="AP118" s="231">
        <v>1087.53</v>
      </c>
      <c r="AQ118" s="231">
        <v>1094.22</v>
      </c>
      <c r="AR118" s="228">
        <v>0</v>
      </c>
      <c r="AS118" s="228">
        <v>192</v>
      </c>
      <c r="AT118" s="228">
        <v>343</v>
      </c>
      <c r="AU118" s="228">
        <v>-151</v>
      </c>
      <c r="AV118" s="229">
        <v>-0.43930000000000002</v>
      </c>
      <c r="AW118" s="228">
        <v>176</v>
      </c>
      <c r="AX118" s="228">
        <v>319</v>
      </c>
      <c r="AY118" s="228">
        <v>-143</v>
      </c>
      <c r="AZ118" s="229">
        <v>-0.4496</v>
      </c>
      <c r="BA118" s="228">
        <v>16</v>
      </c>
      <c r="BB118" s="228">
        <v>23</v>
      </c>
      <c r="BC118" s="228">
        <v>-7</v>
      </c>
      <c r="BD118" s="229">
        <v>-0.30709999999999998</v>
      </c>
      <c r="BE118" s="228">
        <v>0</v>
      </c>
      <c r="BF118" s="228">
        <v>0</v>
      </c>
      <c r="BG118" s="228">
        <v>0</v>
      </c>
      <c r="BH118" s="229">
        <v>0</v>
      </c>
      <c r="BI118" s="228">
        <v>378</v>
      </c>
      <c r="BJ118" s="228">
        <v>524</v>
      </c>
      <c r="BK118" s="228">
        <v>-146</v>
      </c>
      <c r="BL118" s="229">
        <v>-0.27910000000000001</v>
      </c>
      <c r="BM118" s="228">
        <v>237</v>
      </c>
      <c r="BN118" s="228">
        <v>366</v>
      </c>
      <c r="BO118" s="228">
        <v>-129</v>
      </c>
      <c r="BP118" s="229">
        <v>-0.35289999999999999</v>
      </c>
      <c r="BQ118" s="228">
        <v>807</v>
      </c>
      <c r="BR118" s="230">
        <v>1233</v>
      </c>
      <c r="BS118" s="228">
        <v>-426</v>
      </c>
      <c r="BT118" s="229">
        <v>-0.34560000000000002</v>
      </c>
      <c r="BU118" s="230">
        <v>1038391</v>
      </c>
      <c r="BV118" s="230">
        <v>1709806</v>
      </c>
      <c r="BW118" s="230">
        <v>-671415</v>
      </c>
      <c r="BX118" s="229">
        <v>-0.39269999999999999</v>
      </c>
      <c r="BY118" s="230">
        <v>1879</v>
      </c>
      <c r="BZ118" s="230">
        <v>1881</v>
      </c>
      <c r="CA118" s="228">
        <v>-2</v>
      </c>
      <c r="CB118" s="229">
        <v>-1.1000000000000001E-3</v>
      </c>
      <c r="CC118" s="230">
        <v>1818</v>
      </c>
      <c r="CD118" s="230">
        <v>1828</v>
      </c>
      <c r="CE118" s="228">
        <v>-10</v>
      </c>
      <c r="CF118" s="229">
        <v>-5.1999999999999998E-3</v>
      </c>
      <c r="CG118" s="228">
        <v>57</v>
      </c>
      <c r="CH118" s="228">
        <v>50</v>
      </c>
      <c r="CI118" s="228">
        <v>7</v>
      </c>
      <c r="CJ118" s="229">
        <v>0.1479</v>
      </c>
      <c r="CK118" s="228">
        <v>3</v>
      </c>
      <c r="CL118" s="228">
        <v>3</v>
      </c>
      <c r="CM118" s="228">
        <v>0</v>
      </c>
      <c r="CN118" s="229">
        <v>2.9399999999999999E-2</v>
      </c>
      <c r="CO118" s="228">
        <v>533</v>
      </c>
      <c r="CP118" s="228">
        <v>496</v>
      </c>
      <c r="CQ118" s="228">
        <v>37</v>
      </c>
      <c r="CR118" s="229">
        <v>7.51E-2</v>
      </c>
      <c r="CS118" s="228">
        <v>418</v>
      </c>
      <c r="CT118" s="228">
        <v>393</v>
      </c>
      <c r="CU118" s="228">
        <v>24</v>
      </c>
      <c r="CV118" s="229">
        <v>6.1800000000000001E-2</v>
      </c>
      <c r="CW118" s="230">
        <v>2830</v>
      </c>
      <c r="CX118" s="230">
        <v>2771</v>
      </c>
      <c r="CY118" s="228">
        <v>60</v>
      </c>
      <c r="CZ118" s="229">
        <v>2.1499999999999998E-2</v>
      </c>
      <c r="DA118" s="228">
        <v>37.57</v>
      </c>
      <c r="DB118" s="228">
        <v>37.39</v>
      </c>
      <c r="DC118" s="228">
        <v>0.18</v>
      </c>
      <c r="DD118" s="228">
        <v>0.18</v>
      </c>
      <c r="DE118" s="228">
        <v>39.700000000000003</v>
      </c>
      <c r="DF118" s="228">
        <v>39.79</v>
      </c>
      <c r="DG118" s="228">
        <v>-2.13</v>
      </c>
      <c r="DH118" s="228">
        <v>-0.09</v>
      </c>
      <c r="DI118" s="228">
        <v>36.61</v>
      </c>
      <c r="DJ118" s="228">
        <v>36.14</v>
      </c>
      <c r="DK118" s="228">
        <v>0.47</v>
      </c>
      <c r="DL118" s="228">
        <v>0.47</v>
      </c>
      <c r="DM118" s="228">
        <v>39.11</v>
      </c>
      <c r="DN118" s="228">
        <v>39.18</v>
      </c>
      <c r="DO118" s="228">
        <v>-7.0000000000000007E-2</v>
      </c>
      <c r="DP118" s="228">
        <v>-7.0000000000000007E-2</v>
      </c>
      <c r="DQ118" s="228">
        <v>0.78</v>
      </c>
      <c r="DR118" s="228">
        <v>0.79</v>
      </c>
      <c r="DS118" s="228">
        <v>-0.01</v>
      </c>
      <c r="DT118" s="229">
        <v>-1.2699999999999999E-2</v>
      </c>
      <c r="DU118" s="231">
        <v>1100</v>
      </c>
      <c r="DV118" s="231">
        <v>1000</v>
      </c>
      <c r="DW118" s="228">
        <v>0.63</v>
      </c>
      <c r="DX118" s="228">
        <v>0.7</v>
      </c>
      <c r="DY118" s="228">
        <v>-7.0000000000000007E-2</v>
      </c>
      <c r="DZ118" s="229">
        <v>-0.1</v>
      </c>
      <c r="EA118" s="229">
        <v>3.2300000000000002E-2</v>
      </c>
      <c r="EB118" s="230">
        <v>488750</v>
      </c>
      <c r="EC118" s="229">
        <v>6.4000000000000003E-3</v>
      </c>
      <c r="ED118" s="229">
        <v>3.2300000000000002E-2</v>
      </c>
      <c r="EE118" s="228">
        <v>6.69</v>
      </c>
      <c r="EF118" s="229">
        <v>6.1999999999999998E-3</v>
      </c>
      <c r="EG118" s="230">
        <v>417467</v>
      </c>
      <c r="EH118" s="230">
        <v>735823</v>
      </c>
      <c r="EI118" s="229">
        <v>-0.43269999999999997</v>
      </c>
      <c r="EJ118" s="229">
        <v>0.40200000000000002</v>
      </c>
      <c r="EK118" s="228">
        <v>396.87</v>
      </c>
      <c r="EL118" s="228">
        <v>231.77</v>
      </c>
      <c r="EM118" s="228">
        <v>192.29</v>
      </c>
      <c r="EN118" s="228">
        <v>41.58</v>
      </c>
      <c r="EO118" s="228">
        <v>820.93</v>
      </c>
      <c r="EP118" s="231">
        <v>1237.8699999999999</v>
      </c>
      <c r="EQ118" s="228">
        <v>-416.94</v>
      </c>
      <c r="ER118" s="229">
        <v>-0.33679999999999999</v>
      </c>
      <c r="ES118" s="228">
        <v>531.53</v>
      </c>
      <c r="ET118" s="228">
        <v>382.26</v>
      </c>
      <c r="EU118" s="231">
        <v>1879.49</v>
      </c>
      <c r="EV118" s="231">
        <v>58713729</v>
      </c>
      <c r="EW118" s="231">
        <v>2793.29</v>
      </c>
      <c r="EX118" s="231">
        <v>2727.94</v>
      </c>
      <c r="EY118" s="228">
        <v>65.349999999999994</v>
      </c>
      <c r="EZ118" s="229">
        <v>2.4E-2</v>
      </c>
      <c r="FA118" s="229">
        <v>0.44330000000000003</v>
      </c>
      <c r="FB118" s="227" t="s">
        <v>694</v>
      </c>
      <c r="FC118">
        <f t="shared" si="1"/>
        <v>61</v>
      </c>
    </row>
    <row r="119" spans="1:159" ht="17.25" thickBot="1" x14ac:dyDescent="0.3">
      <c r="A119" s="226">
        <v>46121</v>
      </c>
      <c r="B119" s="227" t="s">
        <v>175</v>
      </c>
      <c r="C119" s="227" t="s">
        <v>248</v>
      </c>
      <c r="D119" s="228">
        <v>1000</v>
      </c>
      <c r="E119" s="228">
        <v>19</v>
      </c>
      <c r="F119" s="228">
        <v>533.5</v>
      </c>
      <c r="G119" s="228">
        <v>532.54999999999995</v>
      </c>
      <c r="H119" s="228">
        <v>0.95</v>
      </c>
      <c r="I119" s="229">
        <v>1.8E-3</v>
      </c>
      <c r="J119" s="228">
        <v>532.29999999999995</v>
      </c>
      <c r="K119" s="228">
        <v>529.6</v>
      </c>
      <c r="L119" s="228">
        <v>2.7</v>
      </c>
      <c r="M119" s="229">
        <v>5.1000000000000004E-3</v>
      </c>
      <c r="N119" s="228">
        <v>533.5</v>
      </c>
      <c r="O119" s="228">
        <v>532.54999999999995</v>
      </c>
      <c r="P119" s="228">
        <v>0.95</v>
      </c>
      <c r="Q119" s="229">
        <v>1.8E-3</v>
      </c>
      <c r="R119" s="228">
        <v>536.5</v>
      </c>
      <c r="S119" s="228">
        <v>534.85</v>
      </c>
      <c r="T119" s="228">
        <v>1.65</v>
      </c>
      <c r="U119" s="229">
        <v>3.0999999999999999E-3</v>
      </c>
      <c r="V119" s="228">
        <v>535</v>
      </c>
      <c r="W119" s="228">
        <v>537.75</v>
      </c>
      <c r="X119" s="228">
        <v>-2.75</v>
      </c>
      <c r="Y119" s="229">
        <v>-5.1000000000000004E-3</v>
      </c>
      <c r="Z119" s="228">
        <v>1.2</v>
      </c>
      <c r="AA119" s="228">
        <v>2.95</v>
      </c>
      <c r="AB119" s="228">
        <v>-1.75</v>
      </c>
      <c r="AC119" s="229">
        <v>2.3E-3</v>
      </c>
      <c r="AD119" s="228">
        <v>1.2</v>
      </c>
      <c r="AE119" s="228">
        <v>2.95</v>
      </c>
      <c r="AF119" s="228">
        <v>-1.75</v>
      </c>
      <c r="AG119" s="229">
        <v>2.3E-3</v>
      </c>
      <c r="AH119" s="228">
        <v>4.2</v>
      </c>
      <c r="AI119" s="228">
        <v>5.25</v>
      </c>
      <c r="AJ119" s="228">
        <v>-1.05</v>
      </c>
      <c r="AK119" s="229">
        <v>7.9000000000000008E-3</v>
      </c>
      <c r="AL119" s="228">
        <v>2.7</v>
      </c>
      <c r="AM119" s="228">
        <v>8.15</v>
      </c>
      <c r="AN119" s="228">
        <v>-5.45</v>
      </c>
      <c r="AO119" s="229">
        <v>5.1000000000000004E-3</v>
      </c>
      <c r="AP119" s="228">
        <v>532.03</v>
      </c>
      <c r="AQ119" s="228">
        <v>534.87</v>
      </c>
      <c r="AR119" s="228">
        <v>0</v>
      </c>
      <c r="AS119" s="228">
        <v>86</v>
      </c>
      <c r="AT119" s="228">
        <v>185</v>
      </c>
      <c r="AU119" s="228">
        <v>-99</v>
      </c>
      <c r="AV119" s="229">
        <v>-0.53639999999999999</v>
      </c>
      <c r="AW119" s="228">
        <v>80</v>
      </c>
      <c r="AX119" s="228">
        <v>176</v>
      </c>
      <c r="AY119" s="228">
        <v>-97</v>
      </c>
      <c r="AZ119" s="229">
        <v>-0.54800000000000004</v>
      </c>
      <c r="BA119" s="228">
        <v>6</v>
      </c>
      <c r="BB119" s="228">
        <v>7</v>
      </c>
      <c r="BC119" s="228">
        <v>-1</v>
      </c>
      <c r="BD119" s="229">
        <v>-0.18459999999999999</v>
      </c>
      <c r="BE119" s="228">
        <v>0</v>
      </c>
      <c r="BF119" s="228">
        <v>2</v>
      </c>
      <c r="BG119" s="228">
        <v>-1</v>
      </c>
      <c r="BH119" s="229">
        <v>-0.7742</v>
      </c>
      <c r="BI119" s="228">
        <v>175</v>
      </c>
      <c r="BJ119" s="228">
        <v>354</v>
      </c>
      <c r="BK119" s="228">
        <v>-179</v>
      </c>
      <c r="BL119" s="229">
        <v>-0.50619999999999998</v>
      </c>
      <c r="BM119" s="228">
        <v>88</v>
      </c>
      <c r="BN119" s="228">
        <v>148</v>
      </c>
      <c r="BO119" s="228">
        <v>-60</v>
      </c>
      <c r="BP119" s="229">
        <v>-0.40820000000000001</v>
      </c>
      <c r="BQ119" s="228">
        <v>348</v>
      </c>
      <c r="BR119" s="228">
        <v>687</v>
      </c>
      <c r="BS119" s="228">
        <v>-339</v>
      </c>
      <c r="BT119" s="229">
        <v>-0.49320000000000003</v>
      </c>
      <c r="BU119" s="230">
        <v>1085144</v>
      </c>
      <c r="BV119" s="230">
        <v>1877604</v>
      </c>
      <c r="BW119" s="230">
        <v>-792460</v>
      </c>
      <c r="BX119" s="229">
        <v>-0.42209999999999998</v>
      </c>
      <c r="BY119" s="230">
        <v>1790</v>
      </c>
      <c r="BZ119" s="230">
        <v>1796</v>
      </c>
      <c r="CA119" s="228">
        <v>-6</v>
      </c>
      <c r="CB119" s="229">
        <v>-3.3E-3</v>
      </c>
      <c r="CC119" s="230">
        <v>1756</v>
      </c>
      <c r="CD119" s="230">
        <v>1765</v>
      </c>
      <c r="CE119" s="228">
        <v>-9</v>
      </c>
      <c r="CF119" s="229">
        <v>-4.8999999999999998E-3</v>
      </c>
      <c r="CG119" s="228">
        <v>32</v>
      </c>
      <c r="CH119" s="228">
        <v>30</v>
      </c>
      <c r="CI119" s="228">
        <v>3</v>
      </c>
      <c r="CJ119" s="229">
        <v>8.5599999999999996E-2</v>
      </c>
      <c r="CK119" s="228">
        <v>2</v>
      </c>
      <c r="CL119" s="228">
        <v>1</v>
      </c>
      <c r="CM119" s="228">
        <v>0</v>
      </c>
      <c r="CN119" s="229">
        <v>0.1154</v>
      </c>
      <c r="CO119" s="228">
        <v>233</v>
      </c>
      <c r="CP119" s="228">
        <v>221</v>
      </c>
      <c r="CQ119" s="228">
        <v>13</v>
      </c>
      <c r="CR119" s="229">
        <v>5.7299999999999997E-2</v>
      </c>
      <c r="CS119" s="228">
        <v>270</v>
      </c>
      <c r="CT119" s="228">
        <v>277</v>
      </c>
      <c r="CU119" s="228">
        <v>-6</v>
      </c>
      <c r="CV119" s="229">
        <v>-2.3300000000000001E-2</v>
      </c>
      <c r="CW119" s="230">
        <v>2293</v>
      </c>
      <c r="CX119" s="230">
        <v>2293</v>
      </c>
      <c r="CY119" s="228">
        <v>0</v>
      </c>
      <c r="CZ119" s="229">
        <v>1E-4</v>
      </c>
      <c r="DA119" s="228">
        <v>30.14</v>
      </c>
      <c r="DB119" s="228">
        <v>30.48</v>
      </c>
      <c r="DC119" s="228">
        <v>-0.34</v>
      </c>
      <c r="DD119" s="228">
        <v>-0.34</v>
      </c>
      <c r="DE119" s="228">
        <v>33.36</v>
      </c>
      <c r="DF119" s="228">
        <v>33.44</v>
      </c>
      <c r="DG119" s="228">
        <v>-3.22</v>
      </c>
      <c r="DH119" s="228">
        <v>-0.08</v>
      </c>
      <c r="DI119" s="228">
        <v>29.18</v>
      </c>
      <c r="DJ119" s="228">
        <v>29.32</v>
      </c>
      <c r="DK119" s="228">
        <v>-0.14000000000000001</v>
      </c>
      <c r="DL119" s="228">
        <v>-0.14000000000000001</v>
      </c>
      <c r="DM119" s="228">
        <v>32.049999999999997</v>
      </c>
      <c r="DN119" s="228">
        <v>33.26</v>
      </c>
      <c r="DO119" s="228">
        <v>-1.21</v>
      </c>
      <c r="DP119" s="228">
        <v>-1.21</v>
      </c>
      <c r="DQ119" s="228">
        <v>1.1599999999999999</v>
      </c>
      <c r="DR119" s="228">
        <v>1.25</v>
      </c>
      <c r="DS119" s="228">
        <v>-0.09</v>
      </c>
      <c r="DT119" s="229">
        <v>-7.1999999999999995E-2</v>
      </c>
      <c r="DU119" s="228">
        <v>550</v>
      </c>
      <c r="DV119" s="228">
        <v>480</v>
      </c>
      <c r="DW119" s="228">
        <v>0.5</v>
      </c>
      <c r="DX119" s="228">
        <v>0.42</v>
      </c>
      <c r="DY119" s="228">
        <v>0.08</v>
      </c>
      <c r="DZ119" s="229">
        <v>0.1905</v>
      </c>
      <c r="EA119" s="229">
        <v>1.9E-2</v>
      </c>
      <c r="EB119" s="230">
        <v>587000</v>
      </c>
      <c r="EC119" s="229">
        <v>5.5999999999999999E-3</v>
      </c>
      <c r="ED119" s="229">
        <v>1.9E-2</v>
      </c>
      <c r="EE119" s="228">
        <v>2.84</v>
      </c>
      <c r="EF119" s="229">
        <v>5.3E-3</v>
      </c>
      <c r="EG119" s="230">
        <v>518261</v>
      </c>
      <c r="EH119" s="230">
        <v>898952</v>
      </c>
      <c r="EI119" s="229">
        <v>-0.42349999999999999</v>
      </c>
      <c r="EJ119" s="229">
        <v>0.47760000000000002</v>
      </c>
      <c r="EK119" s="228">
        <v>181.53</v>
      </c>
      <c r="EL119" s="228">
        <v>85.99</v>
      </c>
      <c r="EM119" s="228">
        <v>85.42</v>
      </c>
      <c r="EN119" s="228">
        <v>23.88</v>
      </c>
      <c r="EO119" s="228">
        <v>352.95</v>
      </c>
      <c r="EP119" s="228">
        <v>691.93</v>
      </c>
      <c r="EQ119" s="228">
        <v>-338.99</v>
      </c>
      <c r="ER119" s="229">
        <v>-0.4899</v>
      </c>
      <c r="ES119" s="228">
        <v>234.01</v>
      </c>
      <c r="ET119" s="228">
        <v>253.95</v>
      </c>
      <c r="EU119" s="231">
        <v>1790.08</v>
      </c>
      <c r="EV119" s="231">
        <v>45183075</v>
      </c>
      <c r="EW119" s="231">
        <v>2278.04</v>
      </c>
      <c r="EX119" s="231">
        <v>2273.6999999999998</v>
      </c>
      <c r="EY119" s="228">
        <v>4.34</v>
      </c>
      <c r="EZ119" s="229">
        <v>1.9E-3</v>
      </c>
      <c r="FA119" s="229">
        <v>0.95140000000000002</v>
      </c>
      <c r="FB119" s="227" t="s">
        <v>694</v>
      </c>
      <c r="FC119">
        <f t="shared" si="1"/>
        <v>34</v>
      </c>
    </row>
    <row r="120" spans="1:159" ht="17.25" thickBot="1" x14ac:dyDescent="0.3">
      <c r="A120" s="226">
        <v>46121</v>
      </c>
      <c r="B120" s="227" t="s">
        <v>175</v>
      </c>
      <c r="C120" s="227" t="s">
        <v>606</v>
      </c>
      <c r="D120" s="228">
        <v>700</v>
      </c>
      <c r="E120" s="228">
        <v>19</v>
      </c>
      <c r="F120" s="228">
        <v>793.7</v>
      </c>
      <c r="G120" s="228">
        <v>795.7</v>
      </c>
      <c r="H120" s="228">
        <v>-2</v>
      </c>
      <c r="I120" s="229">
        <v>-2.5000000000000001E-3</v>
      </c>
      <c r="J120" s="228">
        <v>793.4</v>
      </c>
      <c r="K120" s="228">
        <v>793.7</v>
      </c>
      <c r="L120" s="228">
        <v>-0.3</v>
      </c>
      <c r="M120" s="229">
        <v>-4.0000000000000002E-4</v>
      </c>
      <c r="N120" s="228">
        <v>793.7</v>
      </c>
      <c r="O120" s="228">
        <v>795.7</v>
      </c>
      <c r="P120" s="228">
        <v>-2</v>
      </c>
      <c r="Q120" s="229">
        <v>-2.5000000000000001E-3</v>
      </c>
      <c r="R120" s="228">
        <v>795.3</v>
      </c>
      <c r="S120" s="228">
        <v>798.5</v>
      </c>
      <c r="T120" s="228">
        <v>-3.2</v>
      </c>
      <c r="U120" s="229">
        <v>-4.0000000000000001E-3</v>
      </c>
      <c r="V120" s="228">
        <v>792</v>
      </c>
      <c r="W120" s="228">
        <v>802.2</v>
      </c>
      <c r="X120" s="228">
        <v>-10.199999999999999</v>
      </c>
      <c r="Y120" s="229">
        <v>-1.2699999999999999E-2</v>
      </c>
      <c r="Z120" s="228">
        <v>0.3</v>
      </c>
      <c r="AA120" s="228">
        <v>2</v>
      </c>
      <c r="AB120" s="228">
        <v>-1.7</v>
      </c>
      <c r="AC120" s="229">
        <v>4.0000000000000002E-4</v>
      </c>
      <c r="AD120" s="228">
        <v>0.3</v>
      </c>
      <c r="AE120" s="228">
        <v>2</v>
      </c>
      <c r="AF120" s="228">
        <v>-1.7</v>
      </c>
      <c r="AG120" s="229">
        <v>4.0000000000000002E-4</v>
      </c>
      <c r="AH120" s="228">
        <v>1.9</v>
      </c>
      <c r="AI120" s="228">
        <v>4.8</v>
      </c>
      <c r="AJ120" s="228">
        <v>-2.9</v>
      </c>
      <c r="AK120" s="229">
        <v>2.3999999999999998E-3</v>
      </c>
      <c r="AL120" s="228">
        <v>-1.4</v>
      </c>
      <c r="AM120" s="228">
        <v>8.5</v>
      </c>
      <c r="AN120" s="228">
        <v>-9.9</v>
      </c>
      <c r="AO120" s="229">
        <v>-1.8E-3</v>
      </c>
      <c r="AP120" s="228">
        <v>792.02</v>
      </c>
      <c r="AQ120" s="228">
        <v>793.42</v>
      </c>
      <c r="AR120" s="228">
        <v>0</v>
      </c>
      <c r="AS120" s="228">
        <v>146</v>
      </c>
      <c r="AT120" s="228">
        <v>273</v>
      </c>
      <c r="AU120" s="228">
        <v>-127</v>
      </c>
      <c r="AV120" s="229">
        <v>-0.46360000000000001</v>
      </c>
      <c r="AW120" s="228">
        <v>117</v>
      </c>
      <c r="AX120" s="228">
        <v>249</v>
      </c>
      <c r="AY120" s="228">
        <v>-132</v>
      </c>
      <c r="AZ120" s="229">
        <v>-0.52959999999999996</v>
      </c>
      <c r="BA120" s="228">
        <v>27</v>
      </c>
      <c r="BB120" s="228">
        <v>19</v>
      </c>
      <c r="BC120" s="228">
        <v>7</v>
      </c>
      <c r="BD120" s="229">
        <v>0.36859999999999998</v>
      </c>
      <c r="BE120" s="228">
        <v>3</v>
      </c>
      <c r="BF120" s="228">
        <v>4</v>
      </c>
      <c r="BG120" s="228">
        <v>-2</v>
      </c>
      <c r="BH120" s="229">
        <v>-0.39190000000000003</v>
      </c>
      <c r="BI120" s="228">
        <v>236</v>
      </c>
      <c r="BJ120" s="228">
        <v>857</v>
      </c>
      <c r="BK120" s="228">
        <v>-621</v>
      </c>
      <c r="BL120" s="229">
        <v>-0.72450000000000003</v>
      </c>
      <c r="BM120" s="228">
        <v>84</v>
      </c>
      <c r="BN120" s="228">
        <v>300</v>
      </c>
      <c r="BO120" s="228">
        <v>-217</v>
      </c>
      <c r="BP120" s="229">
        <v>-0.72140000000000004</v>
      </c>
      <c r="BQ120" s="228">
        <v>466</v>
      </c>
      <c r="BR120" s="230">
        <v>1430</v>
      </c>
      <c r="BS120" s="228">
        <v>-964</v>
      </c>
      <c r="BT120" s="229">
        <v>-0.67400000000000004</v>
      </c>
      <c r="BU120" s="230">
        <v>1946346</v>
      </c>
      <c r="BV120" s="230">
        <v>4848084</v>
      </c>
      <c r="BW120" s="230">
        <v>-2901738</v>
      </c>
      <c r="BX120" s="229">
        <v>-0.59850000000000003</v>
      </c>
      <c r="BY120" s="228">
        <v>729</v>
      </c>
      <c r="BZ120" s="228">
        <v>705</v>
      </c>
      <c r="CA120" s="228">
        <v>24</v>
      </c>
      <c r="CB120" s="229">
        <v>3.4000000000000002E-2</v>
      </c>
      <c r="CC120" s="228">
        <v>666</v>
      </c>
      <c r="CD120" s="228">
        <v>650</v>
      </c>
      <c r="CE120" s="228">
        <v>16</v>
      </c>
      <c r="CF120" s="229">
        <v>2.4299999999999999E-2</v>
      </c>
      <c r="CG120" s="228">
        <v>59</v>
      </c>
      <c r="CH120" s="228">
        <v>52</v>
      </c>
      <c r="CI120" s="228">
        <v>8</v>
      </c>
      <c r="CJ120" s="229">
        <v>0.1447</v>
      </c>
      <c r="CK120" s="228">
        <v>4</v>
      </c>
      <c r="CL120" s="228">
        <v>3</v>
      </c>
      <c r="CM120" s="228">
        <v>1</v>
      </c>
      <c r="CN120" s="229">
        <v>0.2034</v>
      </c>
      <c r="CO120" s="228">
        <v>347</v>
      </c>
      <c r="CP120" s="228">
        <v>339</v>
      </c>
      <c r="CQ120" s="228">
        <v>8</v>
      </c>
      <c r="CR120" s="229">
        <v>2.3599999999999999E-2</v>
      </c>
      <c r="CS120" s="228">
        <v>224</v>
      </c>
      <c r="CT120" s="228">
        <v>208</v>
      </c>
      <c r="CU120" s="228">
        <v>17</v>
      </c>
      <c r="CV120" s="229">
        <v>8.0600000000000005E-2</v>
      </c>
      <c r="CW120" s="230">
        <v>1300</v>
      </c>
      <c r="CX120" s="230">
        <v>1252</v>
      </c>
      <c r="CY120" s="228">
        <v>49</v>
      </c>
      <c r="CZ120" s="229">
        <v>3.8899999999999997E-2</v>
      </c>
      <c r="DA120" s="228">
        <v>33.090000000000003</v>
      </c>
      <c r="DB120" s="228">
        <v>32.049999999999997</v>
      </c>
      <c r="DC120" s="228">
        <v>1.04</v>
      </c>
      <c r="DD120" s="228">
        <v>1.04</v>
      </c>
      <c r="DE120" s="228">
        <v>33.1</v>
      </c>
      <c r="DF120" s="228">
        <v>33.18</v>
      </c>
      <c r="DG120" s="228">
        <v>-0.01</v>
      </c>
      <c r="DH120" s="228">
        <v>-0.08</v>
      </c>
      <c r="DI120" s="228">
        <v>32.83</v>
      </c>
      <c r="DJ120" s="228">
        <v>31.69</v>
      </c>
      <c r="DK120" s="228">
        <v>1.1399999999999999</v>
      </c>
      <c r="DL120" s="228">
        <v>1.1399999999999999</v>
      </c>
      <c r="DM120" s="228">
        <v>33.82</v>
      </c>
      <c r="DN120" s="228">
        <v>33.049999999999997</v>
      </c>
      <c r="DO120" s="228">
        <v>0.77</v>
      </c>
      <c r="DP120" s="228">
        <v>0.77</v>
      </c>
      <c r="DQ120" s="228">
        <v>0.65</v>
      </c>
      <c r="DR120" s="228">
        <v>0.61</v>
      </c>
      <c r="DS120" s="228">
        <v>0.04</v>
      </c>
      <c r="DT120" s="229">
        <v>6.5600000000000006E-2</v>
      </c>
      <c r="DU120" s="228">
        <v>800</v>
      </c>
      <c r="DV120" s="228">
        <v>800</v>
      </c>
      <c r="DW120" s="228">
        <v>0.35</v>
      </c>
      <c r="DX120" s="228">
        <v>0.35</v>
      </c>
      <c r="DY120" s="228">
        <v>0</v>
      </c>
      <c r="DZ120" s="229">
        <v>0</v>
      </c>
      <c r="EA120" s="229">
        <v>8.6800000000000002E-2</v>
      </c>
      <c r="EB120" s="230">
        <v>694400</v>
      </c>
      <c r="EC120" s="229">
        <v>2E-3</v>
      </c>
      <c r="ED120" s="229">
        <v>8.6800000000000002E-2</v>
      </c>
      <c r="EE120" s="228">
        <v>1.4</v>
      </c>
      <c r="EF120" s="229">
        <v>1.8E-3</v>
      </c>
      <c r="EG120" s="230">
        <v>974742</v>
      </c>
      <c r="EH120" s="230">
        <v>2073757</v>
      </c>
      <c r="EI120" s="229">
        <v>-0.53</v>
      </c>
      <c r="EJ120" s="229">
        <v>0.50080000000000002</v>
      </c>
      <c r="EK120" s="228">
        <v>250.37</v>
      </c>
      <c r="EL120" s="228">
        <v>82.08</v>
      </c>
      <c r="EM120" s="228">
        <v>146.19999999999999</v>
      </c>
      <c r="EN120" s="228">
        <v>25.89</v>
      </c>
      <c r="EO120" s="228">
        <v>478.65</v>
      </c>
      <c r="EP120" s="231">
        <v>1471</v>
      </c>
      <c r="EQ120" s="228">
        <v>-992.36</v>
      </c>
      <c r="ER120" s="229">
        <v>-0.67459999999999998</v>
      </c>
      <c r="ES120" s="228">
        <v>356.28</v>
      </c>
      <c r="ET120" s="228">
        <v>212.84</v>
      </c>
      <c r="EU120" s="228">
        <v>729.21</v>
      </c>
      <c r="EV120" s="231">
        <v>33206238</v>
      </c>
      <c r="EW120" s="231">
        <v>1298.33</v>
      </c>
      <c r="EX120" s="231">
        <v>1251.01</v>
      </c>
      <c r="EY120" s="228">
        <v>47.32</v>
      </c>
      <c r="EZ120" s="229">
        <v>3.78E-2</v>
      </c>
      <c r="FA120" s="229">
        <v>0.49340000000000001</v>
      </c>
      <c r="FB120" s="227" t="s">
        <v>566</v>
      </c>
      <c r="FC120">
        <f t="shared" si="1"/>
        <v>63</v>
      </c>
    </row>
    <row r="121" spans="1:159" ht="17.25" thickBot="1" x14ac:dyDescent="0.3">
      <c r="A121" s="226">
        <v>46121</v>
      </c>
      <c r="B121" s="227" t="s">
        <v>206</v>
      </c>
      <c r="C121" s="227" t="s">
        <v>587</v>
      </c>
      <c r="D121" s="228">
        <v>450</v>
      </c>
      <c r="E121" s="228">
        <v>19</v>
      </c>
      <c r="F121" s="228">
        <v>791.75</v>
      </c>
      <c r="G121" s="228">
        <v>780.5</v>
      </c>
      <c r="H121" s="228">
        <v>11.25</v>
      </c>
      <c r="I121" s="229">
        <v>1.44E-2</v>
      </c>
      <c r="J121" s="228">
        <v>789.55</v>
      </c>
      <c r="K121" s="228">
        <v>778.85</v>
      </c>
      <c r="L121" s="228">
        <v>10.7</v>
      </c>
      <c r="M121" s="229">
        <v>1.37E-2</v>
      </c>
      <c r="N121" s="228">
        <v>791.75</v>
      </c>
      <c r="O121" s="228">
        <v>780.5</v>
      </c>
      <c r="P121" s="228">
        <v>11.25</v>
      </c>
      <c r="Q121" s="229">
        <v>1.44E-2</v>
      </c>
      <c r="R121" s="228">
        <v>795.55</v>
      </c>
      <c r="S121" s="228">
        <v>784.8</v>
      </c>
      <c r="T121" s="228">
        <v>10.75</v>
      </c>
      <c r="U121" s="229">
        <v>1.37E-2</v>
      </c>
      <c r="V121" s="228">
        <v>798.95</v>
      </c>
      <c r="W121" s="228">
        <v>789.7</v>
      </c>
      <c r="X121" s="228">
        <v>9.25</v>
      </c>
      <c r="Y121" s="229">
        <v>1.17E-2</v>
      </c>
      <c r="Z121" s="228">
        <v>2.2000000000000002</v>
      </c>
      <c r="AA121" s="228">
        <v>1.65</v>
      </c>
      <c r="AB121" s="228">
        <v>0.55000000000000004</v>
      </c>
      <c r="AC121" s="229">
        <v>2.8E-3</v>
      </c>
      <c r="AD121" s="228">
        <v>2.2000000000000002</v>
      </c>
      <c r="AE121" s="228">
        <v>1.65</v>
      </c>
      <c r="AF121" s="228">
        <v>0.55000000000000004</v>
      </c>
      <c r="AG121" s="229">
        <v>2.8E-3</v>
      </c>
      <c r="AH121" s="228">
        <v>6</v>
      </c>
      <c r="AI121" s="228">
        <v>5.95</v>
      </c>
      <c r="AJ121" s="228">
        <v>0.05</v>
      </c>
      <c r="AK121" s="229">
        <v>7.6E-3</v>
      </c>
      <c r="AL121" s="228">
        <v>9.4</v>
      </c>
      <c r="AM121" s="228">
        <v>10.85</v>
      </c>
      <c r="AN121" s="228">
        <v>-1.45</v>
      </c>
      <c r="AO121" s="229">
        <v>1.1900000000000001E-2</v>
      </c>
      <c r="AP121" s="228">
        <v>785.03</v>
      </c>
      <c r="AQ121" s="228">
        <v>788.03</v>
      </c>
      <c r="AR121" s="228">
        <v>0</v>
      </c>
      <c r="AS121" s="228">
        <v>295</v>
      </c>
      <c r="AT121" s="228">
        <v>541</v>
      </c>
      <c r="AU121" s="228">
        <v>-246</v>
      </c>
      <c r="AV121" s="229">
        <v>-0.45500000000000002</v>
      </c>
      <c r="AW121" s="228">
        <v>282</v>
      </c>
      <c r="AX121" s="228">
        <v>497</v>
      </c>
      <c r="AY121" s="228">
        <v>-215</v>
      </c>
      <c r="AZ121" s="229">
        <v>-0.43269999999999997</v>
      </c>
      <c r="BA121" s="228">
        <v>12</v>
      </c>
      <c r="BB121" s="228">
        <v>42</v>
      </c>
      <c r="BC121" s="228">
        <v>-30</v>
      </c>
      <c r="BD121" s="229">
        <v>-0.72009999999999996</v>
      </c>
      <c r="BE121" s="228">
        <v>1</v>
      </c>
      <c r="BF121" s="228">
        <v>2</v>
      </c>
      <c r="BG121" s="228">
        <v>-1</v>
      </c>
      <c r="BH121" s="229">
        <v>-0.41670000000000001</v>
      </c>
      <c r="BI121" s="228">
        <v>437</v>
      </c>
      <c r="BJ121" s="228">
        <v>978</v>
      </c>
      <c r="BK121" s="228">
        <v>-541</v>
      </c>
      <c r="BL121" s="229">
        <v>-0.55320000000000003</v>
      </c>
      <c r="BM121" s="228">
        <v>230</v>
      </c>
      <c r="BN121" s="228">
        <v>610</v>
      </c>
      <c r="BO121" s="228">
        <v>-380</v>
      </c>
      <c r="BP121" s="229">
        <v>-0.62250000000000005</v>
      </c>
      <c r="BQ121" s="228">
        <v>962</v>
      </c>
      <c r="BR121" s="230">
        <v>2129</v>
      </c>
      <c r="BS121" s="230">
        <v>-1167</v>
      </c>
      <c r="BT121" s="229">
        <v>-0.54810000000000003</v>
      </c>
      <c r="BU121" s="230">
        <v>3036461</v>
      </c>
      <c r="BV121" s="230">
        <v>5643343</v>
      </c>
      <c r="BW121" s="230">
        <v>-2606882</v>
      </c>
      <c r="BX121" s="229">
        <v>-0.46189999999999998</v>
      </c>
      <c r="BY121" s="230">
        <v>1866</v>
      </c>
      <c r="BZ121" s="230">
        <v>1896</v>
      </c>
      <c r="CA121" s="228">
        <v>-30</v>
      </c>
      <c r="CB121" s="229">
        <v>-1.5699999999999999E-2</v>
      </c>
      <c r="CC121" s="230">
        <v>1775</v>
      </c>
      <c r="CD121" s="230">
        <v>1805</v>
      </c>
      <c r="CE121" s="228">
        <v>-30</v>
      </c>
      <c r="CF121" s="229">
        <v>-1.6799999999999999E-2</v>
      </c>
      <c r="CG121" s="228">
        <v>90</v>
      </c>
      <c r="CH121" s="228">
        <v>89</v>
      </c>
      <c r="CI121" s="228">
        <v>0</v>
      </c>
      <c r="CJ121" s="229">
        <v>5.5999999999999999E-3</v>
      </c>
      <c r="CK121" s="228">
        <v>2</v>
      </c>
      <c r="CL121" s="228">
        <v>2</v>
      </c>
      <c r="CM121" s="228">
        <v>0</v>
      </c>
      <c r="CN121" s="229">
        <v>9.2999999999999999E-2</v>
      </c>
      <c r="CO121" s="228">
        <v>466</v>
      </c>
      <c r="CP121" s="228">
        <v>469</v>
      </c>
      <c r="CQ121" s="228">
        <v>-4</v>
      </c>
      <c r="CR121" s="229">
        <v>-7.6E-3</v>
      </c>
      <c r="CS121" s="228">
        <v>351</v>
      </c>
      <c r="CT121" s="228">
        <v>324</v>
      </c>
      <c r="CU121" s="228">
        <v>26</v>
      </c>
      <c r="CV121" s="229">
        <v>8.1600000000000006E-2</v>
      </c>
      <c r="CW121" s="230">
        <v>2683</v>
      </c>
      <c r="CX121" s="230">
        <v>2690</v>
      </c>
      <c r="CY121" s="228">
        <v>-7</v>
      </c>
      <c r="CZ121" s="229">
        <v>-2.5000000000000001E-3</v>
      </c>
      <c r="DA121" s="228">
        <v>41.86</v>
      </c>
      <c r="DB121" s="228">
        <v>42.43</v>
      </c>
      <c r="DC121" s="228">
        <v>-0.56999999999999995</v>
      </c>
      <c r="DD121" s="228">
        <v>-0.56999999999999995</v>
      </c>
      <c r="DE121" s="228">
        <v>47.5</v>
      </c>
      <c r="DF121" s="228">
        <v>47.58</v>
      </c>
      <c r="DG121" s="228">
        <v>-5.64</v>
      </c>
      <c r="DH121" s="228">
        <v>-0.08</v>
      </c>
      <c r="DI121" s="228">
        <v>41.29</v>
      </c>
      <c r="DJ121" s="228">
        <v>41.01</v>
      </c>
      <c r="DK121" s="228">
        <v>0.28000000000000003</v>
      </c>
      <c r="DL121" s="228">
        <v>0.28000000000000003</v>
      </c>
      <c r="DM121" s="228">
        <v>42.93</v>
      </c>
      <c r="DN121" s="228">
        <v>44.69</v>
      </c>
      <c r="DO121" s="228">
        <v>-1.76</v>
      </c>
      <c r="DP121" s="228">
        <v>-1.76</v>
      </c>
      <c r="DQ121" s="228">
        <v>0.75</v>
      </c>
      <c r="DR121" s="228">
        <v>0.69</v>
      </c>
      <c r="DS121" s="228">
        <v>0.06</v>
      </c>
      <c r="DT121" s="229">
        <v>8.6999999999999994E-2</v>
      </c>
      <c r="DU121" s="228">
        <v>720</v>
      </c>
      <c r="DV121" s="228">
        <v>680</v>
      </c>
      <c r="DW121" s="228">
        <v>0.53</v>
      </c>
      <c r="DX121" s="228">
        <v>0.62</v>
      </c>
      <c r="DY121" s="228">
        <v>-0.09</v>
      </c>
      <c r="DZ121" s="229">
        <v>-0.1452</v>
      </c>
      <c r="EA121" s="229">
        <v>4.9099999999999998E-2</v>
      </c>
      <c r="EB121" s="230">
        <v>1148850</v>
      </c>
      <c r="EC121" s="229">
        <v>4.7999999999999996E-3</v>
      </c>
      <c r="ED121" s="229">
        <v>4.9099999999999998E-2</v>
      </c>
      <c r="EE121" s="228">
        <v>3</v>
      </c>
      <c r="EF121" s="229">
        <v>3.8E-3</v>
      </c>
      <c r="EG121" s="230">
        <v>1338687</v>
      </c>
      <c r="EH121" s="230">
        <v>2693534</v>
      </c>
      <c r="EI121" s="229">
        <v>-0.503</v>
      </c>
      <c r="EJ121" s="229">
        <v>0.44090000000000001</v>
      </c>
      <c r="EK121" s="228">
        <v>460.54</v>
      </c>
      <c r="EL121" s="228">
        <v>225.56</v>
      </c>
      <c r="EM121" s="228">
        <v>292.52</v>
      </c>
      <c r="EN121" s="228">
        <v>96.82</v>
      </c>
      <c r="EO121" s="228">
        <v>978.62</v>
      </c>
      <c r="EP121" s="231">
        <v>2113.06</v>
      </c>
      <c r="EQ121" s="231">
        <v>-1134.44</v>
      </c>
      <c r="ER121" s="229">
        <v>-0.53690000000000004</v>
      </c>
      <c r="ES121" s="228">
        <v>457.02</v>
      </c>
      <c r="ET121" s="228">
        <v>321.44</v>
      </c>
      <c r="EU121" s="231">
        <v>1866.86</v>
      </c>
      <c r="EV121" s="231">
        <v>42165698</v>
      </c>
      <c r="EW121" s="231">
        <v>2645.32</v>
      </c>
      <c r="EX121" s="231">
        <v>2621.55</v>
      </c>
      <c r="EY121" s="228">
        <v>23.77</v>
      </c>
      <c r="EZ121" s="229">
        <v>9.1000000000000004E-3</v>
      </c>
      <c r="FA121" s="229">
        <v>0.80359999999999998</v>
      </c>
      <c r="FB121" s="227" t="s">
        <v>694</v>
      </c>
      <c r="FC121">
        <f t="shared" si="1"/>
        <v>91</v>
      </c>
    </row>
    <row r="122" spans="1:159" ht="17.25" thickBot="1" x14ac:dyDescent="0.3">
      <c r="A122" s="226">
        <v>46121</v>
      </c>
      <c r="B122" s="227" t="s">
        <v>184</v>
      </c>
      <c r="C122" s="227" t="s">
        <v>249</v>
      </c>
      <c r="D122" s="228">
        <v>175</v>
      </c>
      <c r="E122" s="228">
        <v>19</v>
      </c>
      <c r="F122" s="231">
        <v>3907.2</v>
      </c>
      <c r="G122" s="231">
        <v>4013.2</v>
      </c>
      <c r="H122" s="228">
        <v>-106</v>
      </c>
      <c r="I122" s="229">
        <v>-2.64E-2</v>
      </c>
      <c r="J122" s="231">
        <v>3896.2</v>
      </c>
      <c r="K122" s="231">
        <v>4005.9</v>
      </c>
      <c r="L122" s="228">
        <v>-109.7</v>
      </c>
      <c r="M122" s="229">
        <v>-2.7400000000000001E-2</v>
      </c>
      <c r="N122" s="231">
        <v>3907.2</v>
      </c>
      <c r="O122" s="231">
        <v>4013.2</v>
      </c>
      <c r="P122" s="228">
        <v>-106</v>
      </c>
      <c r="Q122" s="229">
        <v>-2.64E-2</v>
      </c>
      <c r="R122" s="231">
        <v>3932.2</v>
      </c>
      <c r="S122" s="231">
        <v>4038.3</v>
      </c>
      <c r="T122" s="228">
        <v>-106.1</v>
      </c>
      <c r="U122" s="229">
        <v>-2.63E-2</v>
      </c>
      <c r="V122" s="231">
        <v>3927.8</v>
      </c>
      <c r="W122" s="231">
        <v>4037.6</v>
      </c>
      <c r="X122" s="228">
        <v>-109.8</v>
      </c>
      <c r="Y122" s="229">
        <v>-2.7199999999999998E-2</v>
      </c>
      <c r="Z122" s="228">
        <v>11</v>
      </c>
      <c r="AA122" s="228">
        <v>7.3</v>
      </c>
      <c r="AB122" s="228">
        <v>3.7</v>
      </c>
      <c r="AC122" s="229">
        <v>2.8E-3</v>
      </c>
      <c r="AD122" s="228">
        <v>11</v>
      </c>
      <c r="AE122" s="228">
        <v>7.3</v>
      </c>
      <c r="AF122" s="228">
        <v>3.7</v>
      </c>
      <c r="AG122" s="229">
        <v>2.8E-3</v>
      </c>
      <c r="AH122" s="228">
        <v>36</v>
      </c>
      <c r="AI122" s="228">
        <v>32.4</v>
      </c>
      <c r="AJ122" s="228">
        <v>3.6</v>
      </c>
      <c r="AK122" s="229">
        <v>9.1999999999999998E-3</v>
      </c>
      <c r="AL122" s="228">
        <v>31.6</v>
      </c>
      <c r="AM122" s="228">
        <v>31.7</v>
      </c>
      <c r="AN122" s="228">
        <v>-0.1</v>
      </c>
      <c r="AO122" s="229">
        <v>8.0999999999999996E-3</v>
      </c>
      <c r="AP122" s="231">
        <v>3929.98</v>
      </c>
      <c r="AQ122" s="231">
        <v>3954.62</v>
      </c>
      <c r="AR122" s="228">
        <v>0</v>
      </c>
      <c r="AS122" s="230">
        <v>1226</v>
      </c>
      <c r="AT122" s="230">
        <v>2395</v>
      </c>
      <c r="AU122" s="230">
        <v>-1169</v>
      </c>
      <c r="AV122" s="229">
        <v>-0.48820000000000002</v>
      </c>
      <c r="AW122" s="230">
        <v>1102</v>
      </c>
      <c r="AX122" s="230">
        <v>2229</v>
      </c>
      <c r="AY122" s="230">
        <v>-1127</v>
      </c>
      <c r="AZ122" s="229">
        <v>-0.50549999999999995</v>
      </c>
      <c r="BA122" s="228">
        <v>94</v>
      </c>
      <c r="BB122" s="228">
        <v>137</v>
      </c>
      <c r="BC122" s="228">
        <v>-43</v>
      </c>
      <c r="BD122" s="229">
        <v>-0.31669999999999998</v>
      </c>
      <c r="BE122" s="228">
        <v>30</v>
      </c>
      <c r="BF122" s="228">
        <v>29</v>
      </c>
      <c r="BG122" s="228">
        <v>1</v>
      </c>
      <c r="BH122" s="229">
        <v>4.0599999999999997E-2</v>
      </c>
      <c r="BI122" s="230">
        <v>4581</v>
      </c>
      <c r="BJ122" s="230">
        <v>8468</v>
      </c>
      <c r="BK122" s="230">
        <v>-3887</v>
      </c>
      <c r="BL122" s="229">
        <v>-0.45900000000000002</v>
      </c>
      <c r="BM122" s="230">
        <v>2198</v>
      </c>
      <c r="BN122" s="230">
        <v>4841</v>
      </c>
      <c r="BO122" s="230">
        <v>-2643</v>
      </c>
      <c r="BP122" s="229">
        <v>-0.54590000000000005</v>
      </c>
      <c r="BQ122" s="230">
        <v>8005</v>
      </c>
      <c r="BR122" s="230">
        <v>15704</v>
      </c>
      <c r="BS122" s="230">
        <v>-7699</v>
      </c>
      <c r="BT122" s="229">
        <v>-0.49020000000000002</v>
      </c>
      <c r="BU122" s="230">
        <v>4936287</v>
      </c>
      <c r="BV122" s="230">
        <v>7710412</v>
      </c>
      <c r="BW122" s="230">
        <v>-2774125</v>
      </c>
      <c r="BX122" s="229">
        <v>-0.35980000000000001</v>
      </c>
      <c r="BY122" s="230">
        <v>6135</v>
      </c>
      <c r="BZ122" s="230">
        <v>5945</v>
      </c>
      <c r="CA122" s="228">
        <v>190</v>
      </c>
      <c r="CB122" s="229">
        <v>3.2000000000000001E-2</v>
      </c>
      <c r="CC122" s="230">
        <v>5231</v>
      </c>
      <c r="CD122" s="230">
        <v>5096</v>
      </c>
      <c r="CE122" s="228">
        <v>135</v>
      </c>
      <c r="CF122" s="229">
        <v>2.64E-2</v>
      </c>
      <c r="CG122" s="228">
        <v>827</v>
      </c>
      <c r="CH122" s="228">
        <v>786</v>
      </c>
      <c r="CI122" s="228">
        <v>40</v>
      </c>
      <c r="CJ122" s="229">
        <v>5.1400000000000001E-2</v>
      </c>
      <c r="CK122" s="228">
        <v>78</v>
      </c>
      <c r="CL122" s="228">
        <v>62</v>
      </c>
      <c r="CM122" s="228">
        <v>15</v>
      </c>
      <c r="CN122" s="229">
        <v>0.2467</v>
      </c>
      <c r="CO122" s="230">
        <v>3240</v>
      </c>
      <c r="CP122" s="230">
        <v>2738</v>
      </c>
      <c r="CQ122" s="228">
        <v>501</v>
      </c>
      <c r="CR122" s="229">
        <v>0.18310000000000001</v>
      </c>
      <c r="CS122" s="230">
        <v>2394</v>
      </c>
      <c r="CT122" s="230">
        <v>2331</v>
      </c>
      <c r="CU122" s="228">
        <v>63</v>
      </c>
      <c r="CV122" s="229">
        <v>2.7199999999999998E-2</v>
      </c>
      <c r="CW122" s="230">
        <v>11769</v>
      </c>
      <c r="CX122" s="230">
        <v>11014</v>
      </c>
      <c r="CY122" s="228">
        <v>755</v>
      </c>
      <c r="CZ122" s="229">
        <v>6.8599999999999994E-2</v>
      </c>
      <c r="DA122" s="228">
        <v>31.7</v>
      </c>
      <c r="DB122" s="228">
        <v>32.71</v>
      </c>
      <c r="DC122" s="228">
        <v>-1.01</v>
      </c>
      <c r="DD122" s="228">
        <v>-1.01</v>
      </c>
      <c r="DE122" s="228">
        <v>34.090000000000003</v>
      </c>
      <c r="DF122" s="228">
        <v>33.97</v>
      </c>
      <c r="DG122" s="228">
        <v>-2.39</v>
      </c>
      <c r="DH122" s="228">
        <v>0.12</v>
      </c>
      <c r="DI122" s="228">
        <v>30.78</v>
      </c>
      <c r="DJ122" s="228">
        <v>30.85</v>
      </c>
      <c r="DK122" s="228">
        <v>-7.0000000000000007E-2</v>
      </c>
      <c r="DL122" s="228">
        <v>-7.0000000000000007E-2</v>
      </c>
      <c r="DM122" s="228">
        <v>33.630000000000003</v>
      </c>
      <c r="DN122" s="228">
        <v>35.979999999999997</v>
      </c>
      <c r="DO122" s="228">
        <v>-2.35</v>
      </c>
      <c r="DP122" s="228">
        <v>-2.35</v>
      </c>
      <c r="DQ122" s="228">
        <v>0.74</v>
      </c>
      <c r="DR122" s="228">
        <v>0.85</v>
      </c>
      <c r="DS122" s="228">
        <v>-0.11</v>
      </c>
      <c r="DT122" s="229">
        <v>-0.12939999999999999</v>
      </c>
      <c r="DU122" s="231">
        <v>4000</v>
      </c>
      <c r="DV122" s="231">
        <v>4000</v>
      </c>
      <c r="DW122" s="228">
        <v>0.48</v>
      </c>
      <c r="DX122" s="228">
        <v>0.56999999999999995</v>
      </c>
      <c r="DY122" s="228">
        <v>-0.09</v>
      </c>
      <c r="DZ122" s="229">
        <v>-0.15790000000000001</v>
      </c>
      <c r="EA122" s="229">
        <v>0.1474</v>
      </c>
      <c r="EB122" s="230">
        <v>2171575</v>
      </c>
      <c r="EC122" s="229">
        <v>6.4000000000000003E-3</v>
      </c>
      <c r="ED122" s="229">
        <v>0.1474</v>
      </c>
      <c r="EE122" s="228">
        <v>24.64</v>
      </c>
      <c r="EF122" s="229">
        <v>6.3E-3</v>
      </c>
      <c r="EG122" s="230">
        <v>2280637</v>
      </c>
      <c r="EH122" s="230">
        <v>4302718</v>
      </c>
      <c r="EI122" s="229">
        <v>-0.47</v>
      </c>
      <c r="EJ122" s="229">
        <v>0.46200000000000002</v>
      </c>
      <c r="EK122" s="231">
        <v>4876.46</v>
      </c>
      <c r="EL122" s="231">
        <v>2167.1</v>
      </c>
      <c r="EM122" s="231">
        <v>1233.6300000000001</v>
      </c>
      <c r="EN122" s="228">
        <v>212.58</v>
      </c>
      <c r="EO122" s="231">
        <v>8277.18</v>
      </c>
      <c r="EP122" s="231">
        <v>16201.11</v>
      </c>
      <c r="EQ122" s="231">
        <v>-7923.93</v>
      </c>
      <c r="ER122" s="229">
        <v>-0.48909999999999998</v>
      </c>
      <c r="ES122" s="231">
        <v>3296.95</v>
      </c>
      <c r="ET122" s="231">
        <v>2269.9</v>
      </c>
      <c r="EU122" s="231">
        <v>6141.15</v>
      </c>
      <c r="EV122" s="231">
        <v>136099497</v>
      </c>
      <c r="EW122" s="231">
        <v>11707.99</v>
      </c>
      <c r="EX122" s="231">
        <v>11091.63</v>
      </c>
      <c r="EY122" s="228">
        <v>616.36</v>
      </c>
      <c r="EZ122" s="229">
        <v>5.5599999999999997E-2</v>
      </c>
      <c r="FA122" s="229">
        <v>0.2213</v>
      </c>
      <c r="FB122" s="227" t="s">
        <v>566</v>
      </c>
      <c r="FC122">
        <f t="shared" si="1"/>
        <v>904</v>
      </c>
    </row>
    <row r="123" spans="1:159" ht="17.25" thickBot="1" x14ac:dyDescent="0.3">
      <c r="A123" s="226">
        <v>46121</v>
      </c>
      <c r="B123" s="227" t="s">
        <v>175</v>
      </c>
      <c r="C123" s="227" t="s">
        <v>564</v>
      </c>
      <c r="D123" s="228">
        <v>2250</v>
      </c>
      <c r="E123" s="228">
        <v>19</v>
      </c>
      <c r="F123" s="228">
        <v>273.14</v>
      </c>
      <c r="G123" s="228">
        <v>276.14999999999998</v>
      </c>
      <c r="H123" s="228">
        <v>-3.01</v>
      </c>
      <c r="I123" s="229">
        <v>-1.09E-2</v>
      </c>
      <c r="J123" s="228">
        <v>272.18</v>
      </c>
      <c r="K123" s="228">
        <v>275.45999999999998</v>
      </c>
      <c r="L123" s="228">
        <v>-3.28</v>
      </c>
      <c r="M123" s="229">
        <v>-1.1900000000000001E-2</v>
      </c>
      <c r="N123" s="228">
        <v>273.14</v>
      </c>
      <c r="O123" s="228">
        <v>276.14999999999998</v>
      </c>
      <c r="P123" s="228">
        <v>-3.01</v>
      </c>
      <c r="Q123" s="229">
        <v>-1.09E-2</v>
      </c>
      <c r="R123" s="228">
        <v>272.04000000000002</v>
      </c>
      <c r="S123" s="228">
        <v>275.47000000000003</v>
      </c>
      <c r="T123" s="228">
        <v>-3.43</v>
      </c>
      <c r="U123" s="229">
        <v>-1.2500000000000001E-2</v>
      </c>
      <c r="V123" s="228">
        <v>272.5</v>
      </c>
      <c r="W123" s="228">
        <v>275.3</v>
      </c>
      <c r="X123" s="228">
        <v>-2.8</v>
      </c>
      <c r="Y123" s="229">
        <v>-1.0200000000000001E-2</v>
      </c>
      <c r="Z123" s="228">
        <v>0.96</v>
      </c>
      <c r="AA123" s="228">
        <v>0.69</v>
      </c>
      <c r="AB123" s="228">
        <v>0.27</v>
      </c>
      <c r="AC123" s="229">
        <v>3.5000000000000001E-3</v>
      </c>
      <c r="AD123" s="228">
        <v>0.96</v>
      </c>
      <c r="AE123" s="228">
        <v>0.69</v>
      </c>
      <c r="AF123" s="228">
        <v>0.27</v>
      </c>
      <c r="AG123" s="229">
        <v>3.5000000000000001E-3</v>
      </c>
      <c r="AH123" s="228">
        <v>-0.14000000000000001</v>
      </c>
      <c r="AI123" s="228">
        <v>0.01</v>
      </c>
      <c r="AJ123" s="228">
        <v>-0.15</v>
      </c>
      <c r="AK123" s="229">
        <v>-5.0000000000000001E-4</v>
      </c>
      <c r="AL123" s="228">
        <v>0.32</v>
      </c>
      <c r="AM123" s="228">
        <v>-0.16</v>
      </c>
      <c r="AN123" s="228">
        <v>0.48</v>
      </c>
      <c r="AO123" s="229">
        <v>1.1999999999999999E-3</v>
      </c>
      <c r="AP123" s="228">
        <v>274.67</v>
      </c>
      <c r="AQ123" s="228">
        <v>273.49</v>
      </c>
      <c r="AR123" s="228">
        <v>0</v>
      </c>
      <c r="AS123" s="228">
        <v>236</v>
      </c>
      <c r="AT123" s="228">
        <v>469</v>
      </c>
      <c r="AU123" s="228">
        <v>-233</v>
      </c>
      <c r="AV123" s="229">
        <v>-0.4975</v>
      </c>
      <c r="AW123" s="228">
        <v>196</v>
      </c>
      <c r="AX123" s="228">
        <v>442</v>
      </c>
      <c r="AY123" s="228">
        <v>-246</v>
      </c>
      <c r="AZ123" s="229">
        <v>-0.55610000000000004</v>
      </c>
      <c r="BA123" s="228">
        <v>38</v>
      </c>
      <c r="BB123" s="228">
        <v>24</v>
      </c>
      <c r="BC123" s="228">
        <v>14</v>
      </c>
      <c r="BD123" s="229">
        <v>0.5595</v>
      </c>
      <c r="BE123" s="228">
        <v>2</v>
      </c>
      <c r="BF123" s="228">
        <v>3</v>
      </c>
      <c r="BG123" s="228">
        <v>-1</v>
      </c>
      <c r="BH123" s="229">
        <v>-0.41670000000000001</v>
      </c>
      <c r="BI123" s="228">
        <v>381</v>
      </c>
      <c r="BJ123" s="230">
        <v>1247</v>
      </c>
      <c r="BK123" s="228">
        <v>-866</v>
      </c>
      <c r="BL123" s="229">
        <v>-0.69430000000000003</v>
      </c>
      <c r="BM123" s="228">
        <v>214</v>
      </c>
      <c r="BN123" s="228">
        <v>510</v>
      </c>
      <c r="BO123" s="228">
        <v>-296</v>
      </c>
      <c r="BP123" s="229">
        <v>-0.58099999999999996</v>
      </c>
      <c r="BQ123" s="228">
        <v>831</v>
      </c>
      <c r="BR123" s="230">
        <v>2226</v>
      </c>
      <c r="BS123" s="230">
        <v>-1396</v>
      </c>
      <c r="BT123" s="229">
        <v>-0.62690000000000001</v>
      </c>
      <c r="BU123" s="230">
        <v>4885387</v>
      </c>
      <c r="BV123" s="230">
        <v>9185176</v>
      </c>
      <c r="BW123" s="230">
        <v>-4299789</v>
      </c>
      <c r="BX123" s="229">
        <v>-0.46810000000000002</v>
      </c>
      <c r="BY123" s="230">
        <v>1479</v>
      </c>
      <c r="BZ123" s="230">
        <v>1444</v>
      </c>
      <c r="CA123" s="228">
        <v>34</v>
      </c>
      <c r="CB123" s="229">
        <v>2.3800000000000002E-2</v>
      </c>
      <c r="CC123" s="230">
        <v>1434</v>
      </c>
      <c r="CD123" s="230">
        <v>1415</v>
      </c>
      <c r="CE123" s="228">
        <v>19</v>
      </c>
      <c r="CF123" s="229">
        <v>1.34E-2</v>
      </c>
      <c r="CG123" s="228">
        <v>42</v>
      </c>
      <c r="CH123" s="228">
        <v>27</v>
      </c>
      <c r="CI123" s="228">
        <v>15</v>
      </c>
      <c r="CJ123" s="229">
        <v>0.56120000000000003</v>
      </c>
      <c r="CK123" s="228">
        <v>3</v>
      </c>
      <c r="CL123" s="228">
        <v>3</v>
      </c>
      <c r="CM123" s="228">
        <v>1</v>
      </c>
      <c r="CN123" s="229">
        <v>0.2195</v>
      </c>
      <c r="CO123" s="228">
        <v>506</v>
      </c>
      <c r="CP123" s="228">
        <v>499</v>
      </c>
      <c r="CQ123" s="228">
        <v>7</v>
      </c>
      <c r="CR123" s="229">
        <v>1.49E-2</v>
      </c>
      <c r="CS123" s="228">
        <v>403</v>
      </c>
      <c r="CT123" s="228">
        <v>383</v>
      </c>
      <c r="CU123" s="228">
        <v>20</v>
      </c>
      <c r="CV123" s="229">
        <v>5.3199999999999997E-2</v>
      </c>
      <c r="CW123" s="230">
        <v>2388</v>
      </c>
      <c r="CX123" s="230">
        <v>2326</v>
      </c>
      <c r="CY123" s="228">
        <v>62</v>
      </c>
      <c r="CZ123" s="229">
        <v>2.6700000000000002E-2</v>
      </c>
      <c r="DA123" s="228">
        <v>39.11</v>
      </c>
      <c r="DB123" s="228">
        <v>39.909999999999997</v>
      </c>
      <c r="DC123" s="228">
        <v>-0.8</v>
      </c>
      <c r="DD123" s="228">
        <v>-0.8</v>
      </c>
      <c r="DE123" s="228">
        <v>41.84</v>
      </c>
      <c r="DF123" s="228">
        <v>41.92</v>
      </c>
      <c r="DG123" s="228">
        <v>-2.73</v>
      </c>
      <c r="DH123" s="228">
        <v>-0.08</v>
      </c>
      <c r="DI123" s="228">
        <v>37.630000000000003</v>
      </c>
      <c r="DJ123" s="228">
        <v>38.369999999999997</v>
      </c>
      <c r="DK123" s="228">
        <v>-0.74</v>
      </c>
      <c r="DL123" s="228">
        <v>-0.74</v>
      </c>
      <c r="DM123" s="228">
        <v>41.74</v>
      </c>
      <c r="DN123" s="228">
        <v>43.65</v>
      </c>
      <c r="DO123" s="228">
        <v>-1.91</v>
      </c>
      <c r="DP123" s="228">
        <v>-1.91</v>
      </c>
      <c r="DQ123" s="228">
        <v>0.8</v>
      </c>
      <c r="DR123" s="228">
        <v>0.77</v>
      </c>
      <c r="DS123" s="228">
        <v>0.03</v>
      </c>
      <c r="DT123" s="229">
        <v>3.9E-2</v>
      </c>
      <c r="DU123" s="228">
        <v>300</v>
      </c>
      <c r="DV123" s="228">
        <v>300</v>
      </c>
      <c r="DW123" s="228">
        <v>0.56000000000000005</v>
      </c>
      <c r="DX123" s="228">
        <v>0.41</v>
      </c>
      <c r="DY123" s="228">
        <v>0.15</v>
      </c>
      <c r="DZ123" s="229">
        <v>0.3659</v>
      </c>
      <c r="EA123" s="229">
        <v>3.0200000000000001E-2</v>
      </c>
      <c r="EB123" s="230">
        <v>1066500</v>
      </c>
      <c r="EC123" s="229">
        <v>-4.0000000000000001E-3</v>
      </c>
      <c r="ED123" s="229">
        <v>3.0200000000000001E-2</v>
      </c>
      <c r="EE123" s="228">
        <v>-1.18</v>
      </c>
      <c r="EF123" s="229">
        <v>-4.3E-3</v>
      </c>
      <c r="EG123" s="230">
        <v>1686875</v>
      </c>
      <c r="EH123" s="230">
        <v>2892849</v>
      </c>
      <c r="EI123" s="229">
        <v>-0.41689999999999999</v>
      </c>
      <c r="EJ123" s="229">
        <v>0.3453</v>
      </c>
      <c r="EK123" s="228">
        <v>410.2</v>
      </c>
      <c r="EL123" s="228">
        <v>209.04</v>
      </c>
      <c r="EM123" s="228">
        <v>236.96</v>
      </c>
      <c r="EN123" s="228">
        <v>60.52</v>
      </c>
      <c r="EO123" s="228">
        <v>856.2</v>
      </c>
      <c r="EP123" s="231">
        <v>2307.8000000000002</v>
      </c>
      <c r="EQ123" s="231">
        <v>-1451.6</v>
      </c>
      <c r="ER123" s="229">
        <v>-0.629</v>
      </c>
      <c r="ES123" s="228">
        <v>513.52</v>
      </c>
      <c r="ET123" s="228">
        <v>389.57</v>
      </c>
      <c r="EU123" s="231">
        <v>1478.47</v>
      </c>
      <c r="EV123" s="231">
        <v>127514625</v>
      </c>
      <c r="EW123" s="231">
        <v>2381.56</v>
      </c>
      <c r="EX123" s="231">
        <v>2333.94</v>
      </c>
      <c r="EY123" s="228">
        <v>47.62</v>
      </c>
      <c r="EZ123" s="229">
        <v>2.0400000000000001E-2</v>
      </c>
      <c r="FA123" s="229">
        <v>0.68559999999999999</v>
      </c>
      <c r="FB123" s="227" t="s">
        <v>566</v>
      </c>
      <c r="FC123">
        <f t="shared" si="1"/>
        <v>45</v>
      </c>
    </row>
    <row r="124" spans="1:159" ht="17.25" thickBot="1" x14ac:dyDescent="0.3">
      <c r="A124" s="226">
        <v>46121</v>
      </c>
      <c r="B124" s="227" t="s">
        <v>221</v>
      </c>
      <c r="C124" s="227" t="s">
        <v>692</v>
      </c>
      <c r="D124" s="228">
        <v>150</v>
      </c>
      <c r="E124" s="228">
        <v>19</v>
      </c>
      <c r="F124" s="231">
        <v>4556.3</v>
      </c>
      <c r="G124" s="231">
        <v>4517</v>
      </c>
      <c r="H124" s="228">
        <v>39.299999999999997</v>
      </c>
      <c r="I124" s="229">
        <v>8.6999999999999994E-3</v>
      </c>
      <c r="J124" s="231">
        <v>4572</v>
      </c>
      <c r="K124" s="231">
        <v>4523</v>
      </c>
      <c r="L124" s="228">
        <v>49</v>
      </c>
      <c r="M124" s="229">
        <v>1.0800000000000001E-2</v>
      </c>
      <c r="N124" s="231">
        <v>4556.3</v>
      </c>
      <c r="O124" s="231">
        <v>4517</v>
      </c>
      <c r="P124" s="228">
        <v>39.299999999999997</v>
      </c>
      <c r="Q124" s="229">
        <v>8.6999999999999994E-3</v>
      </c>
      <c r="R124" s="231">
        <v>4484.1000000000004</v>
      </c>
      <c r="S124" s="231">
        <v>4451.8999999999996</v>
      </c>
      <c r="T124" s="228">
        <v>32.200000000000003</v>
      </c>
      <c r="U124" s="229">
        <v>7.1999999999999998E-3</v>
      </c>
      <c r="V124" s="231">
        <v>4463.1000000000004</v>
      </c>
      <c r="W124" s="231">
        <v>4427.8</v>
      </c>
      <c r="X124" s="228">
        <v>35.299999999999997</v>
      </c>
      <c r="Y124" s="229">
        <v>8.0000000000000002E-3</v>
      </c>
      <c r="Z124" s="228">
        <v>-15.7</v>
      </c>
      <c r="AA124" s="228">
        <v>-6</v>
      </c>
      <c r="AB124" s="228">
        <v>-9.6999999999999993</v>
      </c>
      <c r="AC124" s="229">
        <v>-3.3999999999999998E-3</v>
      </c>
      <c r="AD124" s="228">
        <v>-15.7</v>
      </c>
      <c r="AE124" s="228">
        <v>-6</v>
      </c>
      <c r="AF124" s="228">
        <v>-9.6999999999999993</v>
      </c>
      <c r="AG124" s="229">
        <v>-3.3999999999999998E-3</v>
      </c>
      <c r="AH124" s="228">
        <v>-87.9</v>
      </c>
      <c r="AI124" s="228">
        <v>-71.099999999999994</v>
      </c>
      <c r="AJ124" s="228">
        <v>-16.8</v>
      </c>
      <c r="AK124" s="229">
        <v>-1.9199999999999998E-2</v>
      </c>
      <c r="AL124" s="228">
        <v>-108.9</v>
      </c>
      <c r="AM124" s="228">
        <v>-95.2</v>
      </c>
      <c r="AN124" s="228">
        <v>-13.7</v>
      </c>
      <c r="AO124" s="229">
        <v>-2.3800000000000002E-2</v>
      </c>
      <c r="AP124" s="231">
        <v>4499.9399999999996</v>
      </c>
      <c r="AQ124" s="231">
        <v>4427.88</v>
      </c>
      <c r="AR124" s="228">
        <v>0</v>
      </c>
      <c r="AS124" s="228">
        <v>240</v>
      </c>
      <c r="AT124" s="228">
        <v>395</v>
      </c>
      <c r="AU124" s="228">
        <v>-155</v>
      </c>
      <c r="AV124" s="229">
        <v>-0.3931</v>
      </c>
      <c r="AW124" s="228">
        <v>215</v>
      </c>
      <c r="AX124" s="228">
        <v>354</v>
      </c>
      <c r="AY124" s="228">
        <v>-139</v>
      </c>
      <c r="AZ124" s="229">
        <v>-0.39190000000000003</v>
      </c>
      <c r="BA124" s="228">
        <v>21</v>
      </c>
      <c r="BB124" s="228">
        <v>39</v>
      </c>
      <c r="BC124" s="228">
        <v>-17</v>
      </c>
      <c r="BD124" s="229">
        <v>-0.44619999999999999</v>
      </c>
      <c r="BE124" s="228">
        <v>3</v>
      </c>
      <c r="BF124" s="228">
        <v>2</v>
      </c>
      <c r="BG124" s="228">
        <v>1</v>
      </c>
      <c r="BH124" s="229">
        <v>0.34379999999999999</v>
      </c>
      <c r="BI124" s="228">
        <v>766</v>
      </c>
      <c r="BJ124" s="228">
        <v>622</v>
      </c>
      <c r="BK124" s="228">
        <v>144</v>
      </c>
      <c r="BL124" s="229">
        <v>0.23100000000000001</v>
      </c>
      <c r="BM124" s="228">
        <v>259</v>
      </c>
      <c r="BN124" s="228">
        <v>269</v>
      </c>
      <c r="BO124" s="228">
        <v>-10</v>
      </c>
      <c r="BP124" s="229">
        <v>-3.78E-2</v>
      </c>
      <c r="BQ124" s="230">
        <v>1265</v>
      </c>
      <c r="BR124" s="230">
        <v>1287</v>
      </c>
      <c r="BS124" s="228">
        <v>-22</v>
      </c>
      <c r="BT124" s="229">
        <v>-1.6799999999999999E-2</v>
      </c>
      <c r="BU124" s="230">
        <v>371733</v>
      </c>
      <c r="BV124" s="230">
        <v>424664</v>
      </c>
      <c r="BW124" s="230">
        <v>-52931</v>
      </c>
      <c r="BX124" s="229">
        <v>-0.1246</v>
      </c>
      <c r="BY124" s="230">
        <v>1804</v>
      </c>
      <c r="BZ124" s="230">
        <v>1772</v>
      </c>
      <c r="CA124" s="228">
        <v>32</v>
      </c>
      <c r="CB124" s="229">
        <v>1.8100000000000002E-2</v>
      </c>
      <c r="CC124" s="230">
        <v>1727</v>
      </c>
      <c r="CD124" s="230">
        <v>1706</v>
      </c>
      <c r="CE124" s="228">
        <v>21</v>
      </c>
      <c r="CF124" s="229">
        <v>1.2200000000000001E-2</v>
      </c>
      <c r="CG124" s="228">
        <v>73</v>
      </c>
      <c r="CH124" s="228">
        <v>63</v>
      </c>
      <c r="CI124" s="228">
        <v>10</v>
      </c>
      <c r="CJ124" s="229">
        <v>0.16650000000000001</v>
      </c>
      <c r="CK124" s="228">
        <v>4</v>
      </c>
      <c r="CL124" s="228">
        <v>3</v>
      </c>
      <c r="CM124" s="228">
        <v>1</v>
      </c>
      <c r="CN124" s="229">
        <v>0.2273</v>
      </c>
      <c r="CO124" s="228">
        <v>395</v>
      </c>
      <c r="CP124" s="228">
        <v>379</v>
      </c>
      <c r="CQ124" s="228">
        <v>16</v>
      </c>
      <c r="CR124" s="229">
        <v>4.1500000000000002E-2</v>
      </c>
      <c r="CS124" s="228">
        <v>364</v>
      </c>
      <c r="CT124" s="228">
        <v>345</v>
      </c>
      <c r="CU124" s="228">
        <v>20</v>
      </c>
      <c r="CV124" s="229">
        <v>5.67E-2</v>
      </c>
      <c r="CW124" s="230">
        <v>2563</v>
      </c>
      <c r="CX124" s="230">
        <v>2495</v>
      </c>
      <c r="CY124" s="228">
        <v>67</v>
      </c>
      <c r="CZ124" s="229">
        <v>2.69E-2</v>
      </c>
      <c r="DA124" s="228">
        <v>37.229999999999997</v>
      </c>
      <c r="DB124" s="228">
        <v>36.26</v>
      </c>
      <c r="DC124" s="228">
        <v>0.97</v>
      </c>
      <c r="DD124" s="228">
        <v>0.97</v>
      </c>
      <c r="DE124" s="228">
        <v>35.82</v>
      </c>
      <c r="DF124" s="228">
        <v>35.880000000000003</v>
      </c>
      <c r="DG124" s="228">
        <v>1.41</v>
      </c>
      <c r="DH124" s="228">
        <v>-0.06</v>
      </c>
      <c r="DI124" s="228">
        <v>36.46</v>
      </c>
      <c r="DJ124" s="228">
        <v>35.6</v>
      </c>
      <c r="DK124" s="228">
        <v>0.86</v>
      </c>
      <c r="DL124" s="228">
        <v>0.86</v>
      </c>
      <c r="DM124" s="228">
        <v>39.53</v>
      </c>
      <c r="DN124" s="228">
        <v>37.78</v>
      </c>
      <c r="DO124" s="228">
        <v>1.75</v>
      </c>
      <c r="DP124" s="228">
        <v>1.75</v>
      </c>
      <c r="DQ124" s="228">
        <v>0.92</v>
      </c>
      <c r="DR124" s="228">
        <v>0.91</v>
      </c>
      <c r="DS124" s="228">
        <v>0.01</v>
      </c>
      <c r="DT124" s="229">
        <v>1.0999999999999999E-2</v>
      </c>
      <c r="DU124" s="231">
        <v>4500</v>
      </c>
      <c r="DV124" s="231">
        <v>4300</v>
      </c>
      <c r="DW124" s="228">
        <v>0.34</v>
      </c>
      <c r="DX124" s="228">
        <v>0.43</v>
      </c>
      <c r="DY124" s="228">
        <v>-0.09</v>
      </c>
      <c r="DZ124" s="229">
        <v>-0.20930000000000001</v>
      </c>
      <c r="EA124" s="229">
        <v>4.2700000000000002E-2</v>
      </c>
      <c r="EB124" s="230">
        <v>144450</v>
      </c>
      <c r="EC124" s="229">
        <v>-1.5800000000000002E-2</v>
      </c>
      <c r="ED124" s="229">
        <v>4.2700000000000002E-2</v>
      </c>
      <c r="EE124" s="228">
        <v>-72.06</v>
      </c>
      <c r="EF124" s="229">
        <v>-1.6E-2</v>
      </c>
      <c r="EG124" s="230">
        <v>146068</v>
      </c>
      <c r="EH124" s="230">
        <v>218247</v>
      </c>
      <c r="EI124" s="229">
        <v>-0.33069999999999999</v>
      </c>
      <c r="EJ124" s="229">
        <v>0.39290000000000003</v>
      </c>
      <c r="EK124" s="228">
        <v>801.69</v>
      </c>
      <c r="EL124" s="228">
        <v>250.76</v>
      </c>
      <c r="EM124" s="228">
        <v>236.33</v>
      </c>
      <c r="EN124" s="228">
        <v>41.58</v>
      </c>
      <c r="EO124" s="231">
        <v>1288.78</v>
      </c>
      <c r="EP124" s="231">
        <v>1294.0899999999999</v>
      </c>
      <c r="EQ124" s="228">
        <v>-5.31</v>
      </c>
      <c r="ER124" s="229">
        <v>-4.1000000000000003E-3</v>
      </c>
      <c r="ES124" s="228">
        <v>392.13</v>
      </c>
      <c r="ET124" s="228">
        <v>336.49</v>
      </c>
      <c r="EU124" s="231">
        <v>1802.72</v>
      </c>
      <c r="EV124" s="231">
        <v>12564965</v>
      </c>
      <c r="EW124" s="231">
        <v>2531.34</v>
      </c>
      <c r="EX124" s="231">
        <v>2447.48</v>
      </c>
      <c r="EY124" s="228">
        <v>83.86</v>
      </c>
      <c r="EZ124" s="229">
        <v>3.4299999999999997E-2</v>
      </c>
      <c r="FA124" s="229">
        <v>0.4476</v>
      </c>
      <c r="FB124" s="227" t="s">
        <v>555</v>
      </c>
      <c r="FC124">
        <f t="shared" si="1"/>
        <v>77</v>
      </c>
    </row>
    <row r="125" spans="1:159" ht="17.25" thickBot="1" x14ac:dyDescent="0.3">
      <c r="A125" s="226">
        <v>46121</v>
      </c>
      <c r="B125" s="227" t="s">
        <v>170</v>
      </c>
      <c r="C125" s="227" t="s">
        <v>250</v>
      </c>
      <c r="D125" s="228">
        <v>425</v>
      </c>
      <c r="E125" s="228">
        <v>19</v>
      </c>
      <c r="F125" s="231">
        <v>2306.9</v>
      </c>
      <c r="G125" s="231">
        <v>2305.1999999999998</v>
      </c>
      <c r="H125" s="228">
        <v>1.7</v>
      </c>
      <c r="I125" s="229">
        <v>6.9999999999999999E-4</v>
      </c>
      <c r="J125" s="231">
        <v>2295.1</v>
      </c>
      <c r="K125" s="231">
        <v>2294.1</v>
      </c>
      <c r="L125" s="228">
        <v>1</v>
      </c>
      <c r="M125" s="229">
        <v>4.0000000000000002E-4</v>
      </c>
      <c r="N125" s="231">
        <v>2306.9</v>
      </c>
      <c r="O125" s="231">
        <v>2305.1999999999998</v>
      </c>
      <c r="P125" s="228">
        <v>1.7</v>
      </c>
      <c r="Q125" s="229">
        <v>6.9999999999999999E-4</v>
      </c>
      <c r="R125" s="231">
        <v>2318</v>
      </c>
      <c r="S125" s="231">
        <v>2318.1999999999998</v>
      </c>
      <c r="T125" s="228">
        <v>-0.2</v>
      </c>
      <c r="U125" s="229">
        <v>-1E-4</v>
      </c>
      <c r="V125" s="231">
        <v>2341.9</v>
      </c>
      <c r="W125" s="231">
        <v>2305</v>
      </c>
      <c r="X125" s="228">
        <v>36.9</v>
      </c>
      <c r="Y125" s="229">
        <v>1.6E-2</v>
      </c>
      <c r="Z125" s="228">
        <v>11.8</v>
      </c>
      <c r="AA125" s="228">
        <v>11.1</v>
      </c>
      <c r="AB125" s="228">
        <v>0.7</v>
      </c>
      <c r="AC125" s="229">
        <v>5.1000000000000004E-3</v>
      </c>
      <c r="AD125" s="228">
        <v>11.8</v>
      </c>
      <c r="AE125" s="228">
        <v>11.1</v>
      </c>
      <c r="AF125" s="228">
        <v>0.7</v>
      </c>
      <c r="AG125" s="229">
        <v>5.1000000000000004E-3</v>
      </c>
      <c r="AH125" s="228">
        <v>22.9</v>
      </c>
      <c r="AI125" s="228">
        <v>24.1</v>
      </c>
      <c r="AJ125" s="228">
        <v>-1.2</v>
      </c>
      <c r="AK125" s="229">
        <v>0.01</v>
      </c>
      <c r="AL125" s="228">
        <v>46.8</v>
      </c>
      <c r="AM125" s="228">
        <v>10.9</v>
      </c>
      <c r="AN125" s="228">
        <v>35.9</v>
      </c>
      <c r="AO125" s="229">
        <v>2.0400000000000001E-2</v>
      </c>
      <c r="AP125" s="231">
        <v>2305.2399999999998</v>
      </c>
      <c r="AQ125" s="231">
        <v>2316.71</v>
      </c>
      <c r="AR125" s="228">
        <v>0</v>
      </c>
      <c r="AS125" s="228">
        <v>333</v>
      </c>
      <c r="AT125" s="228">
        <v>330</v>
      </c>
      <c r="AU125" s="228">
        <v>3</v>
      </c>
      <c r="AV125" s="229">
        <v>8.8999999999999999E-3</v>
      </c>
      <c r="AW125" s="228">
        <v>314</v>
      </c>
      <c r="AX125" s="228">
        <v>312</v>
      </c>
      <c r="AY125" s="228">
        <v>2</v>
      </c>
      <c r="AZ125" s="229">
        <v>5.0000000000000001E-3</v>
      </c>
      <c r="BA125" s="228">
        <v>19</v>
      </c>
      <c r="BB125" s="228">
        <v>17</v>
      </c>
      <c r="BC125" s="228">
        <v>2</v>
      </c>
      <c r="BD125" s="229">
        <v>0.11559999999999999</v>
      </c>
      <c r="BE125" s="228">
        <v>0</v>
      </c>
      <c r="BF125" s="228">
        <v>1</v>
      </c>
      <c r="BG125" s="228">
        <v>-1</v>
      </c>
      <c r="BH125" s="229">
        <v>-0.75</v>
      </c>
      <c r="BI125" s="228">
        <v>730</v>
      </c>
      <c r="BJ125" s="228">
        <v>997</v>
      </c>
      <c r="BK125" s="228">
        <v>-267</v>
      </c>
      <c r="BL125" s="229">
        <v>-0.2676</v>
      </c>
      <c r="BM125" s="228">
        <v>359</v>
      </c>
      <c r="BN125" s="228">
        <v>494</v>
      </c>
      <c r="BO125" s="228">
        <v>-135</v>
      </c>
      <c r="BP125" s="229">
        <v>-0.27429999999999999</v>
      </c>
      <c r="BQ125" s="230">
        <v>1422</v>
      </c>
      <c r="BR125" s="230">
        <v>1821</v>
      </c>
      <c r="BS125" s="228">
        <v>-399</v>
      </c>
      <c r="BT125" s="229">
        <v>-0.21929999999999999</v>
      </c>
      <c r="BU125" s="230">
        <v>2293095</v>
      </c>
      <c r="BV125" s="230">
        <v>1904119</v>
      </c>
      <c r="BW125" s="230">
        <v>388976</v>
      </c>
      <c r="BX125" s="229">
        <v>0.20430000000000001</v>
      </c>
      <c r="BY125" s="230">
        <v>1513</v>
      </c>
      <c r="BZ125" s="230">
        <v>1464</v>
      </c>
      <c r="CA125" s="228">
        <v>50</v>
      </c>
      <c r="CB125" s="229">
        <v>3.3799999999999997E-2</v>
      </c>
      <c r="CC125" s="230">
        <v>1475</v>
      </c>
      <c r="CD125" s="230">
        <v>1428</v>
      </c>
      <c r="CE125" s="228">
        <v>47</v>
      </c>
      <c r="CF125" s="229">
        <v>3.2899999999999999E-2</v>
      </c>
      <c r="CG125" s="228">
        <v>38</v>
      </c>
      <c r="CH125" s="228">
        <v>35</v>
      </c>
      <c r="CI125" s="228">
        <v>3</v>
      </c>
      <c r="CJ125" s="229">
        <v>7.8E-2</v>
      </c>
      <c r="CK125" s="228">
        <v>1</v>
      </c>
      <c r="CL125" s="228">
        <v>1</v>
      </c>
      <c r="CM125" s="228">
        <v>0</v>
      </c>
      <c r="CN125" s="229">
        <v>-0.25</v>
      </c>
      <c r="CO125" s="228">
        <v>459</v>
      </c>
      <c r="CP125" s="228">
        <v>452</v>
      </c>
      <c r="CQ125" s="228">
        <v>7</v>
      </c>
      <c r="CR125" s="229">
        <v>1.47E-2</v>
      </c>
      <c r="CS125" s="228">
        <v>357</v>
      </c>
      <c r="CT125" s="228">
        <v>355</v>
      </c>
      <c r="CU125" s="228">
        <v>2</v>
      </c>
      <c r="CV125" s="229">
        <v>5.1999999999999998E-3</v>
      </c>
      <c r="CW125" s="230">
        <v>2329</v>
      </c>
      <c r="CX125" s="230">
        <v>2271</v>
      </c>
      <c r="CY125" s="228">
        <v>58</v>
      </c>
      <c r="CZ125" s="229">
        <v>2.5600000000000001E-2</v>
      </c>
      <c r="DA125" s="228">
        <v>25.85</v>
      </c>
      <c r="DB125" s="228">
        <v>25.6</v>
      </c>
      <c r="DC125" s="228">
        <v>0.25</v>
      </c>
      <c r="DD125" s="228">
        <v>0.25</v>
      </c>
      <c r="DE125" s="228">
        <v>28.15</v>
      </c>
      <c r="DF125" s="228">
        <v>28.22</v>
      </c>
      <c r="DG125" s="228">
        <v>-2.2999999999999998</v>
      </c>
      <c r="DH125" s="228">
        <v>-7.0000000000000007E-2</v>
      </c>
      <c r="DI125" s="228">
        <v>25.58</v>
      </c>
      <c r="DJ125" s="228">
        <v>25.04</v>
      </c>
      <c r="DK125" s="228">
        <v>0.54</v>
      </c>
      <c r="DL125" s="228">
        <v>0.54</v>
      </c>
      <c r="DM125" s="228">
        <v>26.39</v>
      </c>
      <c r="DN125" s="228">
        <v>26.73</v>
      </c>
      <c r="DO125" s="228">
        <v>-0.34</v>
      </c>
      <c r="DP125" s="228">
        <v>-0.34</v>
      </c>
      <c r="DQ125" s="228">
        <v>0.78</v>
      </c>
      <c r="DR125" s="228">
        <v>0.79</v>
      </c>
      <c r="DS125" s="228">
        <v>-0.01</v>
      </c>
      <c r="DT125" s="229">
        <v>-1.2699999999999999E-2</v>
      </c>
      <c r="DU125" s="231">
        <v>2400</v>
      </c>
      <c r="DV125" s="231">
        <v>2300</v>
      </c>
      <c r="DW125" s="228">
        <v>0.49</v>
      </c>
      <c r="DX125" s="228">
        <v>0.5</v>
      </c>
      <c r="DY125" s="228">
        <v>-0.01</v>
      </c>
      <c r="DZ125" s="229">
        <v>-0.02</v>
      </c>
      <c r="EA125" s="229">
        <v>2.5499999999999998E-2</v>
      </c>
      <c r="EB125" s="230">
        <v>155975</v>
      </c>
      <c r="EC125" s="229">
        <v>4.7999999999999996E-3</v>
      </c>
      <c r="ED125" s="229">
        <v>2.5499999999999998E-2</v>
      </c>
      <c r="EE125" s="228">
        <v>11.47</v>
      </c>
      <c r="EF125" s="229">
        <v>5.0000000000000001E-3</v>
      </c>
      <c r="EG125" s="230">
        <v>1443242</v>
      </c>
      <c r="EH125" s="230">
        <v>1146046</v>
      </c>
      <c r="EI125" s="229">
        <v>0.25929999999999997</v>
      </c>
      <c r="EJ125" s="229">
        <v>0.62939999999999996</v>
      </c>
      <c r="EK125" s="228">
        <v>755.99</v>
      </c>
      <c r="EL125" s="228">
        <v>356.11</v>
      </c>
      <c r="EM125" s="228">
        <v>332.62</v>
      </c>
      <c r="EN125" s="228">
        <v>28.22</v>
      </c>
      <c r="EO125" s="231">
        <v>1444.72</v>
      </c>
      <c r="EP125" s="231">
        <v>1848.8</v>
      </c>
      <c r="EQ125" s="228">
        <v>-404.08</v>
      </c>
      <c r="ER125" s="229">
        <v>-0.21859999999999999</v>
      </c>
      <c r="ES125" s="228">
        <v>472.6</v>
      </c>
      <c r="ET125" s="228">
        <v>343.88</v>
      </c>
      <c r="EU125" s="231">
        <v>1513.29</v>
      </c>
      <c r="EV125" s="231">
        <v>32222448</v>
      </c>
      <c r="EW125" s="231">
        <v>2329.7800000000002</v>
      </c>
      <c r="EX125" s="231">
        <v>2270.21</v>
      </c>
      <c r="EY125" s="228">
        <v>59.57</v>
      </c>
      <c r="EZ125" s="229">
        <v>2.6200000000000001E-2</v>
      </c>
      <c r="FA125" s="229">
        <v>0.31330000000000002</v>
      </c>
      <c r="FB125" s="227" t="s">
        <v>555</v>
      </c>
      <c r="FC125">
        <f t="shared" si="1"/>
        <v>38</v>
      </c>
    </row>
    <row r="126" spans="1:159" ht="17.25" thickBot="1" x14ac:dyDescent="0.3">
      <c r="A126" s="226">
        <v>46121</v>
      </c>
      <c r="B126" s="227" t="s">
        <v>162</v>
      </c>
      <c r="C126" s="227" t="s">
        <v>251</v>
      </c>
      <c r="D126" s="228">
        <v>200</v>
      </c>
      <c r="E126" s="228">
        <v>19</v>
      </c>
      <c r="F126" s="231">
        <v>3174.7</v>
      </c>
      <c r="G126" s="231">
        <v>3226</v>
      </c>
      <c r="H126" s="228">
        <v>-51.3</v>
      </c>
      <c r="I126" s="229">
        <v>-1.5900000000000001E-2</v>
      </c>
      <c r="J126" s="231">
        <v>3166.8</v>
      </c>
      <c r="K126" s="231">
        <v>3210.1</v>
      </c>
      <c r="L126" s="228">
        <v>-43.3</v>
      </c>
      <c r="M126" s="229">
        <v>-1.35E-2</v>
      </c>
      <c r="N126" s="231">
        <v>3174.7</v>
      </c>
      <c r="O126" s="231">
        <v>3226</v>
      </c>
      <c r="P126" s="228">
        <v>-51.3</v>
      </c>
      <c r="Q126" s="229">
        <v>-1.5900000000000001E-2</v>
      </c>
      <c r="R126" s="231">
        <v>3193.6</v>
      </c>
      <c r="S126" s="231">
        <v>3242.5</v>
      </c>
      <c r="T126" s="228">
        <v>-48.9</v>
      </c>
      <c r="U126" s="229">
        <v>-1.5100000000000001E-2</v>
      </c>
      <c r="V126" s="231">
        <v>3212.5</v>
      </c>
      <c r="W126" s="231">
        <v>3263.3</v>
      </c>
      <c r="X126" s="228">
        <v>-50.8</v>
      </c>
      <c r="Y126" s="229">
        <v>-1.5599999999999999E-2</v>
      </c>
      <c r="Z126" s="228">
        <v>7.9</v>
      </c>
      <c r="AA126" s="228">
        <v>15.9</v>
      </c>
      <c r="AB126" s="228">
        <v>-8</v>
      </c>
      <c r="AC126" s="229">
        <v>2.5000000000000001E-3</v>
      </c>
      <c r="AD126" s="228">
        <v>7.9</v>
      </c>
      <c r="AE126" s="228">
        <v>15.9</v>
      </c>
      <c r="AF126" s="228">
        <v>-8</v>
      </c>
      <c r="AG126" s="229">
        <v>2.5000000000000001E-3</v>
      </c>
      <c r="AH126" s="228">
        <v>26.8</v>
      </c>
      <c r="AI126" s="228">
        <v>32.4</v>
      </c>
      <c r="AJ126" s="228">
        <v>-5.6</v>
      </c>
      <c r="AK126" s="229">
        <v>8.5000000000000006E-3</v>
      </c>
      <c r="AL126" s="228">
        <v>45.7</v>
      </c>
      <c r="AM126" s="228">
        <v>53.2</v>
      </c>
      <c r="AN126" s="228">
        <v>-7.5</v>
      </c>
      <c r="AO126" s="229">
        <v>1.44E-2</v>
      </c>
      <c r="AP126" s="231">
        <v>3176.19</v>
      </c>
      <c r="AQ126" s="231">
        <v>3196.95</v>
      </c>
      <c r="AR126" s="228">
        <v>0</v>
      </c>
      <c r="AS126" s="228">
        <v>598</v>
      </c>
      <c r="AT126" s="228">
        <v>978</v>
      </c>
      <c r="AU126" s="228">
        <v>-380</v>
      </c>
      <c r="AV126" s="229">
        <v>-0.3881</v>
      </c>
      <c r="AW126" s="228">
        <v>546</v>
      </c>
      <c r="AX126" s="228">
        <v>867</v>
      </c>
      <c r="AY126" s="228">
        <v>-321</v>
      </c>
      <c r="AZ126" s="229">
        <v>-0.36990000000000001</v>
      </c>
      <c r="BA126" s="228">
        <v>41</v>
      </c>
      <c r="BB126" s="228">
        <v>84</v>
      </c>
      <c r="BC126" s="228">
        <v>-43</v>
      </c>
      <c r="BD126" s="229">
        <v>-0.51359999999999995</v>
      </c>
      <c r="BE126" s="228">
        <v>11</v>
      </c>
      <c r="BF126" s="228">
        <v>27</v>
      </c>
      <c r="BG126" s="228">
        <v>-16</v>
      </c>
      <c r="BH126" s="229">
        <v>-0.58709999999999996</v>
      </c>
      <c r="BI126" s="230">
        <v>1569</v>
      </c>
      <c r="BJ126" s="230">
        <v>3353</v>
      </c>
      <c r="BK126" s="230">
        <v>-1784</v>
      </c>
      <c r="BL126" s="229">
        <v>-0.53210000000000002</v>
      </c>
      <c r="BM126" s="228">
        <v>934</v>
      </c>
      <c r="BN126" s="230">
        <v>1563</v>
      </c>
      <c r="BO126" s="228">
        <v>-629</v>
      </c>
      <c r="BP126" s="229">
        <v>-0.4022</v>
      </c>
      <c r="BQ126" s="230">
        <v>3101</v>
      </c>
      <c r="BR126" s="230">
        <v>5894</v>
      </c>
      <c r="BS126" s="230">
        <v>-2792</v>
      </c>
      <c r="BT126" s="229">
        <v>-0.4738</v>
      </c>
      <c r="BU126" s="230">
        <v>3441818</v>
      </c>
      <c r="BV126" s="230">
        <v>4488898</v>
      </c>
      <c r="BW126" s="230">
        <v>-1047080</v>
      </c>
      <c r="BX126" s="229">
        <v>-0.23330000000000001</v>
      </c>
      <c r="BY126" s="230">
        <v>6356</v>
      </c>
      <c r="BZ126" s="230">
        <v>6359</v>
      </c>
      <c r="CA126" s="228">
        <v>-3</v>
      </c>
      <c r="CB126" s="229">
        <v>-5.0000000000000001E-4</v>
      </c>
      <c r="CC126" s="230">
        <v>5432</v>
      </c>
      <c r="CD126" s="230">
        <v>5455</v>
      </c>
      <c r="CE126" s="228">
        <v>-23</v>
      </c>
      <c r="CF126" s="229">
        <v>-4.1999999999999997E-3</v>
      </c>
      <c r="CG126" s="228">
        <v>844</v>
      </c>
      <c r="CH126" s="228">
        <v>830</v>
      </c>
      <c r="CI126" s="228">
        <v>14</v>
      </c>
      <c r="CJ126" s="229">
        <v>1.7100000000000001E-2</v>
      </c>
      <c r="CK126" s="228">
        <v>80</v>
      </c>
      <c r="CL126" s="228">
        <v>74</v>
      </c>
      <c r="CM126" s="228">
        <v>6</v>
      </c>
      <c r="CN126" s="229">
        <v>7.9000000000000001E-2</v>
      </c>
      <c r="CO126" s="230">
        <v>1258</v>
      </c>
      <c r="CP126" s="230">
        <v>1139</v>
      </c>
      <c r="CQ126" s="228">
        <v>120</v>
      </c>
      <c r="CR126" s="229">
        <v>0.1052</v>
      </c>
      <c r="CS126" s="230">
        <v>1006</v>
      </c>
      <c r="CT126" s="230">
        <v>1020</v>
      </c>
      <c r="CU126" s="228">
        <v>-14</v>
      </c>
      <c r="CV126" s="229">
        <v>-1.4E-2</v>
      </c>
      <c r="CW126" s="230">
        <v>8620</v>
      </c>
      <c r="CX126" s="230">
        <v>8517</v>
      </c>
      <c r="CY126" s="228">
        <v>102</v>
      </c>
      <c r="CZ126" s="229">
        <v>1.2E-2</v>
      </c>
      <c r="DA126" s="228">
        <v>34.06</v>
      </c>
      <c r="DB126" s="228">
        <v>33.619999999999997</v>
      </c>
      <c r="DC126" s="228">
        <v>0.44</v>
      </c>
      <c r="DD126" s="228">
        <v>0.44</v>
      </c>
      <c r="DE126" s="228">
        <v>35.76</v>
      </c>
      <c r="DF126" s="228">
        <v>35.799999999999997</v>
      </c>
      <c r="DG126" s="228">
        <v>-1.7</v>
      </c>
      <c r="DH126" s="228">
        <v>-0.04</v>
      </c>
      <c r="DI126" s="228">
        <v>32.69</v>
      </c>
      <c r="DJ126" s="228">
        <v>32.299999999999997</v>
      </c>
      <c r="DK126" s="228">
        <v>0.39</v>
      </c>
      <c r="DL126" s="228">
        <v>0.39</v>
      </c>
      <c r="DM126" s="228">
        <v>36.35</v>
      </c>
      <c r="DN126" s="228">
        <v>36.46</v>
      </c>
      <c r="DO126" s="228">
        <v>-0.11</v>
      </c>
      <c r="DP126" s="228">
        <v>-0.11</v>
      </c>
      <c r="DQ126" s="228">
        <v>0.8</v>
      </c>
      <c r="DR126" s="228">
        <v>0.9</v>
      </c>
      <c r="DS126" s="228">
        <v>-0.1</v>
      </c>
      <c r="DT126" s="229">
        <v>-0.1111</v>
      </c>
      <c r="DU126" s="231">
        <v>3200</v>
      </c>
      <c r="DV126" s="231">
        <v>3000</v>
      </c>
      <c r="DW126" s="228">
        <v>0.6</v>
      </c>
      <c r="DX126" s="228">
        <v>0.47</v>
      </c>
      <c r="DY126" s="228">
        <v>0.13</v>
      </c>
      <c r="DZ126" s="229">
        <v>0.27660000000000001</v>
      </c>
      <c r="EA126" s="229">
        <v>0.14530000000000001</v>
      </c>
      <c r="EB126" s="230">
        <v>2846200</v>
      </c>
      <c r="EC126" s="229">
        <v>6.0000000000000001E-3</v>
      </c>
      <c r="ED126" s="229">
        <v>0.14530000000000001</v>
      </c>
      <c r="EE126" s="228">
        <v>20.76</v>
      </c>
      <c r="EF126" s="229">
        <v>6.4999999999999997E-3</v>
      </c>
      <c r="EG126" s="230">
        <v>1387708</v>
      </c>
      <c r="EH126" s="230">
        <v>2185983</v>
      </c>
      <c r="EI126" s="229">
        <v>-0.36520000000000002</v>
      </c>
      <c r="EJ126" s="229">
        <v>0.4032</v>
      </c>
      <c r="EK126" s="231">
        <v>1654.78</v>
      </c>
      <c r="EL126" s="228">
        <v>912.99</v>
      </c>
      <c r="EM126" s="228">
        <v>599.14</v>
      </c>
      <c r="EN126" s="228">
        <v>119.41</v>
      </c>
      <c r="EO126" s="231">
        <v>3166.91</v>
      </c>
      <c r="EP126" s="231">
        <v>6054.49</v>
      </c>
      <c r="EQ126" s="231">
        <v>-2887.58</v>
      </c>
      <c r="ER126" s="229">
        <v>-0.47689999999999999</v>
      </c>
      <c r="ES126" s="231">
        <v>1293.42</v>
      </c>
      <c r="ET126" s="228">
        <v>970.02</v>
      </c>
      <c r="EU126" s="231">
        <v>6361.79</v>
      </c>
      <c r="EV126" s="231">
        <v>120808308</v>
      </c>
      <c r="EW126" s="231">
        <v>8625.23</v>
      </c>
      <c r="EX126" s="231">
        <v>8618.9699999999993</v>
      </c>
      <c r="EY126" s="228">
        <v>6.26</v>
      </c>
      <c r="EZ126" s="229">
        <v>6.9999999999999999E-4</v>
      </c>
      <c r="FA126" s="229">
        <v>0.22470000000000001</v>
      </c>
      <c r="FB126" s="227" t="s">
        <v>567</v>
      </c>
      <c r="FC126">
        <f t="shared" si="1"/>
        <v>924</v>
      </c>
    </row>
    <row r="127" spans="1:159" ht="17.25" thickBot="1" x14ac:dyDescent="0.3">
      <c r="A127" s="226">
        <v>46121</v>
      </c>
      <c r="B127" s="227" t="s">
        <v>175</v>
      </c>
      <c r="C127" s="227" t="s">
        <v>253</v>
      </c>
      <c r="D127" s="228">
        <v>3000</v>
      </c>
      <c r="E127" s="228">
        <v>19</v>
      </c>
      <c r="F127" s="228">
        <v>264.45</v>
      </c>
      <c r="G127" s="228">
        <v>271</v>
      </c>
      <c r="H127" s="228">
        <v>-6.55</v>
      </c>
      <c r="I127" s="229">
        <v>-2.4199999999999999E-2</v>
      </c>
      <c r="J127" s="228">
        <v>262.95</v>
      </c>
      <c r="K127" s="228">
        <v>269.55</v>
      </c>
      <c r="L127" s="228">
        <v>-6.6</v>
      </c>
      <c r="M127" s="229">
        <v>-2.4500000000000001E-2</v>
      </c>
      <c r="N127" s="228">
        <v>264.45</v>
      </c>
      <c r="O127" s="228">
        <v>271</v>
      </c>
      <c r="P127" s="228">
        <v>-6.55</v>
      </c>
      <c r="Q127" s="229">
        <v>-2.4199999999999999E-2</v>
      </c>
      <c r="R127" s="228">
        <v>265.8</v>
      </c>
      <c r="S127" s="228">
        <v>272.35000000000002</v>
      </c>
      <c r="T127" s="228">
        <v>-6.55</v>
      </c>
      <c r="U127" s="229">
        <v>-2.4E-2</v>
      </c>
      <c r="V127" s="228">
        <v>267.3</v>
      </c>
      <c r="W127" s="228">
        <v>273.95</v>
      </c>
      <c r="X127" s="228">
        <v>-6.65</v>
      </c>
      <c r="Y127" s="229">
        <v>-2.4299999999999999E-2</v>
      </c>
      <c r="Z127" s="228">
        <v>1.5</v>
      </c>
      <c r="AA127" s="228">
        <v>1.45</v>
      </c>
      <c r="AB127" s="228">
        <v>0.05</v>
      </c>
      <c r="AC127" s="229">
        <v>5.7000000000000002E-3</v>
      </c>
      <c r="AD127" s="228">
        <v>1.5</v>
      </c>
      <c r="AE127" s="228">
        <v>1.45</v>
      </c>
      <c r="AF127" s="228">
        <v>0.05</v>
      </c>
      <c r="AG127" s="229">
        <v>5.7000000000000002E-3</v>
      </c>
      <c r="AH127" s="228">
        <v>2.85</v>
      </c>
      <c r="AI127" s="228">
        <v>2.8</v>
      </c>
      <c r="AJ127" s="228">
        <v>0.05</v>
      </c>
      <c r="AK127" s="229">
        <v>1.0800000000000001E-2</v>
      </c>
      <c r="AL127" s="228">
        <v>4.3499999999999996</v>
      </c>
      <c r="AM127" s="228">
        <v>4.4000000000000004</v>
      </c>
      <c r="AN127" s="228">
        <v>-0.05</v>
      </c>
      <c r="AO127" s="229">
        <v>1.6500000000000001E-2</v>
      </c>
      <c r="AP127" s="228">
        <v>266.08</v>
      </c>
      <c r="AQ127" s="228">
        <v>267.43</v>
      </c>
      <c r="AR127" s="228">
        <v>0</v>
      </c>
      <c r="AS127" s="228">
        <v>144</v>
      </c>
      <c r="AT127" s="228">
        <v>388</v>
      </c>
      <c r="AU127" s="228">
        <v>-244</v>
      </c>
      <c r="AV127" s="229">
        <v>-0.62890000000000001</v>
      </c>
      <c r="AW127" s="228">
        <v>135</v>
      </c>
      <c r="AX127" s="228">
        <v>377</v>
      </c>
      <c r="AY127" s="228">
        <v>-243</v>
      </c>
      <c r="AZ127" s="229">
        <v>-0.64290000000000003</v>
      </c>
      <c r="BA127" s="228">
        <v>6</v>
      </c>
      <c r="BB127" s="228">
        <v>10</v>
      </c>
      <c r="BC127" s="228">
        <v>-4</v>
      </c>
      <c r="BD127" s="229">
        <v>-0.379</v>
      </c>
      <c r="BE127" s="228">
        <v>3</v>
      </c>
      <c r="BF127" s="228">
        <v>1</v>
      </c>
      <c r="BG127" s="228">
        <v>2</v>
      </c>
      <c r="BH127" s="229">
        <v>3.3332999999999999</v>
      </c>
      <c r="BI127" s="228">
        <v>218</v>
      </c>
      <c r="BJ127" s="228">
        <v>797</v>
      </c>
      <c r="BK127" s="228">
        <v>-579</v>
      </c>
      <c r="BL127" s="229">
        <v>-0.72609999999999997</v>
      </c>
      <c r="BM127" s="228">
        <v>61</v>
      </c>
      <c r="BN127" s="228">
        <v>247</v>
      </c>
      <c r="BO127" s="228">
        <v>-186</v>
      </c>
      <c r="BP127" s="229">
        <v>-0.75149999999999995</v>
      </c>
      <c r="BQ127" s="228">
        <v>424</v>
      </c>
      <c r="BR127" s="230">
        <v>1433</v>
      </c>
      <c r="BS127" s="230">
        <v>-1009</v>
      </c>
      <c r="BT127" s="229">
        <v>-0.70420000000000005</v>
      </c>
      <c r="BU127" s="230">
        <v>4248985</v>
      </c>
      <c r="BV127" s="230">
        <v>6349194</v>
      </c>
      <c r="BW127" s="230">
        <v>-2100209</v>
      </c>
      <c r="BX127" s="229">
        <v>-0.33079999999999998</v>
      </c>
      <c r="BY127" s="230">
        <v>1370</v>
      </c>
      <c r="BZ127" s="230">
        <v>1354</v>
      </c>
      <c r="CA127" s="228">
        <v>16</v>
      </c>
      <c r="CB127" s="229">
        <v>1.2E-2</v>
      </c>
      <c r="CC127" s="230">
        <v>1350</v>
      </c>
      <c r="CD127" s="230">
        <v>1338</v>
      </c>
      <c r="CE127" s="228">
        <v>12</v>
      </c>
      <c r="CF127" s="229">
        <v>8.8000000000000005E-3</v>
      </c>
      <c r="CG127" s="228">
        <v>17</v>
      </c>
      <c r="CH127" s="228">
        <v>14</v>
      </c>
      <c r="CI127" s="228">
        <v>3</v>
      </c>
      <c r="CJ127" s="229">
        <v>0.18440000000000001</v>
      </c>
      <c r="CK127" s="228">
        <v>3</v>
      </c>
      <c r="CL127" s="228">
        <v>1</v>
      </c>
      <c r="CM127" s="228">
        <v>2</v>
      </c>
      <c r="CN127" s="229">
        <v>1.3529</v>
      </c>
      <c r="CO127" s="228">
        <v>354</v>
      </c>
      <c r="CP127" s="228">
        <v>344</v>
      </c>
      <c r="CQ127" s="228">
        <v>11</v>
      </c>
      <c r="CR127" s="229">
        <v>3.1399999999999997E-2</v>
      </c>
      <c r="CS127" s="228">
        <v>238</v>
      </c>
      <c r="CT127" s="228">
        <v>232</v>
      </c>
      <c r="CU127" s="228">
        <v>7</v>
      </c>
      <c r="CV127" s="229">
        <v>2.8400000000000002E-2</v>
      </c>
      <c r="CW127" s="230">
        <v>1963</v>
      </c>
      <c r="CX127" s="230">
        <v>1929</v>
      </c>
      <c r="CY127" s="228">
        <v>34</v>
      </c>
      <c r="CZ127" s="229">
        <v>1.7399999999999999E-2</v>
      </c>
      <c r="DA127" s="228">
        <v>36.42</v>
      </c>
      <c r="DB127" s="228">
        <v>35.53</v>
      </c>
      <c r="DC127" s="228">
        <v>0.89</v>
      </c>
      <c r="DD127" s="228">
        <v>0.89</v>
      </c>
      <c r="DE127" s="228">
        <v>43.05</v>
      </c>
      <c r="DF127" s="228">
        <v>43.02</v>
      </c>
      <c r="DG127" s="228">
        <v>-6.63</v>
      </c>
      <c r="DH127" s="228">
        <v>0.03</v>
      </c>
      <c r="DI127" s="228">
        <v>36.08</v>
      </c>
      <c r="DJ127" s="228">
        <v>34.65</v>
      </c>
      <c r="DK127" s="228">
        <v>1.43</v>
      </c>
      <c r="DL127" s="228">
        <v>1.43</v>
      </c>
      <c r="DM127" s="228">
        <v>37.6</v>
      </c>
      <c r="DN127" s="228">
        <v>38.36</v>
      </c>
      <c r="DO127" s="228">
        <v>-0.76</v>
      </c>
      <c r="DP127" s="228">
        <v>-0.76</v>
      </c>
      <c r="DQ127" s="228">
        <v>0.67</v>
      </c>
      <c r="DR127" s="228">
        <v>0.67</v>
      </c>
      <c r="DS127" s="228">
        <v>0</v>
      </c>
      <c r="DT127" s="229">
        <v>0</v>
      </c>
      <c r="DU127" s="228">
        <v>260</v>
      </c>
      <c r="DV127" s="228">
        <v>250</v>
      </c>
      <c r="DW127" s="228">
        <v>0.28000000000000003</v>
      </c>
      <c r="DX127" s="228">
        <v>0.31</v>
      </c>
      <c r="DY127" s="228">
        <v>-0.03</v>
      </c>
      <c r="DZ127" s="229">
        <v>-9.6799999999999997E-2</v>
      </c>
      <c r="EA127" s="229">
        <v>1.46E-2</v>
      </c>
      <c r="EB127" s="230">
        <v>588000</v>
      </c>
      <c r="EC127" s="229">
        <v>5.1000000000000004E-3</v>
      </c>
      <c r="ED127" s="229">
        <v>1.46E-2</v>
      </c>
      <c r="EE127" s="228">
        <v>1.35</v>
      </c>
      <c r="EF127" s="229">
        <v>5.1000000000000004E-3</v>
      </c>
      <c r="EG127" s="230">
        <v>2119476</v>
      </c>
      <c r="EH127" s="230">
        <v>3028492</v>
      </c>
      <c r="EI127" s="229">
        <v>-0.30020000000000002</v>
      </c>
      <c r="EJ127" s="229">
        <v>0.49880000000000002</v>
      </c>
      <c r="EK127" s="228">
        <v>232.72</v>
      </c>
      <c r="EL127" s="228">
        <v>60.41</v>
      </c>
      <c r="EM127" s="228">
        <v>144.96</v>
      </c>
      <c r="EN127" s="228">
        <v>30.59</v>
      </c>
      <c r="EO127" s="228">
        <v>438.1</v>
      </c>
      <c r="EP127" s="231">
        <v>1489.32</v>
      </c>
      <c r="EQ127" s="231">
        <v>-1051.22</v>
      </c>
      <c r="ER127" s="229">
        <v>-0.70579999999999998</v>
      </c>
      <c r="ES127" s="228">
        <v>368.27</v>
      </c>
      <c r="ET127" s="228">
        <v>225.18</v>
      </c>
      <c r="EU127" s="231">
        <v>1370.08</v>
      </c>
      <c r="EV127" s="231">
        <v>82205057</v>
      </c>
      <c r="EW127" s="231">
        <v>1963.53</v>
      </c>
      <c r="EX127" s="231">
        <v>1963.3</v>
      </c>
      <c r="EY127" s="228">
        <v>0.23</v>
      </c>
      <c r="EZ127" s="229">
        <v>1E-4</v>
      </c>
      <c r="FA127" s="229">
        <v>0.90290000000000004</v>
      </c>
      <c r="FB127" s="227" t="s">
        <v>566</v>
      </c>
      <c r="FC127">
        <f t="shared" si="1"/>
        <v>20</v>
      </c>
    </row>
    <row r="128" spans="1:159" ht="17.25" thickBot="1" x14ac:dyDescent="0.3">
      <c r="A128" s="226">
        <v>46121</v>
      </c>
      <c r="B128" s="227" t="s">
        <v>170</v>
      </c>
      <c r="C128" s="227" t="s">
        <v>670</v>
      </c>
      <c r="D128" s="228">
        <v>225</v>
      </c>
      <c r="E128" s="228">
        <v>19</v>
      </c>
      <c r="F128" s="231">
        <v>2062.6999999999998</v>
      </c>
      <c r="G128" s="231">
        <v>2047.7</v>
      </c>
      <c r="H128" s="228">
        <v>15</v>
      </c>
      <c r="I128" s="229">
        <v>7.3000000000000001E-3</v>
      </c>
      <c r="J128" s="231">
        <v>2054.1999999999998</v>
      </c>
      <c r="K128" s="231">
        <v>2041.9</v>
      </c>
      <c r="L128" s="228">
        <v>12.3</v>
      </c>
      <c r="M128" s="229">
        <v>6.0000000000000001E-3</v>
      </c>
      <c r="N128" s="231">
        <v>2062.6999999999998</v>
      </c>
      <c r="O128" s="231">
        <v>2047.7</v>
      </c>
      <c r="P128" s="228">
        <v>15</v>
      </c>
      <c r="Q128" s="229">
        <v>7.3000000000000001E-3</v>
      </c>
      <c r="R128" s="231">
        <v>2065.8000000000002</v>
      </c>
      <c r="S128" s="231">
        <v>2054.6</v>
      </c>
      <c r="T128" s="228">
        <v>11.2</v>
      </c>
      <c r="U128" s="229">
        <v>5.4999999999999997E-3</v>
      </c>
      <c r="V128" s="231">
        <v>2048</v>
      </c>
      <c r="W128" s="231">
        <v>2058</v>
      </c>
      <c r="X128" s="228">
        <v>-10</v>
      </c>
      <c r="Y128" s="229">
        <v>-4.8999999999999998E-3</v>
      </c>
      <c r="Z128" s="228">
        <v>8.5</v>
      </c>
      <c r="AA128" s="228">
        <v>5.8</v>
      </c>
      <c r="AB128" s="228">
        <v>2.7</v>
      </c>
      <c r="AC128" s="229">
        <v>4.1000000000000003E-3</v>
      </c>
      <c r="AD128" s="228">
        <v>8.5</v>
      </c>
      <c r="AE128" s="228">
        <v>5.8</v>
      </c>
      <c r="AF128" s="228">
        <v>2.7</v>
      </c>
      <c r="AG128" s="229">
        <v>4.1000000000000003E-3</v>
      </c>
      <c r="AH128" s="228">
        <v>11.6</v>
      </c>
      <c r="AI128" s="228">
        <v>12.7</v>
      </c>
      <c r="AJ128" s="228">
        <v>-1.1000000000000001</v>
      </c>
      <c r="AK128" s="229">
        <v>5.5999999999999999E-3</v>
      </c>
      <c r="AL128" s="228">
        <v>-6.2</v>
      </c>
      <c r="AM128" s="228">
        <v>16.100000000000001</v>
      </c>
      <c r="AN128" s="228">
        <v>-22.3</v>
      </c>
      <c r="AO128" s="229">
        <v>-3.0000000000000001E-3</v>
      </c>
      <c r="AP128" s="231">
        <v>2061.14</v>
      </c>
      <c r="AQ128" s="231">
        <v>2062.14</v>
      </c>
      <c r="AR128" s="228">
        <v>0</v>
      </c>
      <c r="AS128" s="228">
        <v>49</v>
      </c>
      <c r="AT128" s="228">
        <v>72</v>
      </c>
      <c r="AU128" s="228">
        <v>-23</v>
      </c>
      <c r="AV128" s="229">
        <v>-0.31879999999999997</v>
      </c>
      <c r="AW128" s="228">
        <v>46</v>
      </c>
      <c r="AX128" s="228">
        <v>66</v>
      </c>
      <c r="AY128" s="228">
        <v>-19</v>
      </c>
      <c r="AZ128" s="229">
        <v>-0.29449999999999998</v>
      </c>
      <c r="BA128" s="228">
        <v>3</v>
      </c>
      <c r="BB128" s="228">
        <v>6</v>
      </c>
      <c r="BC128" s="228">
        <v>-3</v>
      </c>
      <c r="BD128" s="229">
        <v>-0.52890000000000004</v>
      </c>
      <c r="BE128" s="228">
        <v>0</v>
      </c>
      <c r="BF128" s="228">
        <v>1</v>
      </c>
      <c r="BG128" s="228">
        <v>-1</v>
      </c>
      <c r="BH128" s="229">
        <v>-0.78949999999999998</v>
      </c>
      <c r="BI128" s="228">
        <v>111</v>
      </c>
      <c r="BJ128" s="228">
        <v>215</v>
      </c>
      <c r="BK128" s="228">
        <v>-105</v>
      </c>
      <c r="BL128" s="229">
        <v>-0.48630000000000001</v>
      </c>
      <c r="BM128" s="228">
        <v>34</v>
      </c>
      <c r="BN128" s="228">
        <v>93</v>
      </c>
      <c r="BO128" s="228">
        <v>-58</v>
      </c>
      <c r="BP128" s="229">
        <v>-0.62739999999999996</v>
      </c>
      <c r="BQ128" s="228">
        <v>194</v>
      </c>
      <c r="BR128" s="228">
        <v>380</v>
      </c>
      <c r="BS128" s="228">
        <v>-186</v>
      </c>
      <c r="BT128" s="229">
        <v>-0.48880000000000001</v>
      </c>
      <c r="BU128" s="230">
        <v>243463</v>
      </c>
      <c r="BV128" s="230">
        <v>658220</v>
      </c>
      <c r="BW128" s="230">
        <v>-414757</v>
      </c>
      <c r="BX128" s="229">
        <v>-0.63009999999999999</v>
      </c>
      <c r="BY128" s="228">
        <v>579</v>
      </c>
      <c r="BZ128" s="228">
        <v>569</v>
      </c>
      <c r="CA128" s="228">
        <v>10</v>
      </c>
      <c r="CB128" s="229">
        <v>1.7999999999999999E-2</v>
      </c>
      <c r="CC128" s="228">
        <v>549</v>
      </c>
      <c r="CD128" s="228">
        <v>539</v>
      </c>
      <c r="CE128" s="228">
        <v>10</v>
      </c>
      <c r="CF128" s="229">
        <v>1.89E-2</v>
      </c>
      <c r="CG128" s="228">
        <v>29</v>
      </c>
      <c r="CH128" s="228">
        <v>29</v>
      </c>
      <c r="CI128" s="228">
        <v>0</v>
      </c>
      <c r="CJ128" s="229">
        <v>-3.2000000000000002E-3</v>
      </c>
      <c r="CK128" s="228">
        <v>1</v>
      </c>
      <c r="CL128" s="228">
        <v>1</v>
      </c>
      <c r="CM128" s="228">
        <v>0</v>
      </c>
      <c r="CN128" s="229">
        <v>0.16</v>
      </c>
      <c r="CO128" s="228">
        <v>91</v>
      </c>
      <c r="CP128" s="228">
        <v>96</v>
      </c>
      <c r="CQ128" s="228">
        <v>-4</v>
      </c>
      <c r="CR128" s="229">
        <v>-4.3200000000000002E-2</v>
      </c>
      <c r="CS128" s="228">
        <v>51</v>
      </c>
      <c r="CT128" s="228">
        <v>51</v>
      </c>
      <c r="CU128" s="228">
        <v>0</v>
      </c>
      <c r="CV128" s="229">
        <v>-7.1999999999999998E-3</v>
      </c>
      <c r="CW128" s="228">
        <v>721</v>
      </c>
      <c r="CX128" s="228">
        <v>716</v>
      </c>
      <c r="CY128" s="228">
        <v>6</v>
      </c>
      <c r="CZ128" s="229">
        <v>8.0000000000000002E-3</v>
      </c>
      <c r="DA128" s="228">
        <v>37.15</v>
      </c>
      <c r="DB128" s="228">
        <v>39.729999999999997</v>
      </c>
      <c r="DC128" s="228">
        <v>-2.58</v>
      </c>
      <c r="DD128" s="228">
        <v>-2.58</v>
      </c>
      <c r="DE128" s="228">
        <v>34.01</v>
      </c>
      <c r="DF128" s="228">
        <v>34.08</v>
      </c>
      <c r="DG128" s="228">
        <v>3.14</v>
      </c>
      <c r="DH128" s="228">
        <v>-7.0000000000000007E-2</v>
      </c>
      <c r="DI128" s="228">
        <v>34.33</v>
      </c>
      <c r="DJ128" s="228">
        <v>36.92</v>
      </c>
      <c r="DK128" s="228">
        <v>-2.59</v>
      </c>
      <c r="DL128" s="228">
        <v>-2.59</v>
      </c>
      <c r="DM128" s="228">
        <v>46.22</v>
      </c>
      <c r="DN128" s="228">
        <v>46.28</v>
      </c>
      <c r="DO128" s="228">
        <v>-0.06</v>
      </c>
      <c r="DP128" s="228">
        <v>-0.06</v>
      </c>
      <c r="DQ128" s="228">
        <v>0.56000000000000005</v>
      </c>
      <c r="DR128" s="228">
        <v>0.54</v>
      </c>
      <c r="DS128" s="228">
        <v>0.02</v>
      </c>
      <c r="DT128" s="229">
        <v>3.6999999999999998E-2</v>
      </c>
      <c r="DU128" s="231">
        <v>2000</v>
      </c>
      <c r="DV128" s="231">
        <v>2000</v>
      </c>
      <c r="DW128" s="228">
        <v>0.31</v>
      </c>
      <c r="DX128" s="228">
        <v>0.43</v>
      </c>
      <c r="DY128" s="228">
        <v>-0.12</v>
      </c>
      <c r="DZ128" s="229">
        <v>-0.27910000000000001</v>
      </c>
      <c r="EA128" s="229">
        <v>5.21E-2</v>
      </c>
      <c r="EB128" s="230">
        <v>145800</v>
      </c>
      <c r="EC128" s="229">
        <v>1.5E-3</v>
      </c>
      <c r="ED128" s="229">
        <v>5.21E-2</v>
      </c>
      <c r="EE128" s="228">
        <v>1</v>
      </c>
      <c r="EF128" s="229">
        <v>5.0000000000000001E-4</v>
      </c>
      <c r="EG128" s="230">
        <v>95021</v>
      </c>
      <c r="EH128" s="230">
        <v>452201</v>
      </c>
      <c r="EI128" s="229">
        <v>-0.78990000000000005</v>
      </c>
      <c r="EJ128" s="229">
        <v>0.39029999999999998</v>
      </c>
      <c r="EK128" s="228">
        <v>121.04</v>
      </c>
      <c r="EL128" s="228">
        <v>30.15</v>
      </c>
      <c r="EM128" s="228">
        <v>49.16</v>
      </c>
      <c r="EN128" s="228">
        <v>14.27</v>
      </c>
      <c r="EO128" s="228">
        <v>200.35</v>
      </c>
      <c r="EP128" s="228">
        <v>395.6</v>
      </c>
      <c r="EQ128" s="228">
        <v>-195.25</v>
      </c>
      <c r="ER128" s="229">
        <v>-0.49359999999999998</v>
      </c>
      <c r="ES128" s="228">
        <v>96.11</v>
      </c>
      <c r="ET128" s="228">
        <v>48.46</v>
      </c>
      <c r="EU128" s="228">
        <v>579.1</v>
      </c>
      <c r="EV128" s="231">
        <v>16926669</v>
      </c>
      <c r="EW128" s="228">
        <v>723.67</v>
      </c>
      <c r="EX128" s="228">
        <v>713.97</v>
      </c>
      <c r="EY128" s="228">
        <v>9.6999999999999993</v>
      </c>
      <c r="EZ128" s="229">
        <v>1.3599999999999999E-2</v>
      </c>
      <c r="FA128" s="229">
        <v>0.20660000000000001</v>
      </c>
      <c r="FB128" s="227" t="s">
        <v>555</v>
      </c>
      <c r="FC128">
        <f t="shared" si="1"/>
        <v>30</v>
      </c>
    </row>
    <row r="129" spans="1:159" ht="17.25" thickBot="1" x14ac:dyDescent="0.3">
      <c r="A129" s="226">
        <v>46121</v>
      </c>
      <c r="B129" s="227" t="s">
        <v>168</v>
      </c>
      <c r="C129" s="227" t="s">
        <v>254</v>
      </c>
      <c r="D129" s="228">
        <v>1200</v>
      </c>
      <c r="E129" s="228">
        <v>19</v>
      </c>
      <c r="F129" s="228">
        <v>751.15</v>
      </c>
      <c r="G129" s="228">
        <v>751.15</v>
      </c>
      <c r="H129" s="228">
        <v>0</v>
      </c>
      <c r="I129" s="229">
        <v>0</v>
      </c>
      <c r="J129" s="228">
        <v>747.35</v>
      </c>
      <c r="K129" s="228">
        <v>747.45</v>
      </c>
      <c r="L129" s="228">
        <v>-0.1</v>
      </c>
      <c r="M129" s="229">
        <v>-1E-4</v>
      </c>
      <c r="N129" s="228">
        <v>751.15</v>
      </c>
      <c r="O129" s="228">
        <v>751.15</v>
      </c>
      <c r="P129" s="228">
        <v>0</v>
      </c>
      <c r="Q129" s="229">
        <v>0</v>
      </c>
      <c r="R129" s="228">
        <v>754.4</v>
      </c>
      <c r="S129" s="228">
        <v>755.2</v>
      </c>
      <c r="T129" s="228">
        <v>-0.8</v>
      </c>
      <c r="U129" s="229">
        <v>-1.1000000000000001E-3</v>
      </c>
      <c r="V129" s="228">
        <v>755</v>
      </c>
      <c r="W129" s="228">
        <v>760</v>
      </c>
      <c r="X129" s="228">
        <v>-5</v>
      </c>
      <c r="Y129" s="229">
        <v>-6.6E-3</v>
      </c>
      <c r="Z129" s="228">
        <v>3.8</v>
      </c>
      <c r="AA129" s="228">
        <v>3.7</v>
      </c>
      <c r="AB129" s="228">
        <v>0.1</v>
      </c>
      <c r="AC129" s="229">
        <v>5.1000000000000004E-3</v>
      </c>
      <c r="AD129" s="228">
        <v>3.8</v>
      </c>
      <c r="AE129" s="228">
        <v>3.7</v>
      </c>
      <c r="AF129" s="228">
        <v>0.1</v>
      </c>
      <c r="AG129" s="229">
        <v>5.1000000000000004E-3</v>
      </c>
      <c r="AH129" s="228">
        <v>7.05</v>
      </c>
      <c r="AI129" s="228">
        <v>7.75</v>
      </c>
      <c r="AJ129" s="228">
        <v>-0.7</v>
      </c>
      <c r="AK129" s="229">
        <v>9.4000000000000004E-3</v>
      </c>
      <c r="AL129" s="228">
        <v>7.65</v>
      </c>
      <c r="AM129" s="228">
        <v>12.55</v>
      </c>
      <c r="AN129" s="228">
        <v>-4.9000000000000004</v>
      </c>
      <c r="AO129" s="229">
        <v>1.0200000000000001E-2</v>
      </c>
      <c r="AP129" s="228">
        <v>751.21</v>
      </c>
      <c r="AQ129" s="228">
        <v>754.72</v>
      </c>
      <c r="AR129" s="228">
        <v>0</v>
      </c>
      <c r="AS129" s="228">
        <v>124</v>
      </c>
      <c r="AT129" s="228">
        <v>413</v>
      </c>
      <c r="AU129" s="228">
        <v>-289</v>
      </c>
      <c r="AV129" s="229">
        <v>-0.69989999999999997</v>
      </c>
      <c r="AW129" s="228">
        <v>120</v>
      </c>
      <c r="AX129" s="228">
        <v>402</v>
      </c>
      <c r="AY129" s="228">
        <v>-282</v>
      </c>
      <c r="AZ129" s="229">
        <v>-0.70209999999999995</v>
      </c>
      <c r="BA129" s="228">
        <v>4</v>
      </c>
      <c r="BB129" s="228">
        <v>11</v>
      </c>
      <c r="BC129" s="228">
        <v>-7</v>
      </c>
      <c r="BD129" s="229">
        <v>-0.62709999999999999</v>
      </c>
      <c r="BE129" s="228">
        <v>0</v>
      </c>
      <c r="BF129" s="228">
        <v>0</v>
      </c>
      <c r="BG129" s="228">
        <v>0</v>
      </c>
      <c r="BH129" s="229">
        <v>0</v>
      </c>
      <c r="BI129" s="228">
        <v>282</v>
      </c>
      <c r="BJ129" s="228">
        <v>792</v>
      </c>
      <c r="BK129" s="228">
        <v>-511</v>
      </c>
      <c r="BL129" s="229">
        <v>-0.64470000000000005</v>
      </c>
      <c r="BM129" s="228">
        <v>94</v>
      </c>
      <c r="BN129" s="228">
        <v>444</v>
      </c>
      <c r="BO129" s="228">
        <v>-350</v>
      </c>
      <c r="BP129" s="229">
        <v>-0.78900000000000003</v>
      </c>
      <c r="BQ129" s="228">
        <v>499</v>
      </c>
      <c r="BR129" s="230">
        <v>1649</v>
      </c>
      <c r="BS129" s="230">
        <v>-1150</v>
      </c>
      <c r="BT129" s="229">
        <v>-0.69740000000000002</v>
      </c>
      <c r="BU129" s="230">
        <v>1854966</v>
      </c>
      <c r="BV129" s="230">
        <v>3258669</v>
      </c>
      <c r="BW129" s="230">
        <v>-1403703</v>
      </c>
      <c r="BX129" s="229">
        <v>-0.43080000000000002</v>
      </c>
      <c r="BY129" s="230">
        <v>1986</v>
      </c>
      <c r="BZ129" s="230">
        <v>1968</v>
      </c>
      <c r="CA129" s="228">
        <v>18</v>
      </c>
      <c r="CB129" s="229">
        <v>9.1000000000000004E-3</v>
      </c>
      <c r="CC129" s="230">
        <v>1976</v>
      </c>
      <c r="CD129" s="230">
        <v>1959</v>
      </c>
      <c r="CE129" s="228">
        <v>17</v>
      </c>
      <c r="CF129" s="229">
        <v>8.6E-3</v>
      </c>
      <c r="CG129" s="228">
        <v>10</v>
      </c>
      <c r="CH129" s="228">
        <v>9</v>
      </c>
      <c r="CI129" s="228">
        <v>1</v>
      </c>
      <c r="CJ129" s="229">
        <v>0.1368</v>
      </c>
      <c r="CK129" s="228">
        <v>0</v>
      </c>
      <c r="CL129" s="228">
        <v>0</v>
      </c>
      <c r="CM129" s="228">
        <v>0</v>
      </c>
      <c r="CN129" s="229">
        <v>-1</v>
      </c>
      <c r="CO129" s="228">
        <v>301</v>
      </c>
      <c r="CP129" s="228">
        <v>296</v>
      </c>
      <c r="CQ129" s="228">
        <v>5</v>
      </c>
      <c r="CR129" s="229">
        <v>1.8599999999999998E-2</v>
      </c>
      <c r="CS129" s="228">
        <v>319</v>
      </c>
      <c r="CT129" s="228">
        <v>300</v>
      </c>
      <c r="CU129" s="228">
        <v>19</v>
      </c>
      <c r="CV129" s="229">
        <v>6.4000000000000001E-2</v>
      </c>
      <c r="CW129" s="230">
        <v>2606</v>
      </c>
      <c r="CX129" s="230">
        <v>2564</v>
      </c>
      <c r="CY129" s="228">
        <v>43</v>
      </c>
      <c r="CZ129" s="229">
        <v>1.66E-2</v>
      </c>
      <c r="DA129" s="228">
        <v>24.73</v>
      </c>
      <c r="DB129" s="228">
        <v>25.03</v>
      </c>
      <c r="DC129" s="228">
        <v>-0.3</v>
      </c>
      <c r="DD129" s="228">
        <v>-0.3</v>
      </c>
      <c r="DE129" s="228">
        <v>24.68</v>
      </c>
      <c r="DF129" s="228">
        <v>24.74</v>
      </c>
      <c r="DG129" s="228">
        <v>0.05</v>
      </c>
      <c r="DH129" s="228">
        <v>-0.06</v>
      </c>
      <c r="DI129" s="228">
        <v>24.63</v>
      </c>
      <c r="DJ129" s="228">
        <v>25.3</v>
      </c>
      <c r="DK129" s="228">
        <v>-0.67</v>
      </c>
      <c r="DL129" s="228">
        <v>-0.67</v>
      </c>
      <c r="DM129" s="228">
        <v>25.01</v>
      </c>
      <c r="DN129" s="228">
        <v>24.53</v>
      </c>
      <c r="DO129" s="228">
        <v>0.48</v>
      </c>
      <c r="DP129" s="228">
        <v>0.48</v>
      </c>
      <c r="DQ129" s="228">
        <v>1.06</v>
      </c>
      <c r="DR129" s="228">
        <v>1.01</v>
      </c>
      <c r="DS129" s="228">
        <v>0.05</v>
      </c>
      <c r="DT129" s="229">
        <v>4.9500000000000002E-2</v>
      </c>
      <c r="DU129" s="228">
        <v>800</v>
      </c>
      <c r="DV129" s="228">
        <v>700</v>
      </c>
      <c r="DW129" s="228">
        <v>0.33</v>
      </c>
      <c r="DX129" s="228">
        <v>0.56000000000000005</v>
      </c>
      <c r="DY129" s="228">
        <v>-0.23</v>
      </c>
      <c r="DZ129" s="229">
        <v>-0.41070000000000001</v>
      </c>
      <c r="EA129" s="229">
        <v>4.8999999999999998E-3</v>
      </c>
      <c r="EB129" s="230">
        <v>115200</v>
      </c>
      <c r="EC129" s="229">
        <v>4.3E-3</v>
      </c>
      <c r="ED129" s="229">
        <v>4.8999999999999998E-3</v>
      </c>
      <c r="EE129" s="228">
        <v>3.51</v>
      </c>
      <c r="EF129" s="229">
        <v>4.7000000000000002E-3</v>
      </c>
      <c r="EG129" s="230">
        <v>1099156</v>
      </c>
      <c r="EH129" s="230">
        <v>1633679</v>
      </c>
      <c r="EI129" s="229">
        <v>-0.32719999999999999</v>
      </c>
      <c r="EJ129" s="229">
        <v>0.59250000000000003</v>
      </c>
      <c r="EK129" s="228">
        <v>293.56</v>
      </c>
      <c r="EL129" s="228">
        <v>92.58</v>
      </c>
      <c r="EM129" s="228">
        <v>123.97</v>
      </c>
      <c r="EN129" s="228">
        <v>30.19</v>
      </c>
      <c r="EO129" s="228">
        <v>510.1</v>
      </c>
      <c r="EP129" s="231">
        <v>1692.31</v>
      </c>
      <c r="EQ129" s="231">
        <v>-1182.21</v>
      </c>
      <c r="ER129" s="229">
        <v>-0.6986</v>
      </c>
      <c r="ES129" s="228">
        <v>311.83999999999997</v>
      </c>
      <c r="ET129" s="228">
        <v>306.61</v>
      </c>
      <c r="EU129" s="231">
        <v>1985.87</v>
      </c>
      <c r="EV129" s="231">
        <v>77572761</v>
      </c>
      <c r="EW129" s="231">
        <v>2604.3200000000002</v>
      </c>
      <c r="EX129" s="231">
        <v>2562.06</v>
      </c>
      <c r="EY129" s="228">
        <v>42.26</v>
      </c>
      <c r="EZ129" s="229">
        <v>1.6500000000000001E-2</v>
      </c>
      <c r="FA129" s="229">
        <v>0.44729999999999998</v>
      </c>
      <c r="FB129" s="227" t="s">
        <v>237</v>
      </c>
      <c r="FC129">
        <f t="shared" si="1"/>
        <v>10</v>
      </c>
    </row>
    <row r="130" spans="1:159" ht="17.25" thickBot="1" x14ac:dyDescent="0.3">
      <c r="A130" s="226">
        <v>46121</v>
      </c>
      <c r="B130" s="227" t="s">
        <v>162</v>
      </c>
      <c r="C130" s="227" t="s">
        <v>255</v>
      </c>
      <c r="D130" s="228">
        <v>50</v>
      </c>
      <c r="E130" s="228">
        <v>19</v>
      </c>
      <c r="F130" s="231">
        <v>13609</v>
      </c>
      <c r="G130" s="231">
        <v>13632</v>
      </c>
      <c r="H130" s="228">
        <v>-23</v>
      </c>
      <c r="I130" s="229">
        <v>-1.6999999999999999E-3</v>
      </c>
      <c r="J130" s="231">
        <v>13589</v>
      </c>
      <c r="K130" s="231">
        <v>13602</v>
      </c>
      <c r="L130" s="228">
        <v>-13</v>
      </c>
      <c r="M130" s="229">
        <v>-1E-3</v>
      </c>
      <c r="N130" s="231">
        <v>13609</v>
      </c>
      <c r="O130" s="231">
        <v>13632</v>
      </c>
      <c r="P130" s="228">
        <v>-23</v>
      </c>
      <c r="Q130" s="229">
        <v>-1.6999999999999999E-3</v>
      </c>
      <c r="R130" s="231">
        <v>13687</v>
      </c>
      <c r="S130" s="231">
        <v>13712</v>
      </c>
      <c r="T130" s="228">
        <v>-25</v>
      </c>
      <c r="U130" s="229">
        <v>-1.8E-3</v>
      </c>
      <c r="V130" s="231">
        <v>13773</v>
      </c>
      <c r="W130" s="231">
        <v>13795</v>
      </c>
      <c r="X130" s="228">
        <v>-22</v>
      </c>
      <c r="Y130" s="229">
        <v>-1.6000000000000001E-3</v>
      </c>
      <c r="Z130" s="228">
        <v>20</v>
      </c>
      <c r="AA130" s="228">
        <v>30</v>
      </c>
      <c r="AB130" s="228">
        <v>-10</v>
      </c>
      <c r="AC130" s="229">
        <v>1.5E-3</v>
      </c>
      <c r="AD130" s="228">
        <v>20</v>
      </c>
      <c r="AE130" s="228">
        <v>30</v>
      </c>
      <c r="AF130" s="228">
        <v>-10</v>
      </c>
      <c r="AG130" s="229">
        <v>1.5E-3</v>
      </c>
      <c r="AH130" s="228">
        <v>98</v>
      </c>
      <c r="AI130" s="228">
        <v>110</v>
      </c>
      <c r="AJ130" s="228">
        <v>-12</v>
      </c>
      <c r="AK130" s="229">
        <v>7.1999999999999998E-3</v>
      </c>
      <c r="AL130" s="228">
        <v>184</v>
      </c>
      <c r="AM130" s="228">
        <v>193</v>
      </c>
      <c r="AN130" s="228">
        <v>-9</v>
      </c>
      <c r="AO130" s="229">
        <v>1.35E-2</v>
      </c>
      <c r="AP130" s="231">
        <v>13653.92</v>
      </c>
      <c r="AQ130" s="231">
        <v>13698.64</v>
      </c>
      <c r="AR130" s="228">
        <v>0</v>
      </c>
      <c r="AS130" s="230">
        <v>1045</v>
      </c>
      <c r="AT130" s="230">
        <v>1432</v>
      </c>
      <c r="AU130" s="228">
        <v>-387</v>
      </c>
      <c r="AV130" s="229">
        <v>-0.27050000000000002</v>
      </c>
      <c r="AW130" s="230">
        <v>1007</v>
      </c>
      <c r="AX130" s="230">
        <v>1386</v>
      </c>
      <c r="AY130" s="228">
        <v>-379</v>
      </c>
      <c r="AZ130" s="229">
        <v>-0.27360000000000001</v>
      </c>
      <c r="BA130" s="228">
        <v>36</v>
      </c>
      <c r="BB130" s="228">
        <v>40</v>
      </c>
      <c r="BC130" s="228">
        <v>-4</v>
      </c>
      <c r="BD130" s="229">
        <v>-0.10299999999999999</v>
      </c>
      <c r="BE130" s="228">
        <v>2</v>
      </c>
      <c r="BF130" s="228">
        <v>6</v>
      </c>
      <c r="BG130" s="228">
        <v>-4</v>
      </c>
      <c r="BH130" s="229">
        <v>-0.69410000000000005</v>
      </c>
      <c r="BI130" s="230">
        <v>4637</v>
      </c>
      <c r="BJ130" s="230">
        <v>6021</v>
      </c>
      <c r="BK130" s="230">
        <v>-1383</v>
      </c>
      <c r="BL130" s="229">
        <v>-0.22969999999999999</v>
      </c>
      <c r="BM130" s="230">
        <v>2473</v>
      </c>
      <c r="BN130" s="230">
        <v>3279</v>
      </c>
      <c r="BO130" s="228">
        <v>-806</v>
      </c>
      <c r="BP130" s="229">
        <v>-0.24579999999999999</v>
      </c>
      <c r="BQ130" s="230">
        <v>8156</v>
      </c>
      <c r="BR130" s="230">
        <v>10732</v>
      </c>
      <c r="BS130" s="230">
        <v>-2577</v>
      </c>
      <c r="BT130" s="229">
        <v>-0.24010000000000001</v>
      </c>
      <c r="BU130" s="230">
        <v>601203</v>
      </c>
      <c r="BV130" s="230">
        <v>1069603</v>
      </c>
      <c r="BW130" s="230">
        <v>-468400</v>
      </c>
      <c r="BX130" s="229">
        <v>-0.43790000000000001</v>
      </c>
      <c r="BY130" s="230">
        <v>4558</v>
      </c>
      <c r="BZ130" s="230">
        <v>4627</v>
      </c>
      <c r="CA130" s="228">
        <v>-69</v>
      </c>
      <c r="CB130" s="229">
        <v>-1.4800000000000001E-2</v>
      </c>
      <c r="CC130" s="230">
        <v>4150</v>
      </c>
      <c r="CD130" s="230">
        <v>4226</v>
      </c>
      <c r="CE130" s="228">
        <v>-76</v>
      </c>
      <c r="CF130" s="229">
        <v>-1.7999999999999999E-2</v>
      </c>
      <c r="CG130" s="228">
        <v>359</v>
      </c>
      <c r="CH130" s="228">
        <v>352</v>
      </c>
      <c r="CI130" s="228">
        <v>8</v>
      </c>
      <c r="CJ130" s="229">
        <v>2.2100000000000002E-2</v>
      </c>
      <c r="CK130" s="228">
        <v>49</v>
      </c>
      <c r="CL130" s="228">
        <v>49</v>
      </c>
      <c r="CM130" s="228">
        <v>0</v>
      </c>
      <c r="CN130" s="229">
        <v>-1.4E-3</v>
      </c>
      <c r="CO130" s="230">
        <v>2014</v>
      </c>
      <c r="CP130" s="230">
        <v>1767</v>
      </c>
      <c r="CQ130" s="228">
        <v>246</v>
      </c>
      <c r="CR130" s="229">
        <v>0.1394</v>
      </c>
      <c r="CS130" s="230">
        <v>1274</v>
      </c>
      <c r="CT130" s="230">
        <v>1219</v>
      </c>
      <c r="CU130" s="228">
        <v>55</v>
      </c>
      <c r="CV130" s="229">
        <v>4.4900000000000002E-2</v>
      </c>
      <c r="CW130" s="230">
        <v>7845</v>
      </c>
      <c r="CX130" s="230">
        <v>7613</v>
      </c>
      <c r="CY130" s="228">
        <v>233</v>
      </c>
      <c r="CZ130" s="229">
        <v>3.0599999999999999E-2</v>
      </c>
      <c r="DA130" s="228">
        <v>30.9</v>
      </c>
      <c r="DB130" s="228">
        <v>28.89</v>
      </c>
      <c r="DC130" s="228">
        <v>2.0099999999999998</v>
      </c>
      <c r="DD130" s="228">
        <v>2.0099999999999998</v>
      </c>
      <c r="DE130" s="228">
        <v>28.5</v>
      </c>
      <c r="DF130" s="228">
        <v>28.57</v>
      </c>
      <c r="DG130" s="228">
        <v>2.4</v>
      </c>
      <c r="DH130" s="228">
        <v>-7.0000000000000007E-2</v>
      </c>
      <c r="DI130" s="228">
        <v>29.76</v>
      </c>
      <c r="DJ130" s="228">
        <v>27.67</v>
      </c>
      <c r="DK130" s="228">
        <v>2.09</v>
      </c>
      <c r="DL130" s="228">
        <v>2.09</v>
      </c>
      <c r="DM130" s="228">
        <v>33.020000000000003</v>
      </c>
      <c r="DN130" s="228">
        <v>31.14</v>
      </c>
      <c r="DO130" s="228">
        <v>1.88</v>
      </c>
      <c r="DP130" s="228">
        <v>1.88</v>
      </c>
      <c r="DQ130" s="228">
        <v>0.63</v>
      </c>
      <c r="DR130" s="228">
        <v>0.69</v>
      </c>
      <c r="DS130" s="228">
        <v>-0.06</v>
      </c>
      <c r="DT130" s="229">
        <v>-8.6999999999999994E-2</v>
      </c>
      <c r="DU130" s="231">
        <v>15000</v>
      </c>
      <c r="DV130" s="231">
        <v>13000</v>
      </c>
      <c r="DW130" s="228">
        <v>0.53</v>
      </c>
      <c r="DX130" s="228">
        <v>0.54</v>
      </c>
      <c r="DY130" s="228">
        <v>-0.01</v>
      </c>
      <c r="DZ130" s="229">
        <v>-1.8499999999999999E-2</v>
      </c>
      <c r="EA130" s="229">
        <v>8.9499999999999996E-2</v>
      </c>
      <c r="EB130" s="230">
        <v>294150</v>
      </c>
      <c r="EC130" s="229">
        <v>5.7000000000000002E-3</v>
      </c>
      <c r="ED130" s="229">
        <v>8.9499999999999996E-2</v>
      </c>
      <c r="EE130" s="228">
        <v>44.72</v>
      </c>
      <c r="EF130" s="229">
        <v>3.3E-3</v>
      </c>
      <c r="EG130" s="230">
        <v>238896</v>
      </c>
      <c r="EH130" s="230">
        <v>668233</v>
      </c>
      <c r="EI130" s="229">
        <v>-0.64249999999999996</v>
      </c>
      <c r="EJ130" s="229">
        <v>0.39739999999999998</v>
      </c>
      <c r="EK130" s="231">
        <v>4921.6899999999996</v>
      </c>
      <c r="EL130" s="231">
        <v>2382.09</v>
      </c>
      <c r="EM130" s="231">
        <v>1048.55</v>
      </c>
      <c r="EN130" s="228">
        <v>118.2</v>
      </c>
      <c r="EO130" s="231">
        <v>8352.33</v>
      </c>
      <c r="EP130" s="231">
        <v>10887.04</v>
      </c>
      <c r="EQ130" s="231">
        <v>-2534.7199999999998</v>
      </c>
      <c r="ER130" s="229">
        <v>-0.23280000000000001</v>
      </c>
      <c r="ES130" s="231">
        <v>2049.1999999999998</v>
      </c>
      <c r="ET130" s="231">
        <v>1175.75</v>
      </c>
      <c r="EU130" s="231">
        <v>4560.78</v>
      </c>
      <c r="EV130" s="231">
        <v>19673414</v>
      </c>
      <c r="EW130" s="231">
        <v>7785.72</v>
      </c>
      <c r="EX130" s="231">
        <v>7546.54</v>
      </c>
      <c r="EY130" s="228">
        <v>239.18</v>
      </c>
      <c r="EZ130" s="229">
        <v>3.1699999999999999E-2</v>
      </c>
      <c r="FA130" s="229">
        <v>0.29299999999999998</v>
      </c>
      <c r="FB130" s="227" t="s">
        <v>567</v>
      </c>
      <c r="FC130">
        <f t="shared" si="1"/>
        <v>408</v>
      </c>
    </row>
    <row r="131" spans="1:159" ht="17.25" thickBot="1" x14ac:dyDescent="0.3">
      <c r="A131" s="226">
        <v>46121</v>
      </c>
      <c r="B131" s="227" t="s">
        <v>170</v>
      </c>
      <c r="C131" s="227" t="s">
        <v>602</v>
      </c>
      <c r="D131" s="228">
        <v>525</v>
      </c>
      <c r="E131" s="228">
        <v>19</v>
      </c>
      <c r="F131" s="228">
        <v>957.05</v>
      </c>
      <c r="G131" s="228">
        <v>946.1</v>
      </c>
      <c r="H131" s="228">
        <v>10.95</v>
      </c>
      <c r="I131" s="229">
        <v>1.1599999999999999E-2</v>
      </c>
      <c r="J131" s="228">
        <v>954.95</v>
      </c>
      <c r="K131" s="228">
        <v>941.15</v>
      </c>
      <c r="L131" s="228">
        <v>13.8</v>
      </c>
      <c r="M131" s="229">
        <v>1.47E-2</v>
      </c>
      <c r="N131" s="228">
        <v>957.05</v>
      </c>
      <c r="O131" s="228">
        <v>946.1</v>
      </c>
      <c r="P131" s="228">
        <v>10.95</v>
      </c>
      <c r="Q131" s="229">
        <v>1.1599999999999999E-2</v>
      </c>
      <c r="R131" s="228">
        <v>963.3</v>
      </c>
      <c r="S131" s="228">
        <v>951.2</v>
      </c>
      <c r="T131" s="228">
        <v>12.1</v>
      </c>
      <c r="U131" s="229">
        <v>1.2699999999999999E-2</v>
      </c>
      <c r="V131" s="228">
        <v>969.6</v>
      </c>
      <c r="W131" s="228">
        <v>956.7</v>
      </c>
      <c r="X131" s="228">
        <v>12.9</v>
      </c>
      <c r="Y131" s="229">
        <v>1.35E-2</v>
      </c>
      <c r="Z131" s="228">
        <v>2.1</v>
      </c>
      <c r="AA131" s="228">
        <v>4.95</v>
      </c>
      <c r="AB131" s="228">
        <v>-2.85</v>
      </c>
      <c r="AC131" s="229">
        <v>2.2000000000000001E-3</v>
      </c>
      <c r="AD131" s="228">
        <v>2.1</v>
      </c>
      <c r="AE131" s="228">
        <v>4.95</v>
      </c>
      <c r="AF131" s="228">
        <v>-2.85</v>
      </c>
      <c r="AG131" s="229">
        <v>2.2000000000000001E-3</v>
      </c>
      <c r="AH131" s="228">
        <v>8.35</v>
      </c>
      <c r="AI131" s="228">
        <v>10.050000000000001</v>
      </c>
      <c r="AJ131" s="228">
        <v>-1.7</v>
      </c>
      <c r="AK131" s="229">
        <v>8.6999999999999994E-3</v>
      </c>
      <c r="AL131" s="228">
        <v>14.65</v>
      </c>
      <c r="AM131" s="228">
        <v>15.55</v>
      </c>
      <c r="AN131" s="228">
        <v>-0.9</v>
      </c>
      <c r="AO131" s="229">
        <v>1.5299999999999999E-2</v>
      </c>
      <c r="AP131" s="228">
        <v>956.59</v>
      </c>
      <c r="AQ131" s="228">
        <v>962.74</v>
      </c>
      <c r="AR131" s="228">
        <v>0</v>
      </c>
      <c r="AS131" s="228">
        <v>251</v>
      </c>
      <c r="AT131" s="228">
        <v>233</v>
      </c>
      <c r="AU131" s="228">
        <v>19</v>
      </c>
      <c r="AV131" s="229">
        <v>8.0399999999999999E-2</v>
      </c>
      <c r="AW131" s="228">
        <v>234</v>
      </c>
      <c r="AX131" s="228">
        <v>208</v>
      </c>
      <c r="AY131" s="228">
        <v>25</v>
      </c>
      <c r="AZ131" s="229">
        <v>0.1211</v>
      </c>
      <c r="BA131" s="228">
        <v>15</v>
      </c>
      <c r="BB131" s="228">
        <v>21</v>
      </c>
      <c r="BC131" s="228">
        <v>-6</v>
      </c>
      <c r="BD131" s="229">
        <v>-0.28639999999999999</v>
      </c>
      <c r="BE131" s="228">
        <v>2</v>
      </c>
      <c r="BF131" s="228">
        <v>3</v>
      </c>
      <c r="BG131" s="228">
        <v>0</v>
      </c>
      <c r="BH131" s="229">
        <v>-0.1429</v>
      </c>
      <c r="BI131" s="228">
        <v>583</v>
      </c>
      <c r="BJ131" s="228">
        <v>410</v>
      </c>
      <c r="BK131" s="228">
        <v>173</v>
      </c>
      <c r="BL131" s="229">
        <v>0.42070000000000002</v>
      </c>
      <c r="BM131" s="228">
        <v>152</v>
      </c>
      <c r="BN131" s="228">
        <v>203</v>
      </c>
      <c r="BO131" s="228">
        <v>-51</v>
      </c>
      <c r="BP131" s="229">
        <v>-0.25069999999999998</v>
      </c>
      <c r="BQ131" s="228">
        <v>986</v>
      </c>
      <c r="BR131" s="228">
        <v>846</v>
      </c>
      <c r="BS131" s="228">
        <v>140</v>
      </c>
      <c r="BT131" s="229">
        <v>0.1658</v>
      </c>
      <c r="BU131" s="230">
        <v>4441896</v>
      </c>
      <c r="BV131" s="230">
        <v>4738392</v>
      </c>
      <c r="BW131" s="230">
        <v>-296496</v>
      </c>
      <c r="BX131" s="229">
        <v>-6.2600000000000003E-2</v>
      </c>
      <c r="BY131" s="230">
        <v>1383</v>
      </c>
      <c r="BZ131" s="230">
        <v>1388</v>
      </c>
      <c r="CA131" s="228">
        <v>-6</v>
      </c>
      <c r="CB131" s="229">
        <v>-4.0000000000000001E-3</v>
      </c>
      <c r="CC131" s="230">
        <v>1317</v>
      </c>
      <c r="CD131" s="230">
        <v>1326</v>
      </c>
      <c r="CE131" s="228">
        <v>-9</v>
      </c>
      <c r="CF131" s="229">
        <v>-6.8999999999999999E-3</v>
      </c>
      <c r="CG131" s="228">
        <v>56</v>
      </c>
      <c r="CH131" s="228">
        <v>53</v>
      </c>
      <c r="CI131" s="228">
        <v>3</v>
      </c>
      <c r="CJ131" s="229">
        <v>5.5100000000000003E-2</v>
      </c>
      <c r="CK131" s="228">
        <v>10</v>
      </c>
      <c r="CL131" s="228">
        <v>9</v>
      </c>
      <c r="CM131" s="228">
        <v>1</v>
      </c>
      <c r="CN131" s="229">
        <v>8.2900000000000001E-2</v>
      </c>
      <c r="CO131" s="228">
        <v>242</v>
      </c>
      <c r="CP131" s="228">
        <v>246</v>
      </c>
      <c r="CQ131" s="228">
        <v>-4</v>
      </c>
      <c r="CR131" s="229">
        <v>-1.5599999999999999E-2</v>
      </c>
      <c r="CS131" s="228">
        <v>157</v>
      </c>
      <c r="CT131" s="228">
        <v>146</v>
      </c>
      <c r="CU131" s="228">
        <v>11</v>
      </c>
      <c r="CV131" s="229">
        <v>7.6300000000000007E-2</v>
      </c>
      <c r="CW131" s="230">
        <v>1782</v>
      </c>
      <c r="CX131" s="230">
        <v>1780</v>
      </c>
      <c r="CY131" s="228">
        <v>2</v>
      </c>
      <c r="CZ131" s="229">
        <v>1E-3</v>
      </c>
      <c r="DA131" s="228">
        <v>30.87</v>
      </c>
      <c r="DB131" s="228">
        <v>31.48</v>
      </c>
      <c r="DC131" s="228">
        <v>-0.61</v>
      </c>
      <c r="DD131" s="228">
        <v>-0.61</v>
      </c>
      <c r="DE131" s="228">
        <v>36.29</v>
      </c>
      <c r="DF131" s="228">
        <v>36.33</v>
      </c>
      <c r="DG131" s="228">
        <v>-5.42</v>
      </c>
      <c r="DH131" s="228">
        <v>-0.04</v>
      </c>
      <c r="DI131" s="228">
        <v>30.71</v>
      </c>
      <c r="DJ131" s="228">
        <v>31.18</v>
      </c>
      <c r="DK131" s="228">
        <v>-0.47</v>
      </c>
      <c r="DL131" s="228">
        <v>-0.47</v>
      </c>
      <c r="DM131" s="228">
        <v>31.47</v>
      </c>
      <c r="DN131" s="228">
        <v>32.090000000000003</v>
      </c>
      <c r="DO131" s="228">
        <v>-0.62</v>
      </c>
      <c r="DP131" s="228">
        <v>-0.62</v>
      </c>
      <c r="DQ131" s="228">
        <v>0.65</v>
      </c>
      <c r="DR131" s="228">
        <v>0.6</v>
      </c>
      <c r="DS131" s="228">
        <v>0.05</v>
      </c>
      <c r="DT131" s="229">
        <v>8.3299999999999999E-2</v>
      </c>
      <c r="DU131" s="231">
        <v>1000</v>
      </c>
      <c r="DV131" s="228">
        <v>950</v>
      </c>
      <c r="DW131" s="228">
        <v>0.26</v>
      </c>
      <c r="DX131" s="228">
        <v>0.5</v>
      </c>
      <c r="DY131" s="228">
        <v>-0.24</v>
      </c>
      <c r="DZ131" s="229">
        <v>-0.48</v>
      </c>
      <c r="EA131" s="229">
        <v>4.7500000000000001E-2</v>
      </c>
      <c r="EB131" s="230">
        <v>647850</v>
      </c>
      <c r="EC131" s="229">
        <v>6.4999999999999997E-3</v>
      </c>
      <c r="ED131" s="229">
        <v>4.7500000000000001E-2</v>
      </c>
      <c r="EE131" s="228">
        <v>6.15</v>
      </c>
      <c r="EF131" s="229">
        <v>6.4000000000000003E-3</v>
      </c>
      <c r="EG131" s="230">
        <v>2676354</v>
      </c>
      <c r="EH131" s="230">
        <v>3244723</v>
      </c>
      <c r="EI131" s="229">
        <v>-0.17519999999999999</v>
      </c>
      <c r="EJ131" s="229">
        <v>0.60250000000000004</v>
      </c>
      <c r="EK131" s="228">
        <v>606.75</v>
      </c>
      <c r="EL131" s="228">
        <v>151.32</v>
      </c>
      <c r="EM131" s="228">
        <v>251.23</v>
      </c>
      <c r="EN131" s="228">
        <v>46.58</v>
      </c>
      <c r="EO131" s="231">
        <v>1009.3</v>
      </c>
      <c r="EP131" s="228">
        <v>858.36</v>
      </c>
      <c r="EQ131" s="228">
        <v>150.94</v>
      </c>
      <c r="ER131" s="229">
        <v>0.17580000000000001</v>
      </c>
      <c r="ES131" s="228">
        <v>253.35</v>
      </c>
      <c r="ET131" s="228">
        <v>156.06</v>
      </c>
      <c r="EU131" s="231">
        <v>1383.39</v>
      </c>
      <c r="EV131" s="231">
        <v>111298748</v>
      </c>
      <c r="EW131" s="231">
        <v>1792.8</v>
      </c>
      <c r="EX131" s="231">
        <v>1774.59</v>
      </c>
      <c r="EY131" s="228">
        <v>18.21</v>
      </c>
      <c r="EZ131" s="229">
        <v>1.03E-2</v>
      </c>
      <c r="FA131" s="229">
        <v>0.1673</v>
      </c>
      <c r="FB131" s="227" t="s">
        <v>694</v>
      </c>
      <c r="FC131">
        <f t="shared" ref="FC131:FC147" si="2">BY131-CC131</f>
        <v>66</v>
      </c>
    </row>
    <row r="132" spans="1:159" ht="17.25" thickBot="1" x14ac:dyDescent="0.3">
      <c r="A132" s="226">
        <v>46121</v>
      </c>
      <c r="B132" s="227" t="s">
        <v>215</v>
      </c>
      <c r="C132" s="227" t="s">
        <v>671</v>
      </c>
      <c r="D132" s="228">
        <v>200</v>
      </c>
      <c r="E132" s="228">
        <v>19</v>
      </c>
      <c r="F132" s="231">
        <v>2448.4</v>
      </c>
      <c r="G132" s="231">
        <v>2403.9</v>
      </c>
      <c r="H132" s="228">
        <v>44.5</v>
      </c>
      <c r="I132" s="229">
        <v>1.8499999999999999E-2</v>
      </c>
      <c r="J132" s="231">
        <v>2435.5</v>
      </c>
      <c r="K132" s="231">
        <v>2395</v>
      </c>
      <c r="L132" s="228">
        <v>40.5</v>
      </c>
      <c r="M132" s="229">
        <v>1.6899999999999998E-2</v>
      </c>
      <c r="N132" s="231">
        <v>2448.4</v>
      </c>
      <c r="O132" s="231">
        <v>2403.9</v>
      </c>
      <c r="P132" s="228">
        <v>44.5</v>
      </c>
      <c r="Q132" s="229">
        <v>1.8499999999999999E-2</v>
      </c>
      <c r="R132" s="231">
        <v>2458.1999999999998</v>
      </c>
      <c r="S132" s="231">
        <v>2412.4</v>
      </c>
      <c r="T132" s="228">
        <v>45.8</v>
      </c>
      <c r="U132" s="229">
        <v>1.9E-2</v>
      </c>
      <c r="V132" s="231">
        <v>2467.8000000000002</v>
      </c>
      <c r="W132" s="231">
        <v>2428.1999999999998</v>
      </c>
      <c r="X132" s="228">
        <v>39.6</v>
      </c>
      <c r="Y132" s="229">
        <v>1.6299999999999999E-2</v>
      </c>
      <c r="Z132" s="228">
        <v>12.9</v>
      </c>
      <c r="AA132" s="228">
        <v>8.9</v>
      </c>
      <c r="AB132" s="228">
        <v>4</v>
      </c>
      <c r="AC132" s="229">
        <v>5.3E-3</v>
      </c>
      <c r="AD132" s="228">
        <v>12.9</v>
      </c>
      <c r="AE132" s="228">
        <v>8.9</v>
      </c>
      <c r="AF132" s="228">
        <v>4</v>
      </c>
      <c r="AG132" s="229">
        <v>5.3E-3</v>
      </c>
      <c r="AH132" s="228">
        <v>22.7</v>
      </c>
      <c r="AI132" s="228">
        <v>17.399999999999999</v>
      </c>
      <c r="AJ132" s="228">
        <v>5.3</v>
      </c>
      <c r="AK132" s="229">
        <v>9.2999999999999992E-3</v>
      </c>
      <c r="AL132" s="228">
        <v>32.299999999999997</v>
      </c>
      <c r="AM132" s="228">
        <v>33.200000000000003</v>
      </c>
      <c r="AN132" s="228">
        <v>-0.9</v>
      </c>
      <c r="AO132" s="229">
        <v>1.3299999999999999E-2</v>
      </c>
      <c r="AP132" s="231">
        <v>2449.62</v>
      </c>
      <c r="AQ132" s="231">
        <v>2457.79</v>
      </c>
      <c r="AR132" s="228">
        <v>0</v>
      </c>
      <c r="AS132" s="228">
        <v>309</v>
      </c>
      <c r="AT132" s="228">
        <v>208</v>
      </c>
      <c r="AU132" s="228">
        <v>101</v>
      </c>
      <c r="AV132" s="229">
        <v>0.48630000000000001</v>
      </c>
      <c r="AW132" s="228">
        <v>285</v>
      </c>
      <c r="AX132" s="228">
        <v>191</v>
      </c>
      <c r="AY132" s="228">
        <v>95</v>
      </c>
      <c r="AZ132" s="229">
        <v>0.49609999999999999</v>
      </c>
      <c r="BA132" s="228">
        <v>21</v>
      </c>
      <c r="BB132" s="228">
        <v>16</v>
      </c>
      <c r="BC132" s="228">
        <v>5</v>
      </c>
      <c r="BD132" s="229">
        <v>0.32719999999999999</v>
      </c>
      <c r="BE132" s="228">
        <v>3</v>
      </c>
      <c r="BF132" s="228">
        <v>1</v>
      </c>
      <c r="BG132" s="228">
        <v>1</v>
      </c>
      <c r="BH132" s="229">
        <v>0.96430000000000005</v>
      </c>
      <c r="BI132" s="230">
        <v>2208</v>
      </c>
      <c r="BJ132" s="228">
        <v>865</v>
      </c>
      <c r="BK132" s="230">
        <v>1343</v>
      </c>
      <c r="BL132" s="229">
        <v>1.5517000000000001</v>
      </c>
      <c r="BM132" s="228">
        <v>710</v>
      </c>
      <c r="BN132" s="228">
        <v>360</v>
      </c>
      <c r="BO132" s="228">
        <v>350</v>
      </c>
      <c r="BP132" s="229">
        <v>0.97160000000000002</v>
      </c>
      <c r="BQ132" s="230">
        <v>3228</v>
      </c>
      <c r="BR132" s="230">
        <v>1434</v>
      </c>
      <c r="BS132" s="230">
        <v>1794</v>
      </c>
      <c r="BT132" s="229">
        <v>1.2514000000000001</v>
      </c>
      <c r="BU132" s="230">
        <v>3034912</v>
      </c>
      <c r="BV132" s="230">
        <v>2094326</v>
      </c>
      <c r="BW132" s="230">
        <v>940586</v>
      </c>
      <c r="BX132" s="229">
        <v>0.4491</v>
      </c>
      <c r="BY132" s="230">
        <v>1106</v>
      </c>
      <c r="BZ132" s="230">
        <v>1087</v>
      </c>
      <c r="CA132" s="228">
        <v>19</v>
      </c>
      <c r="CB132" s="229">
        <v>1.7500000000000002E-2</v>
      </c>
      <c r="CC132" s="230">
        <v>1062</v>
      </c>
      <c r="CD132" s="230">
        <v>1046</v>
      </c>
      <c r="CE132" s="228">
        <v>16</v>
      </c>
      <c r="CF132" s="229">
        <v>1.5299999999999999E-2</v>
      </c>
      <c r="CG132" s="228">
        <v>39</v>
      </c>
      <c r="CH132" s="228">
        <v>38</v>
      </c>
      <c r="CI132" s="228">
        <v>1</v>
      </c>
      <c r="CJ132" s="229">
        <v>3.0800000000000001E-2</v>
      </c>
      <c r="CK132" s="228">
        <v>4</v>
      </c>
      <c r="CL132" s="228">
        <v>2</v>
      </c>
      <c r="CM132" s="228">
        <v>2</v>
      </c>
      <c r="CN132" s="229">
        <v>0.82220000000000004</v>
      </c>
      <c r="CO132" s="228">
        <v>635</v>
      </c>
      <c r="CP132" s="228">
        <v>590</v>
      </c>
      <c r="CQ132" s="228">
        <v>44</v>
      </c>
      <c r="CR132" s="229">
        <v>7.5300000000000006E-2</v>
      </c>
      <c r="CS132" s="228">
        <v>522</v>
      </c>
      <c r="CT132" s="228">
        <v>469</v>
      </c>
      <c r="CU132" s="228">
        <v>53</v>
      </c>
      <c r="CV132" s="229">
        <v>0.1128</v>
      </c>
      <c r="CW132" s="230">
        <v>2262</v>
      </c>
      <c r="CX132" s="230">
        <v>2146</v>
      </c>
      <c r="CY132" s="228">
        <v>116</v>
      </c>
      <c r="CZ132" s="229">
        <v>5.4199999999999998E-2</v>
      </c>
      <c r="DA132" s="228">
        <v>43.78</v>
      </c>
      <c r="DB132" s="228">
        <v>42.98</v>
      </c>
      <c r="DC132" s="228">
        <v>0.8</v>
      </c>
      <c r="DD132" s="228">
        <v>0.8</v>
      </c>
      <c r="DE132" s="228">
        <v>56.72</v>
      </c>
      <c r="DF132" s="228">
        <v>56.81</v>
      </c>
      <c r="DG132" s="228">
        <v>-12.94</v>
      </c>
      <c r="DH132" s="228">
        <v>-0.09</v>
      </c>
      <c r="DI132" s="228">
        <v>43.47</v>
      </c>
      <c r="DJ132" s="228">
        <v>42.31</v>
      </c>
      <c r="DK132" s="228">
        <v>1.1599999999999999</v>
      </c>
      <c r="DL132" s="228">
        <v>1.1599999999999999</v>
      </c>
      <c r="DM132" s="228">
        <v>44.72</v>
      </c>
      <c r="DN132" s="228">
        <v>44.57</v>
      </c>
      <c r="DO132" s="228">
        <v>0.15</v>
      </c>
      <c r="DP132" s="228">
        <v>0.15</v>
      </c>
      <c r="DQ132" s="228">
        <v>0.82</v>
      </c>
      <c r="DR132" s="228">
        <v>0.79</v>
      </c>
      <c r="DS132" s="228">
        <v>0.03</v>
      </c>
      <c r="DT132" s="229">
        <v>3.7999999999999999E-2</v>
      </c>
      <c r="DU132" s="231">
        <v>2500</v>
      </c>
      <c r="DV132" s="231">
        <v>2200</v>
      </c>
      <c r="DW132" s="228">
        <v>0.32</v>
      </c>
      <c r="DX132" s="228">
        <v>0.42</v>
      </c>
      <c r="DY132" s="228">
        <v>-0.1</v>
      </c>
      <c r="DZ132" s="229">
        <v>-0.23810000000000001</v>
      </c>
      <c r="EA132" s="229">
        <v>3.9199999999999999E-2</v>
      </c>
      <c r="EB132" s="230">
        <v>164600</v>
      </c>
      <c r="EC132" s="229">
        <v>4.0000000000000001E-3</v>
      </c>
      <c r="ED132" s="229">
        <v>3.9199999999999999E-2</v>
      </c>
      <c r="EE132" s="228">
        <v>8.17</v>
      </c>
      <c r="EF132" s="229">
        <v>3.3E-3</v>
      </c>
      <c r="EG132" s="230">
        <v>674980</v>
      </c>
      <c r="EH132" s="230">
        <v>509576</v>
      </c>
      <c r="EI132" s="229">
        <v>0.3246</v>
      </c>
      <c r="EJ132" s="229">
        <v>0.22239999999999999</v>
      </c>
      <c r="EK132" s="231">
        <v>2343.44</v>
      </c>
      <c r="EL132" s="228">
        <v>705.05</v>
      </c>
      <c r="EM132" s="228">
        <v>309.43</v>
      </c>
      <c r="EN132" s="228">
        <v>48.32</v>
      </c>
      <c r="EO132" s="231">
        <v>3357.92</v>
      </c>
      <c r="EP132" s="231">
        <v>1449.25</v>
      </c>
      <c r="EQ132" s="231">
        <v>1908.67</v>
      </c>
      <c r="ER132" s="229">
        <v>1.3169999999999999</v>
      </c>
      <c r="ES132" s="228">
        <v>637.41999999999996</v>
      </c>
      <c r="ET132" s="228">
        <v>477.92</v>
      </c>
      <c r="EU132" s="231">
        <v>1105.8399999999999</v>
      </c>
      <c r="EV132" s="231">
        <v>11364224</v>
      </c>
      <c r="EW132" s="231">
        <v>2221.17</v>
      </c>
      <c r="EX132" s="231">
        <v>2081.87</v>
      </c>
      <c r="EY132" s="228">
        <v>139.30000000000001</v>
      </c>
      <c r="EZ132" s="229">
        <v>6.6900000000000001E-2</v>
      </c>
      <c r="FA132" s="229">
        <v>0.81299999999999994</v>
      </c>
      <c r="FB132" s="227" t="s">
        <v>555</v>
      </c>
      <c r="FC132">
        <f t="shared" si="2"/>
        <v>44</v>
      </c>
    </row>
    <row r="133" spans="1:159" ht="17.25" thickBot="1" x14ac:dyDescent="0.3">
      <c r="A133" s="226">
        <v>46121</v>
      </c>
      <c r="B133" s="227" t="s">
        <v>175</v>
      </c>
      <c r="C133" s="227" t="s">
        <v>517</v>
      </c>
      <c r="D133" s="228">
        <v>625</v>
      </c>
      <c r="E133" s="228">
        <v>19</v>
      </c>
      <c r="F133" s="231">
        <v>2666.9</v>
      </c>
      <c r="G133" s="231">
        <v>2609.8000000000002</v>
      </c>
      <c r="H133" s="228">
        <v>57.1</v>
      </c>
      <c r="I133" s="229">
        <v>2.1899999999999999E-2</v>
      </c>
      <c r="J133" s="231">
        <v>2657.5</v>
      </c>
      <c r="K133" s="231">
        <v>2596.3000000000002</v>
      </c>
      <c r="L133" s="228">
        <v>61.2</v>
      </c>
      <c r="M133" s="229">
        <v>2.3599999999999999E-2</v>
      </c>
      <c r="N133" s="231">
        <v>2666.9</v>
      </c>
      <c r="O133" s="231">
        <v>2609.8000000000002</v>
      </c>
      <c r="P133" s="228">
        <v>57.1</v>
      </c>
      <c r="Q133" s="229">
        <v>2.1899999999999999E-2</v>
      </c>
      <c r="R133" s="231">
        <v>2681.8</v>
      </c>
      <c r="S133" s="231">
        <v>2623.3</v>
      </c>
      <c r="T133" s="228">
        <v>58.5</v>
      </c>
      <c r="U133" s="229">
        <v>2.23E-2</v>
      </c>
      <c r="V133" s="231">
        <v>2694.8</v>
      </c>
      <c r="W133" s="231">
        <v>2635.2</v>
      </c>
      <c r="X133" s="228">
        <v>59.6</v>
      </c>
      <c r="Y133" s="229">
        <v>2.2599999999999999E-2</v>
      </c>
      <c r="Z133" s="228">
        <v>9.4</v>
      </c>
      <c r="AA133" s="228">
        <v>13.5</v>
      </c>
      <c r="AB133" s="228">
        <v>-4.0999999999999996</v>
      </c>
      <c r="AC133" s="229">
        <v>3.5000000000000001E-3</v>
      </c>
      <c r="AD133" s="228">
        <v>9.4</v>
      </c>
      <c r="AE133" s="228">
        <v>13.5</v>
      </c>
      <c r="AF133" s="228">
        <v>-4.0999999999999996</v>
      </c>
      <c r="AG133" s="229">
        <v>3.5000000000000001E-3</v>
      </c>
      <c r="AH133" s="228">
        <v>24.3</v>
      </c>
      <c r="AI133" s="228">
        <v>27</v>
      </c>
      <c r="AJ133" s="228">
        <v>-2.7</v>
      </c>
      <c r="AK133" s="229">
        <v>9.1000000000000004E-3</v>
      </c>
      <c r="AL133" s="228">
        <v>37.299999999999997</v>
      </c>
      <c r="AM133" s="228">
        <v>38.9</v>
      </c>
      <c r="AN133" s="228">
        <v>-1.6</v>
      </c>
      <c r="AO133" s="229">
        <v>1.4E-2</v>
      </c>
      <c r="AP133" s="231">
        <v>2658.29</v>
      </c>
      <c r="AQ133" s="231">
        <v>2669.84</v>
      </c>
      <c r="AR133" s="228">
        <v>0</v>
      </c>
      <c r="AS133" s="230">
        <v>1054</v>
      </c>
      <c r="AT133" s="230">
        <v>1320</v>
      </c>
      <c r="AU133" s="228">
        <v>-266</v>
      </c>
      <c r="AV133" s="229">
        <v>-0.2014</v>
      </c>
      <c r="AW133" s="228">
        <v>949</v>
      </c>
      <c r="AX133" s="230">
        <v>1225</v>
      </c>
      <c r="AY133" s="228">
        <v>-276</v>
      </c>
      <c r="AZ133" s="229">
        <v>-0.22509999999999999</v>
      </c>
      <c r="BA133" s="228">
        <v>80</v>
      </c>
      <c r="BB133" s="228">
        <v>82</v>
      </c>
      <c r="BC133" s="228">
        <v>-2</v>
      </c>
      <c r="BD133" s="229">
        <v>-2.24E-2</v>
      </c>
      <c r="BE133" s="228">
        <v>25</v>
      </c>
      <c r="BF133" s="228">
        <v>13</v>
      </c>
      <c r="BG133" s="228">
        <v>12</v>
      </c>
      <c r="BH133" s="229">
        <v>0.875</v>
      </c>
      <c r="BI133" s="230">
        <v>3564</v>
      </c>
      <c r="BJ133" s="230">
        <v>4202</v>
      </c>
      <c r="BK133" s="228">
        <v>-638</v>
      </c>
      <c r="BL133" s="229">
        <v>-0.15190000000000001</v>
      </c>
      <c r="BM133" s="230">
        <v>2049</v>
      </c>
      <c r="BN133" s="230">
        <v>2126</v>
      </c>
      <c r="BO133" s="228">
        <v>-77</v>
      </c>
      <c r="BP133" s="229">
        <v>-3.6400000000000002E-2</v>
      </c>
      <c r="BQ133" s="230">
        <v>6667</v>
      </c>
      <c r="BR133" s="230">
        <v>7648</v>
      </c>
      <c r="BS133" s="228">
        <v>-981</v>
      </c>
      <c r="BT133" s="229">
        <v>-0.1283</v>
      </c>
      <c r="BU133" s="230">
        <v>4149599</v>
      </c>
      <c r="BV133" s="230">
        <v>4408157</v>
      </c>
      <c r="BW133" s="230">
        <v>-258558</v>
      </c>
      <c r="BX133" s="229">
        <v>-5.8700000000000002E-2</v>
      </c>
      <c r="BY133" s="230">
        <v>3450</v>
      </c>
      <c r="BZ133" s="230">
        <v>3414</v>
      </c>
      <c r="CA133" s="228">
        <v>35</v>
      </c>
      <c r="CB133" s="229">
        <v>1.03E-2</v>
      </c>
      <c r="CC133" s="230">
        <v>3355</v>
      </c>
      <c r="CD133" s="230">
        <v>3325</v>
      </c>
      <c r="CE133" s="228">
        <v>30</v>
      </c>
      <c r="CF133" s="229">
        <v>9.1000000000000004E-3</v>
      </c>
      <c r="CG133" s="228">
        <v>80</v>
      </c>
      <c r="CH133" s="228">
        <v>78</v>
      </c>
      <c r="CI133" s="228">
        <v>3</v>
      </c>
      <c r="CJ133" s="229">
        <v>3.44E-2</v>
      </c>
      <c r="CK133" s="228">
        <v>15</v>
      </c>
      <c r="CL133" s="228">
        <v>12</v>
      </c>
      <c r="CM133" s="228">
        <v>2</v>
      </c>
      <c r="CN133" s="229">
        <v>0.18920000000000001</v>
      </c>
      <c r="CO133" s="230">
        <v>1542</v>
      </c>
      <c r="CP133" s="230">
        <v>1439</v>
      </c>
      <c r="CQ133" s="228">
        <v>103</v>
      </c>
      <c r="CR133" s="229">
        <v>7.1599999999999997E-2</v>
      </c>
      <c r="CS133" s="230">
        <v>1414</v>
      </c>
      <c r="CT133" s="230">
        <v>1206</v>
      </c>
      <c r="CU133" s="228">
        <v>207</v>
      </c>
      <c r="CV133" s="229">
        <v>0.17169999999999999</v>
      </c>
      <c r="CW133" s="230">
        <v>6406</v>
      </c>
      <c r="CX133" s="230">
        <v>6060</v>
      </c>
      <c r="CY133" s="228">
        <v>345</v>
      </c>
      <c r="CZ133" s="229">
        <v>5.7000000000000002E-2</v>
      </c>
      <c r="DA133" s="228">
        <v>46.91</v>
      </c>
      <c r="DB133" s="228">
        <v>48.04</v>
      </c>
      <c r="DC133" s="228">
        <v>-1.1299999999999999</v>
      </c>
      <c r="DD133" s="228">
        <v>-1.1299999999999999</v>
      </c>
      <c r="DE133" s="228">
        <v>50.26</v>
      </c>
      <c r="DF133" s="228">
        <v>50.3</v>
      </c>
      <c r="DG133" s="228">
        <v>-3.35</v>
      </c>
      <c r="DH133" s="228">
        <v>-0.04</v>
      </c>
      <c r="DI133" s="228">
        <v>45.92</v>
      </c>
      <c r="DJ133" s="228">
        <v>47.16</v>
      </c>
      <c r="DK133" s="228">
        <v>-1.24</v>
      </c>
      <c r="DL133" s="228">
        <v>-1.24</v>
      </c>
      <c r="DM133" s="228">
        <v>48.63</v>
      </c>
      <c r="DN133" s="228">
        <v>49.79</v>
      </c>
      <c r="DO133" s="228">
        <v>-1.1599999999999999</v>
      </c>
      <c r="DP133" s="228">
        <v>-1.1599999999999999</v>
      </c>
      <c r="DQ133" s="228">
        <v>0.92</v>
      </c>
      <c r="DR133" s="228">
        <v>0.84</v>
      </c>
      <c r="DS133" s="228">
        <v>0.08</v>
      </c>
      <c r="DT133" s="229">
        <v>9.5200000000000007E-2</v>
      </c>
      <c r="DU133" s="231">
        <v>2700</v>
      </c>
      <c r="DV133" s="231">
        <v>2500</v>
      </c>
      <c r="DW133" s="228">
        <v>0.56999999999999995</v>
      </c>
      <c r="DX133" s="228">
        <v>0.51</v>
      </c>
      <c r="DY133" s="228">
        <v>0.06</v>
      </c>
      <c r="DZ133" s="229">
        <v>0.1176</v>
      </c>
      <c r="EA133" s="229">
        <v>2.75E-2</v>
      </c>
      <c r="EB133" s="230">
        <v>336875</v>
      </c>
      <c r="EC133" s="229">
        <v>5.5999999999999999E-3</v>
      </c>
      <c r="ED133" s="229">
        <v>2.75E-2</v>
      </c>
      <c r="EE133" s="228">
        <v>11.55</v>
      </c>
      <c r="EF133" s="229">
        <v>4.3E-3</v>
      </c>
      <c r="EG133" s="230">
        <v>1612582</v>
      </c>
      <c r="EH133" s="230">
        <v>1609808</v>
      </c>
      <c r="EI133" s="229">
        <v>1.6999999999999999E-3</v>
      </c>
      <c r="EJ133" s="229">
        <v>0.3886</v>
      </c>
      <c r="EK133" s="231">
        <v>3773.29</v>
      </c>
      <c r="EL133" s="231">
        <v>2006.46</v>
      </c>
      <c r="EM133" s="231">
        <v>1051.1400000000001</v>
      </c>
      <c r="EN133" s="228">
        <v>61</v>
      </c>
      <c r="EO133" s="231">
        <v>6830.88</v>
      </c>
      <c r="EP133" s="231">
        <v>7752.76</v>
      </c>
      <c r="EQ133" s="228">
        <v>-921.88</v>
      </c>
      <c r="ER133" s="229">
        <v>-0.11890000000000001</v>
      </c>
      <c r="ES133" s="231">
        <v>1530.7</v>
      </c>
      <c r="ET133" s="231">
        <v>1275.07</v>
      </c>
      <c r="EU133" s="231">
        <v>3450.24</v>
      </c>
      <c r="EV133" s="231">
        <v>38177113</v>
      </c>
      <c r="EW133" s="231">
        <v>6256.01</v>
      </c>
      <c r="EX133" s="231">
        <v>5833.47</v>
      </c>
      <c r="EY133" s="228">
        <v>422.54</v>
      </c>
      <c r="EZ133" s="229">
        <v>7.2400000000000006E-2</v>
      </c>
      <c r="FA133" s="229">
        <v>0.62919999999999998</v>
      </c>
      <c r="FB133" s="227" t="s">
        <v>555</v>
      </c>
      <c r="FC133">
        <f t="shared" si="2"/>
        <v>95</v>
      </c>
    </row>
    <row r="134" spans="1:159" ht="17.25" thickBot="1" x14ac:dyDescent="0.3">
      <c r="A134" s="226">
        <v>46121</v>
      </c>
      <c r="B134" s="227" t="s">
        <v>175</v>
      </c>
      <c r="C134" s="227" t="s">
        <v>257</v>
      </c>
      <c r="D134" s="228">
        <v>400</v>
      </c>
      <c r="E134" s="228">
        <v>19</v>
      </c>
      <c r="F134" s="231">
        <v>1610.9</v>
      </c>
      <c r="G134" s="231">
        <v>1592.6</v>
      </c>
      <c r="H134" s="228">
        <v>18.3</v>
      </c>
      <c r="I134" s="229">
        <v>1.15E-2</v>
      </c>
      <c r="J134" s="231">
        <v>1607.4</v>
      </c>
      <c r="K134" s="231">
        <v>1586.7</v>
      </c>
      <c r="L134" s="228">
        <v>20.7</v>
      </c>
      <c r="M134" s="229">
        <v>1.2999999999999999E-2</v>
      </c>
      <c r="N134" s="231">
        <v>1610.9</v>
      </c>
      <c r="O134" s="231">
        <v>1592.6</v>
      </c>
      <c r="P134" s="228">
        <v>18.3</v>
      </c>
      <c r="Q134" s="229">
        <v>1.15E-2</v>
      </c>
      <c r="R134" s="231">
        <v>1617</v>
      </c>
      <c r="S134" s="231">
        <v>1600.4</v>
      </c>
      <c r="T134" s="228">
        <v>16.600000000000001</v>
      </c>
      <c r="U134" s="229">
        <v>1.04E-2</v>
      </c>
      <c r="V134" s="231">
        <v>1623.9</v>
      </c>
      <c r="W134" s="231">
        <v>1628.3</v>
      </c>
      <c r="X134" s="228">
        <v>-4.4000000000000004</v>
      </c>
      <c r="Y134" s="229">
        <v>-2.7000000000000001E-3</v>
      </c>
      <c r="Z134" s="228">
        <v>3.5</v>
      </c>
      <c r="AA134" s="228">
        <v>5.9</v>
      </c>
      <c r="AB134" s="228">
        <v>-2.4</v>
      </c>
      <c r="AC134" s="229">
        <v>2.2000000000000001E-3</v>
      </c>
      <c r="AD134" s="228">
        <v>3.5</v>
      </c>
      <c r="AE134" s="228">
        <v>5.9</v>
      </c>
      <c r="AF134" s="228">
        <v>-2.4</v>
      </c>
      <c r="AG134" s="229">
        <v>2.2000000000000001E-3</v>
      </c>
      <c r="AH134" s="228">
        <v>9.6</v>
      </c>
      <c r="AI134" s="228">
        <v>13.7</v>
      </c>
      <c r="AJ134" s="228">
        <v>-4.0999999999999996</v>
      </c>
      <c r="AK134" s="229">
        <v>6.0000000000000001E-3</v>
      </c>
      <c r="AL134" s="228">
        <v>16.5</v>
      </c>
      <c r="AM134" s="228">
        <v>41.6</v>
      </c>
      <c r="AN134" s="228">
        <v>-25.1</v>
      </c>
      <c r="AO134" s="229">
        <v>1.03E-2</v>
      </c>
      <c r="AP134" s="231">
        <v>1603.03</v>
      </c>
      <c r="AQ134" s="231">
        <v>1604.9</v>
      </c>
      <c r="AR134" s="228">
        <v>0</v>
      </c>
      <c r="AS134" s="228">
        <v>155</v>
      </c>
      <c r="AT134" s="228">
        <v>253</v>
      </c>
      <c r="AU134" s="228">
        <v>-99</v>
      </c>
      <c r="AV134" s="229">
        <v>-0.38969999999999999</v>
      </c>
      <c r="AW134" s="228">
        <v>153</v>
      </c>
      <c r="AX134" s="228">
        <v>250</v>
      </c>
      <c r="AY134" s="228">
        <v>-97</v>
      </c>
      <c r="AZ134" s="229">
        <v>-0.38850000000000001</v>
      </c>
      <c r="BA134" s="228">
        <v>2</v>
      </c>
      <c r="BB134" s="228">
        <v>3</v>
      </c>
      <c r="BC134" s="228">
        <v>-2</v>
      </c>
      <c r="BD134" s="229">
        <v>-0.55559999999999998</v>
      </c>
      <c r="BE134" s="228">
        <v>0</v>
      </c>
      <c r="BF134" s="228">
        <v>0</v>
      </c>
      <c r="BG134" s="228">
        <v>0</v>
      </c>
      <c r="BH134" s="229">
        <v>4</v>
      </c>
      <c r="BI134" s="228">
        <v>100</v>
      </c>
      <c r="BJ134" s="228">
        <v>280</v>
      </c>
      <c r="BK134" s="228">
        <v>-180</v>
      </c>
      <c r="BL134" s="229">
        <v>-0.6431</v>
      </c>
      <c r="BM134" s="228">
        <v>55</v>
      </c>
      <c r="BN134" s="228">
        <v>137</v>
      </c>
      <c r="BO134" s="228">
        <v>-82</v>
      </c>
      <c r="BP134" s="229">
        <v>-0.60019999999999996</v>
      </c>
      <c r="BQ134" s="228">
        <v>309</v>
      </c>
      <c r="BR134" s="228">
        <v>670</v>
      </c>
      <c r="BS134" s="228">
        <v>-361</v>
      </c>
      <c r="BT134" s="229">
        <v>-0.53859999999999997</v>
      </c>
      <c r="BU134" s="230">
        <v>1041531</v>
      </c>
      <c r="BV134" s="230">
        <v>1559425</v>
      </c>
      <c r="BW134" s="230">
        <v>-517894</v>
      </c>
      <c r="BX134" s="229">
        <v>-0.33210000000000001</v>
      </c>
      <c r="BY134" s="230">
        <v>1680</v>
      </c>
      <c r="BZ134" s="230">
        <v>1726</v>
      </c>
      <c r="CA134" s="228">
        <v>-46</v>
      </c>
      <c r="CB134" s="229">
        <v>-2.6599999999999999E-2</v>
      </c>
      <c r="CC134" s="230">
        <v>1678</v>
      </c>
      <c r="CD134" s="230">
        <v>1724</v>
      </c>
      <c r="CE134" s="228">
        <v>-46</v>
      </c>
      <c r="CF134" s="229">
        <v>-2.6700000000000002E-2</v>
      </c>
      <c r="CG134" s="228">
        <v>2</v>
      </c>
      <c r="CH134" s="228">
        <v>2</v>
      </c>
      <c r="CI134" s="228">
        <v>0</v>
      </c>
      <c r="CJ134" s="229">
        <v>-6.9000000000000006E-2</v>
      </c>
      <c r="CK134" s="228">
        <v>0</v>
      </c>
      <c r="CL134" s="228">
        <v>0</v>
      </c>
      <c r="CM134" s="228">
        <v>0</v>
      </c>
      <c r="CN134" s="229">
        <v>4</v>
      </c>
      <c r="CO134" s="228">
        <v>92</v>
      </c>
      <c r="CP134" s="228">
        <v>91</v>
      </c>
      <c r="CQ134" s="228">
        <v>1</v>
      </c>
      <c r="CR134" s="229">
        <v>1.6400000000000001E-2</v>
      </c>
      <c r="CS134" s="228">
        <v>71</v>
      </c>
      <c r="CT134" s="228">
        <v>62</v>
      </c>
      <c r="CU134" s="228">
        <v>10</v>
      </c>
      <c r="CV134" s="229">
        <v>0.1578</v>
      </c>
      <c r="CW134" s="230">
        <v>1843</v>
      </c>
      <c r="CX134" s="230">
        <v>1878</v>
      </c>
      <c r="CY134" s="228">
        <v>-35</v>
      </c>
      <c r="CZ134" s="229">
        <v>-1.8499999999999999E-2</v>
      </c>
      <c r="DA134" s="228">
        <v>34.07</v>
      </c>
      <c r="DB134" s="228">
        <v>33.909999999999997</v>
      </c>
      <c r="DC134" s="228">
        <v>0.16</v>
      </c>
      <c r="DD134" s="228">
        <v>0.16</v>
      </c>
      <c r="DE134" s="228">
        <v>31.78</v>
      </c>
      <c r="DF134" s="228">
        <v>31.82</v>
      </c>
      <c r="DG134" s="228">
        <v>2.29</v>
      </c>
      <c r="DH134" s="228">
        <v>-0.04</v>
      </c>
      <c r="DI134" s="228">
        <v>32.68</v>
      </c>
      <c r="DJ134" s="228">
        <v>32.9</v>
      </c>
      <c r="DK134" s="228">
        <v>-0.22</v>
      </c>
      <c r="DL134" s="228">
        <v>-0.22</v>
      </c>
      <c r="DM134" s="228">
        <v>36.61</v>
      </c>
      <c r="DN134" s="228">
        <v>35.97</v>
      </c>
      <c r="DO134" s="228">
        <v>0.64</v>
      </c>
      <c r="DP134" s="228">
        <v>0.64</v>
      </c>
      <c r="DQ134" s="228">
        <v>0.78</v>
      </c>
      <c r="DR134" s="228">
        <v>0.68</v>
      </c>
      <c r="DS134" s="228">
        <v>0.1</v>
      </c>
      <c r="DT134" s="229">
        <v>0.14710000000000001</v>
      </c>
      <c r="DU134" s="231">
        <v>1800</v>
      </c>
      <c r="DV134" s="231">
        <v>1460</v>
      </c>
      <c r="DW134" s="228">
        <v>0.55000000000000004</v>
      </c>
      <c r="DX134" s="228">
        <v>0.49</v>
      </c>
      <c r="DY134" s="228">
        <v>0.06</v>
      </c>
      <c r="DZ134" s="229">
        <v>0.12239999999999999</v>
      </c>
      <c r="EA134" s="229">
        <v>1.1999999999999999E-3</v>
      </c>
      <c r="EB134" s="230">
        <v>12000</v>
      </c>
      <c r="EC134" s="229">
        <v>3.8E-3</v>
      </c>
      <c r="ED134" s="229">
        <v>1.1999999999999999E-3</v>
      </c>
      <c r="EE134" s="228">
        <v>1.87</v>
      </c>
      <c r="EF134" s="229">
        <v>1.1999999999999999E-3</v>
      </c>
      <c r="EG134" s="230">
        <v>557590</v>
      </c>
      <c r="EH134" s="230">
        <v>881207</v>
      </c>
      <c r="EI134" s="229">
        <v>-0.36720000000000003</v>
      </c>
      <c r="EJ134" s="229">
        <v>0.53539999999999999</v>
      </c>
      <c r="EK134" s="228">
        <v>105.06</v>
      </c>
      <c r="EL134" s="228">
        <v>52.59</v>
      </c>
      <c r="EM134" s="228">
        <v>153.83000000000001</v>
      </c>
      <c r="EN134" s="228">
        <v>19.66</v>
      </c>
      <c r="EO134" s="228">
        <v>311.48</v>
      </c>
      <c r="EP134" s="228">
        <v>670.71</v>
      </c>
      <c r="EQ134" s="228">
        <v>-359.23</v>
      </c>
      <c r="ER134" s="229">
        <v>-0.53559999999999997</v>
      </c>
      <c r="ES134" s="228">
        <v>95.31</v>
      </c>
      <c r="ET134" s="228">
        <v>66.55</v>
      </c>
      <c r="EU134" s="231">
        <v>1679.86</v>
      </c>
      <c r="EV134" s="231">
        <v>35051266</v>
      </c>
      <c r="EW134" s="231">
        <v>1841.72</v>
      </c>
      <c r="EX134" s="231">
        <v>1857.24</v>
      </c>
      <c r="EY134" s="228">
        <v>-15.52</v>
      </c>
      <c r="EZ134" s="229">
        <v>-8.3999999999999995E-3</v>
      </c>
      <c r="FA134" s="229">
        <v>0.32650000000000001</v>
      </c>
      <c r="FB134" s="227" t="s">
        <v>694</v>
      </c>
      <c r="FC134">
        <f t="shared" si="2"/>
        <v>2</v>
      </c>
    </row>
    <row r="135" spans="1:159" ht="17.25" thickBot="1" x14ac:dyDescent="0.3">
      <c r="A135" s="226">
        <v>46121</v>
      </c>
      <c r="B135" s="227" t="s">
        <v>181</v>
      </c>
      <c r="C135" s="227" t="s">
        <v>562</v>
      </c>
      <c r="D135" s="228">
        <v>120</v>
      </c>
      <c r="E135" s="228">
        <v>19</v>
      </c>
      <c r="F135" s="231">
        <v>13233.3</v>
      </c>
      <c r="G135" s="231">
        <v>13264.85</v>
      </c>
      <c r="H135" s="228">
        <v>-31.55</v>
      </c>
      <c r="I135" s="229">
        <v>-2.3999999999999998E-3</v>
      </c>
      <c r="J135" s="231">
        <v>13207.3</v>
      </c>
      <c r="K135" s="231">
        <v>13219.9</v>
      </c>
      <c r="L135" s="228">
        <v>-12.6</v>
      </c>
      <c r="M135" s="229">
        <v>-1E-3</v>
      </c>
      <c r="N135" s="231">
        <v>13233.3</v>
      </c>
      <c r="O135" s="231">
        <v>13264.85</v>
      </c>
      <c r="P135" s="228">
        <v>-31.55</v>
      </c>
      <c r="Q135" s="229">
        <v>-2.3999999999999998E-3</v>
      </c>
      <c r="R135" s="231">
        <v>13271.8</v>
      </c>
      <c r="S135" s="231">
        <v>13304.25</v>
      </c>
      <c r="T135" s="228">
        <v>-32.450000000000003</v>
      </c>
      <c r="U135" s="229">
        <v>-2.3999999999999998E-3</v>
      </c>
      <c r="V135" s="231">
        <v>13310.55</v>
      </c>
      <c r="W135" s="231">
        <v>13353.8</v>
      </c>
      <c r="X135" s="228">
        <v>-43.25</v>
      </c>
      <c r="Y135" s="229">
        <v>-3.2000000000000002E-3</v>
      </c>
      <c r="Z135" s="228">
        <v>26</v>
      </c>
      <c r="AA135" s="228">
        <v>44.95</v>
      </c>
      <c r="AB135" s="228">
        <v>-18.95</v>
      </c>
      <c r="AC135" s="229">
        <v>2E-3</v>
      </c>
      <c r="AD135" s="228">
        <v>26</v>
      </c>
      <c r="AE135" s="228">
        <v>44.95</v>
      </c>
      <c r="AF135" s="228">
        <v>-18.95</v>
      </c>
      <c r="AG135" s="229">
        <v>2E-3</v>
      </c>
      <c r="AH135" s="228">
        <v>64.5</v>
      </c>
      <c r="AI135" s="228">
        <v>84.35</v>
      </c>
      <c r="AJ135" s="228">
        <v>-19.850000000000001</v>
      </c>
      <c r="AK135" s="229">
        <v>4.8999999999999998E-3</v>
      </c>
      <c r="AL135" s="228">
        <v>103.25</v>
      </c>
      <c r="AM135" s="228">
        <v>133.9</v>
      </c>
      <c r="AN135" s="228">
        <v>-30.65</v>
      </c>
      <c r="AO135" s="229">
        <v>7.7999999999999996E-3</v>
      </c>
      <c r="AP135" s="231">
        <v>13219.51</v>
      </c>
      <c r="AQ135" s="231">
        <v>13249.16</v>
      </c>
      <c r="AR135" s="228">
        <v>0</v>
      </c>
      <c r="AS135" s="228">
        <v>966</v>
      </c>
      <c r="AT135" s="228">
        <v>995</v>
      </c>
      <c r="AU135" s="228">
        <v>-30</v>
      </c>
      <c r="AV135" s="229">
        <v>-2.98E-2</v>
      </c>
      <c r="AW135" s="228">
        <v>892</v>
      </c>
      <c r="AX135" s="228">
        <v>915</v>
      </c>
      <c r="AY135" s="228">
        <v>-22</v>
      </c>
      <c r="AZ135" s="229">
        <v>-2.4500000000000001E-2</v>
      </c>
      <c r="BA135" s="228">
        <v>68</v>
      </c>
      <c r="BB135" s="228">
        <v>71</v>
      </c>
      <c r="BC135" s="228">
        <v>-3</v>
      </c>
      <c r="BD135" s="229">
        <v>-4.0399999999999998E-2</v>
      </c>
      <c r="BE135" s="228">
        <v>6</v>
      </c>
      <c r="BF135" s="228">
        <v>10</v>
      </c>
      <c r="BG135" s="228">
        <v>-4</v>
      </c>
      <c r="BH135" s="229">
        <v>-0.44440000000000002</v>
      </c>
      <c r="BI135" s="230">
        <v>14004</v>
      </c>
      <c r="BJ135" s="230">
        <v>13032</v>
      </c>
      <c r="BK135" s="228">
        <v>972</v>
      </c>
      <c r="BL135" s="229">
        <v>7.46E-2</v>
      </c>
      <c r="BM135" s="230">
        <v>14710</v>
      </c>
      <c r="BN135" s="230">
        <v>14772</v>
      </c>
      <c r="BO135" s="228">
        <v>-63</v>
      </c>
      <c r="BP135" s="229">
        <v>-4.1999999999999997E-3</v>
      </c>
      <c r="BQ135" s="230">
        <v>29679</v>
      </c>
      <c r="BR135" s="230">
        <v>28800</v>
      </c>
      <c r="BS135" s="228">
        <v>880</v>
      </c>
      <c r="BT135" s="229">
        <v>3.0599999999999999E-2</v>
      </c>
      <c r="BU135" s="228">
        <v>0</v>
      </c>
      <c r="BV135" s="228">
        <v>0</v>
      </c>
      <c r="BW135" s="228">
        <v>0</v>
      </c>
      <c r="BX135" s="229">
        <v>0</v>
      </c>
      <c r="BY135" s="230">
        <v>3505</v>
      </c>
      <c r="BZ135" s="230">
        <v>3440</v>
      </c>
      <c r="CA135" s="228">
        <v>65</v>
      </c>
      <c r="CB135" s="229">
        <v>1.89E-2</v>
      </c>
      <c r="CC135" s="230">
        <v>3379</v>
      </c>
      <c r="CD135" s="230">
        <v>3316</v>
      </c>
      <c r="CE135" s="228">
        <v>64</v>
      </c>
      <c r="CF135" s="229">
        <v>1.9199999999999998E-2</v>
      </c>
      <c r="CG135" s="228">
        <v>121</v>
      </c>
      <c r="CH135" s="228">
        <v>119</v>
      </c>
      <c r="CI135" s="228">
        <v>1</v>
      </c>
      <c r="CJ135" s="229">
        <v>1.0699999999999999E-2</v>
      </c>
      <c r="CK135" s="228">
        <v>6</v>
      </c>
      <c r="CL135" s="228">
        <v>5</v>
      </c>
      <c r="CM135" s="228">
        <v>0</v>
      </c>
      <c r="CN135" s="229">
        <v>5.8799999999999998E-2</v>
      </c>
      <c r="CO135" s="230">
        <v>4891</v>
      </c>
      <c r="CP135" s="230">
        <v>4625</v>
      </c>
      <c r="CQ135" s="228">
        <v>266</v>
      </c>
      <c r="CR135" s="229">
        <v>5.7599999999999998E-2</v>
      </c>
      <c r="CS135" s="230">
        <v>5338</v>
      </c>
      <c r="CT135" s="230">
        <v>4505</v>
      </c>
      <c r="CU135" s="228">
        <v>833</v>
      </c>
      <c r="CV135" s="229">
        <v>0.18490000000000001</v>
      </c>
      <c r="CW135" s="230">
        <v>13734</v>
      </c>
      <c r="CX135" s="230">
        <v>12570</v>
      </c>
      <c r="CY135" s="230">
        <v>1164</v>
      </c>
      <c r="CZ135" s="229">
        <v>9.2600000000000002E-2</v>
      </c>
      <c r="DA135" s="228">
        <v>27.45</v>
      </c>
      <c r="DB135" s="228">
        <v>27.09</v>
      </c>
      <c r="DC135" s="228">
        <v>0.36</v>
      </c>
      <c r="DD135" s="228">
        <v>0.36</v>
      </c>
      <c r="DE135" s="228">
        <v>25.21</v>
      </c>
      <c r="DF135" s="228">
        <v>25.27</v>
      </c>
      <c r="DG135" s="228">
        <v>2.2400000000000002</v>
      </c>
      <c r="DH135" s="228">
        <v>-0.06</v>
      </c>
      <c r="DI135" s="228">
        <v>24.15</v>
      </c>
      <c r="DJ135" s="228">
        <v>22.37</v>
      </c>
      <c r="DK135" s="228">
        <v>1.78</v>
      </c>
      <c r="DL135" s="228">
        <v>1.78</v>
      </c>
      <c r="DM135" s="228">
        <v>30.59</v>
      </c>
      <c r="DN135" s="228">
        <v>31.26</v>
      </c>
      <c r="DO135" s="228">
        <v>-0.67</v>
      </c>
      <c r="DP135" s="228">
        <v>-0.67</v>
      </c>
      <c r="DQ135" s="228">
        <v>1.0900000000000001</v>
      </c>
      <c r="DR135" s="228">
        <v>0.97</v>
      </c>
      <c r="DS135" s="228">
        <v>0.12</v>
      </c>
      <c r="DT135" s="229">
        <v>0.1237</v>
      </c>
      <c r="DU135" s="231">
        <v>14000</v>
      </c>
      <c r="DV135" s="231">
        <v>12500</v>
      </c>
      <c r="DW135" s="228">
        <v>1.05</v>
      </c>
      <c r="DX135" s="228">
        <v>1.1299999999999999</v>
      </c>
      <c r="DY135" s="228">
        <v>-0.08</v>
      </c>
      <c r="DZ135" s="229">
        <v>-7.0800000000000002E-2</v>
      </c>
      <c r="EA135" s="229">
        <v>3.5999999999999997E-2</v>
      </c>
      <c r="EB135" s="230">
        <v>94200</v>
      </c>
      <c r="EC135" s="229">
        <v>2.8999999999999998E-3</v>
      </c>
      <c r="ED135" s="229">
        <v>3.5999999999999997E-2</v>
      </c>
      <c r="EE135" s="228">
        <v>29.65</v>
      </c>
      <c r="EF135" s="229">
        <v>2.2000000000000001E-3</v>
      </c>
      <c r="EG135" s="228">
        <v>0</v>
      </c>
      <c r="EH135" s="228">
        <v>0</v>
      </c>
      <c r="EI135" s="229">
        <v>0</v>
      </c>
      <c r="EJ135" s="229">
        <v>0</v>
      </c>
      <c r="EK135" s="231">
        <v>14614.89</v>
      </c>
      <c r="EL135" s="231">
        <v>14111.38</v>
      </c>
      <c r="EM135" s="228">
        <v>964.85</v>
      </c>
      <c r="EN135" s="228">
        <v>0</v>
      </c>
      <c r="EO135" s="231">
        <v>29691.119999999999</v>
      </c>
      <c r="EP135" s="231">
        <v>28333.71</v>
      </c>
      <c r="EQ135" s="231">
        <v>1357.41</v>
      </c>
      <c r="ER135" s="229">
        <v>4.7899999999999998E-2</v>
      </c>
      <c r="ES135" s="231">
        <v>4977.8100000000004</v>
      </c>
      <c r="ET135" s="231">
        <v>4953.5200000000004</v>
      </c>
      <c r="EU135" s="231">
        <v>3505.73</v>
      </c>
      <c r="EV135" s="228">
        <v>0</v>
      </c>
      <c r="EW135" s="231">
        <v>13437.05</v>
      </c>
      <c r="EX135" s="231">
        <v>12285.62</v>
      </c>
      <c r="EY135" s="231">
        <v>1151.43</v>
      </c>
      <c r="EZ135" s="229">
        <v>9.3700000000000006E-2</v>
      </c>
      <c r="FA135" s="229">
        <v>0</v>
      </c>
      <c r="FB135" s="227" t="s">
        <v>566</v>
      </c>
      <c r="FC135">
        <f t="shared" si="2"/>
        <v>126</v>
      </c>
    </row>
    <row r="136" spans="1:159" ht="17.25" thickBot="1" x14ac:dyDescent="0.3">
      <c r="A136" s="226">
        <v>46121</v>
      </c>
      <c r="B136" s="227" t="s">
        <v>162</v>
      </c>
      <c r="C136" s="227" t="s">
        <v>558</v>
      </c>
      <c r="D136" s="228">
        <v>6150</v>
      </c>
      <c r="E136" s="228">
        <v>19</v>
      </c>
      <c r="F136" s="228">
        <v>117.36</v>
      </c>
      <c r="G136" s="228">
        <v>118.73</v>
      </c>
      <c r="H136" s="228">
        <v>-1.37</v>
      </c>
      <c r="I136" s="229">
        <v>-1.15E-2</v>
      </c>
      <c r="J136" s="228">
        <v>116.9</v>
      </c>
      <c r="K136" s="228">
        <v>118.11</v>
      </c>
      <c r="L136" s="228">
        <v>-1.21</v>
      </c>
      <c r="M136" s="229">
        <v>-1.0200000000000001E-2</v>
      </c>
      <c r="N136" s="228">
        <v>117.36</v>
      </c>
      <c r="O136" s="228">
        <v>118.73</v>
      </c>
      <c r="P136" s="228">
        <v>-1.37</v>
      </c>
      <c r="Q136" s="229">
        <v>-1.15E-2</v>
      </c>
      <c r="R136" s="228">
        <v>118.02</v>
      </c>
      <c r="S136" s="228">
        <v>119.55</v>
      </c>
      <c r="T136" s="228">
        <v>-1.53</v>
      </c>
      <c r="U136" s="229">
        <v>-1.2800000000000001E-2</v>
      </c>
      <c r="V136" s="228">
        <v>118.81</v>
      </c>
      <c r="W136" s="228">
        <v>120.05</v>
      </c>
      <c r="X136" s="228">
        <v>-1.24</v>
      </c>
      <c r="Y136" s="229">
        <v>-1.03E-2</v>
      </c>
      <c r="Z136" s="228">
        <v>0.46</v>
      </c>
      <c r="AA136" s="228">
        <v>0.62</v>
      </c>
      <c r="AB136" s="228">
        <v>-0.16</v>
      </c>
      <c r="AC136" s="229">
        <v>3.8999999999999998E-3</v>
      </c>
      <c r="AD136" s="228">
        <v>0.46</v>
      </c>
      <c r="AE136" s="228">
        <v>0.62</v>
      </c>
      <c r="AF136" s="228">
        <v>-0.16</v>
      </c>
      <c r="AG136" s="229">
        <v>3.8999999999999998E-3</v>
      </c>
      <c r="AH136" s="228">
        <v>1.1200000000000001</v>
      </c>
      <c r="AI136" s="228">
        <v>1.44</v>
      </c>
      <c r="AJ136" s="228">
        <v>-0.32</v>
      </c>
      <c r="AK136" s="229">
        <v>9.5999999999999992E-3</v>
      </c>
      <c r="AL136" s="228">
        <v>1.91</v>
      </c>
      <c r="AM136" s="228">
        <v>1.94</v>
      </c>
      <c r="AN136" s="228">
        <v>-0.03</v>
      </c>
      <c r="AO136" s="229">
        <v>1.6299999999999999E-2</v>
      </c>
      <c r="AP136" s="228">
        <v>117.65</v>
      </c>
      <c r="AQ136" s="228">
        <v>118</v>
      </c>
      <c r="AR136" s="228">
        <v>0</v>
      </c>
      <c r="AS136" s="228">
        <v>277</v>
      </c>
      <c r="AT136" s="228">
        <v>607</v>
      </c>
      <c r="AU136" s="228">
        <v>-330</v>
      </c>
      <c r="AV136" s="229">
        <v>-0.54339999999999999</v>
      </c>
      <c r="AW136" s="228">
        <v>250</v>
      </c>
      <c r="AX136" s="228">
        <v>569</v>
      </c>
      <c r="AY136" s="228">
        <v>-319</v>
      </c>
      <c r="AZ136" s="229">
        <v>-0.56110000000000004</v>
      </c>
      <c r="BA136" s="228">
        <v>15</v>
      </c>
      <c r="BB136" s="228">
        <v>32</v>
      </c>
      <c r="BC136" s="228">
        <v>-17</v>
      </c>
      <c r="BD136" s="229">
        <v>-0.52680000000000005</v>
      </c>
      <c r="BE136" s="228">
        <v>12</v>
      </c>
      <c r="BF136" s="228">
        <v>6</v>
      </c>
      <c r="BG136" s="228">
        <v>6</v>
      </c>
      <c r="BH136" s="229">
        <v>0.97699999999999998</v>
      </c>
      <c r="BI136" s="228">
        <v>232</v>
      </c>
      <c r="BJ136" s="228">
        <v>940</v>
      </c>
      <c r="BK136" s="228">
        <v>-709</v>
      </c>
      <c r="BL136" s="229">
        <v>-0.75360000000000005</v>
      </c>
      <c r="BM136" s="228">
        <v>149</v>
      </c>
      <c r="BN136" s="228">
        <v>519</v>
      </c>
      <c r="BO136" s="228">
        <v>-370</v>
      </c>
      <c r="BP136" s="229">
        <v>-0.71330000000000005</v>
      </c>
      <c r="BQ136" s="228">
        <v>658</v>
      </c>
      <c r="BR136" s="230">
        <v>2067</v>
      </c>
      <c r="BS136" s="230">
        <v>-1409</v>
      </c>
      <c r="BT136" s="229">
        <v>-0.68169999999999997</v>
      </c>
      <c r="BU136" s="230">
        <v>28007306</v>
      </c>
      <c r="BV136" s="230">
        <v>43712024</v>
      </c>
      <c r="BW136" s="230">
        <v>-15704718</v>
      </c>
      <c r="BX136" s="229">
        <v>-0.35930000000000001</v>
      </c>
      <c r="BY136" s="230">
        <v>1712</v>
      </c>
      <c r="BZ136" s="230">
        <v>1696</v>
      </c>
      <c r="CA136" s="228">
        <v>16</v>
      </c>
      <c r="CB136" s="229">
        <v>9.4000000000000004E-3</v>
      </c>
      <c r="CC136" s="230">
        <v>1672</v>
      </c>
      <c r="CD136" s="230">
        <v>1659</v>
      </c>
      <c r="CE136" s="228">
        <v>13</v>
      </c>
      <c r="CF136" s="229">
        <v>7.7999999999999996E-3</v>
      </c>
      <c r="CG136" s="228">
        <v>33</v>
      </c>
      <c r="CH136" s="228">
        <v>33</v>
      </c>
      <c r="CI136" s="228">
        <v>0</v>
      </c>
      <c r="CJ136" s="229">
        <v>-2.2000000000000001E-3</v>
      </c>
      <c r="CK136" s="228">
        <v>8</v>
      </c>
      <c r="CL136" s="228">
        <v>5</v>
      </c>
      <c r="CM136" s="228">
        <v>3</v>
      </c>
      <c r="CN136" s="229">
        <v>0.66669999999999996</v>
      </c>
      <c r="CO136" s="228">
        <v>351</v>
      </c>
      <c r="CP136" s="228">
        <v>354</v>
      </c>
      <c r="CQ136" s="228">
        <v>-3</v>
      </c>
      <c r="CR136" s="229">
        <v>-8.0000000000000002E-3</v>
      </c>
      <c r="CS136" s="228">
        <v>280</v>
      </c>
      <c r="CT136" s="228">
        <v>289</v>
      </c>
      <c r="CU136" s="228">
        <v>-9</v>
      </c>
      <c r="CV136" s="229">
        <v>-3.2199999999999999E-2</v>
      </c>
      <c r="CW136" s="230">
        <v>2343</v>
      </c>
      <c r="CX136" s="230">
        <v>2339</v>
      </c>
      <c r="CY136" s="228">
        <v>4</v>
      </c>
      <c r="CZ136" s="229">
        <v>1.6999999999999999E-3</v>
      </c>
      <c r="DA136" s="228">
        <v>41.38</v>
      </c>
      <c r="DB136" s="228">
        <v>41.33</v>
      </c>
      <c r="DC136" s="228">
        <v>0.05</v>
      </c>
      <c r="DD136" s="228">
        <v>0.05</v>
      </c>
      <c r="DE136" s="228">
        <v>42.94</v>
      </c>
      <c r="DF136" s="228">
        <v>43.02</v>
      </c>
      <c r="DG136" s="228">
        <v>-1.56</v>
      </c>
      <c r="DH136" s="228">
        <v>-0.08</v>
      </c>
      <c r="DI136" s="228">
        <v>40.44</v>
      </c>
      <c r="DJ136" s="228">
        <v>40.369999999999997</v>
      </c>
      <c r="DK136" s="228">
        <v>7.0000000000000007E-2</v>
      </c>
      <c r="DL136" s="228">
        <v>7.0000000000000007E-2</v>
      </c>
      <c r="DM136" s="228">
        <v>42.86</v>
      </c>
      <c r="DN136" s="228">
        <v>43.08</v>
      </c>
      <c r="DO136" s="228">
        <v>-0.22</v>
      </c>
      <c r="DP136" s="228">
        <v>-0.22</v>
      </c>
      <c r="DQ136" s="228">
        <v>0.8</v>
      </c>
      <c r="DR136" s="228">
        <v>0.82</v>
      </c>
      <c r="DS136" s="228">
        <v>-0.02</v>
      </c>
      <c r="DT136" s="229">
        <v>-2.4400000000000002E-2</v>
      </c>
      <c r="DU136" s="228">
        <v>120</v>
      </c>
      <c r="DV136" s="228">
        <v>105</v>
      </c>
      <c r="DW136" s="228">
        <v>0.64</v>
      </c>
      <c r="DX136" s="228">
        <v>0.55000000000000004</v>
      </c>
      <c r="DY136" s="228">
        <v>0.09</v>
      </c>
      <c r="DZ136" s="229">
        <v>0.1636</v>
      </c>
      <c r="EA136" s="229">
        <v>2.3699999999999999E-2</v>
      </c>
      <c r="EB136" s="230">
        <v>3191850</v>
      </c>
      <c r="EC136" s="229">
        <v>5.5999999999999999E-3</v>
      </c>
      <c r="ED136" s="229">
        <v>2.3699999999999999E-2</v>
      </c>
      <c r="EE136" s="228">
        <v>0.35</v>
      </c>
      <c r="EF136" s="229">
        <v>3.0000000000000001E-3</v>
      </c>
      <c r="EG136" s="230">
        <v>14338789</v>
      </c>
      <c r="EH136" s="230">
        <v>16607333</v>
      </c>
      <c r="EI136" s="229">
        <v>-0.1366</v>
      </c>
      <c r="EJ136" s="229">
        <v>0.51200000000000001</v>
      </c>
      <c r="EK136" s="228">
        <v>246.64</v>
      </c>
      <c r="EL136" s="228">
        <v>145.97</v>
      </c>
      <c r="EM136" s="228">
        <v>278.20999999999998</v>
      </c>
      <c r="EN136" s="228">
        <v>48.64</v>
      </c>
      <c r="EO136" s="228">
        <v>670.83</v>
      </c>
      <c r="EP136" s="231">
        <v>2113.46</v>
      </c>
      <c r="EQ136" s="231">
        <v>-1442.63</v>
      </c>
      <c r="ER136" s="229">
        <v>-0.68259999999999998</v>
      </c>
      <c r="ES136" s="228">
        <v>357.14</v>
      </c>
      <c r="ET136" s="228">
        <v>260.99</v>
      </c>
      <c r="EU136" s="231">
        <v>1712.52</v>
      </c>
      <c r="EV136" s="231">
        <v>588447385</v>
      </c>
      <c r="EW136" s="231">
        <v>2330.66</v>
      </c>
      <c r="EX136" s="231">
        <v>2345.7399999999998</v>
      </c>
      <c r="EY136" s="228">
        <v>-15.08</v>
      </c>
      <c r="EZ136" s="229">
        <v>-6.4000000000000003E-3</v>
      </c>
      <c r="FA136" s="229">
        <v>0.33929999999999999</v>
      </c>
      <c r="FB136" s="227" t="s">
        <v>566</v>
      </c>
      <c r="FC136">
        <f t="shared" si="2"/>
        <v>40</v>
      </c>
    </row>
    <row r="137" spans="1:159" ht="17.25" thickBot="1" x14ac:dyDescent="0.3">
      <c r="A137" s="226">
        <v>46121</v>
      </c>
      <c r="B137" s="227" t="s">
        <v>702</v>
      </c>
      <c r="C137" s="227" t="s">
        <v>699</v>
      </c>
      <c r="D137" s="228">
        <v>775</v>
      </c>
      <c r="E137" s="228">
        <v>19</v>
      </c>
      <c r="F137" s="228">
        <v>764.85</v>
      </c>
      <c r="G137" s="228">
        <v>761.1</v>
      </c>
      <c r="H137" s="228">
        <v>3.75</v>
      </c>
      <c r="I137" s="229">
        <v>4.8999999999999998E-3</v>
      </c>
      <c r="J137" s="228">
        <v>761.15</v>
      </c>
      <c r="K137" s="228">
        <v>757.4</v>
      </c>
      <c r="L137" s="228">
        <v>3.75</v>
      </c>
      <c r="M137" s="229">
        <v>5.0000000000000001E-3</v>
      </c>
      <c r="N137" s="228">
        <v>764.85</v>
      </c>
      <c r="O137" s="228">
        <v>761.1</v>
      </c>
      <c r="P137" s="228">
        <v>3.75</v>
      </c>
      <c r="Q137" s="229">
        <v>4.8999999999999998E-3</v>
      </c>
      <c r="R137" s="228">
        <v>765.35</v>
      </c>
      <c r="S137" s="228">
        <v>761.05</v>
      </c>
      <c r="T137" s="228">
        <v>4.3</v>
      </c>
      <c r="U137" s="229">
        <v>5.7000000000000002E-3</v>
      </c>
      <c r="V137" s="228">
        <v>765</v>
      </c>
      <c r="W137" s="228">
        <v>763.55</v>
      </c>
      <c r="X137" s="228">
        <v>1.45</v>
      </c>
      <c r="Y137" s="229">
        <v>1.9E-3</v>
      </c>
      <c r="Z137" s="228">
        <v>3.7</v>
      </c>
      <c r="AA137" s="228">
        <v>3.7</v>
      </c>
      <c r="AB137" s="228">
        <v>0</v>
      </c>
      <c r="AC137" s="229">
        <v>4.8999999999999998E-3</v>
      </c>
      <c r="AD137" s="228">
        <v>3.7</v>
      </c>
      <c r="AE137" s="228">
        <v>3.7</v>
      </c>
      <c r="AF137" s="228">
        <v>0</v>
      </c>
      <c r="AG137" s="229">
        <v>4.8999999999999998E-3</v>
      </c>
      <c r="AH137" s="228">
        <v>4.2</v>
      </c>
      <c r="AI137" s="228">
        <v>3.65</v>
      </c>
      <c r="AJ137" s="228">
        <v>0.55000000000000004</v>
      </c>
      <c r="AK137" s="229">
        <v>5.4999999999999997E-3</v>
      </c>
      <c r="AL137" s="228">
        <v>3.85</v>
      </c>
      <c r="AM137" s="228">
        <v>6.15</v>
      </c>
      <c r="AN137" s="228">
        <v>-2.2999999999999998</v>
      </c>
      <c r="AO137" s="229">
        <v>5.1000000000000004E-3</v>
      </c>
      <c r="AP137" s="228">
        <v>770.35</v>
      </c>
      <c r="AQ137" s="228">
        <v>768.82</v>
      </c>
      <c r="AR137" s="228">
        <v>0</v>
      </c>
      <c r="AS137" s="228">
        <v>53</v>
      </c>
      <c r="AT137" s="228">
        <v>54</v>
      </c>
      <c r="AU137" s="228">
        <v>-1</v>
      </c>
      <c r="AV137" s="229">
        <v>-2.7300000000000001E-2</v>
      </c>
      <c r="AW137" s="228">
        <v>51</v>
      </c>
      <c r="AX137" s="228">
        <v>52</v>
      </c>
      <c r="AY137" s="228">
        <v>-1</v>
      </c>
      <c r="AZ137" s="229">
        <v>-2.4899999999999999E-2</v>
      </c>
      <c r="BA137" s="228">
        <v>1</v>
      </c>
      <c r="BB137" s="228">
        <v>2</v>
      </c>
      <c r="BC137" s="228">
        <v>-1</v>
      </c>
      <c r="BD137" s="229">
        <v>-0.33329999999999999</v>
      </c>
      <c r="BE137" s="228">
        <v>1</v>
      </c>
      <c r="BF137" s="228">
        <v>0</v>
      </c>
      <c r="BG137" s="228">
        <v>0</v>
      </c>
      <c r="BH137" s="229">
        <v>1.2</v>
      </c>
      <c r="BI137" s="228">
        <v>179</v>
      </c>
      <c r="BJ137" s="228">
        <v>98</v>
      </c>
      <c r="BK137" s="228">
        <v>81</v>
      </c>
      <c r="BL137" s="229">
        <v>0.83230000000000004</v>
      </c>
      <c r="BM137" s="228">
        <v>175</v>
      </c>
      <c r="BN137" s="228">
        <v>149</v>
      </c>
      <c r="BO137" s="228">
        <v>26</v>
      </c>
      <c r="BP137" s="229">
        <v>0.17780000000000001</v>
      </c>
      <c r="BQ137" s="228">
        <v>407</v>
      </c>
      <c r="BR137" s="228">
        <v>301</v>
      </c>
      <c r="BS137" s="228">
        <v>106</v>
      </c>
      <c r="BT137" s="229">
        <v>0.35320000000000001</v>
      </c>
      <c r="BU137" s="230">
        <v>1553948</v>
      </c>
      <c r="BV137" s="230">
        <v>1665660</v>
      </c>
      <c r="BW137" s="230">
        <v>-111712</v>
      </c>
      <c r="BX137" s="229">
        <v>-6.7100000000000007E-2</v>
      </c>
      <c r="BY137" s="228">
        <v>79</v>
      </c>
      <c r="BZ137" s="228">
        <v>67</v>
      </c>
      <c r="CA137" s="228">
        <v>12</v>
      </c>
      <c r="CB137" s="229">
        <v>0.18329999999999999</v>
      </c>
      <c r="CC137" s="228">
        <v>76</v>
      </c>
      <c r="CD137" s="228">
        <v>65</v>
      </c>
      <c r="CE137" s="228">
        <v>12</v>
      </c>
      <c r="CF137" s="229">
        <v>0.1827</v>
      </c>
      <c r="CG137" s="228">
        <v>1</v>
      </c>
      <c r="CH137" s="228">
        <v>1</v>
      </c>
      <c r="CI137" s="228">
        <v>0</v>
      </c>
      <c r="CJ137" s="229">
        <v>0.1429</v>
      </c>
      <c r="CK137" s="228">
        <v>1</v>
      </c>
      <c r="CL137" s="228">
        <v>1</v>
      </c>
      <c r="CM137" s="228">
        <v>0</v>
      </c>
      <c r="CN137" s="229">
        <v>0.28570000000000001</v>
      </c>
      <c r="CO137" s="228">
        <v>75</v>
      </c>
      <c r="CP137" s="228">
        <v>58</v>
      </c>
      <c r="CQ137" s="228">
        <v>17</v>
      </c>
      <c r="CR137" s="229">
        <v>0.28760000000000002</v>
      </c>
      <c r="CS137" s="228">
        <v>65</v>
      </c>
      <c r="CT137" s="228">
        <v>55</v>
      </c>
      <c r="CU137" s="228">
        <v>10</v>
      </c>
      <c r="CV137" s="229">
        <v>0.19</v>
      </c>
      <c r="CW137" s="228">
        <v>219</v>
      </c>
      <c r="CX137" s="228">
        <v>180</v>
      </c>
      <c r="CY137" s="228">
        <v>39</v>
      </c>
      <c r="CZ137" s="229">
        <v>0.21920000000000001</v>
      </c>
      <c r="DA137" s="228">
        <v>44.73</v>
      </c>
      <c r="DB137" s="228">
        <v>44.9</v>
      </c>
      <c r="DC137" s="228">
        <v>-0.17</v>
      </c>
      <c r="DD137" s="228">
        <v>-0.17</v>
      </c>
      <c r="DE137" s="228">
        <v>54.67</v>
      </c>
      <c r="DF137" s="228">
        <v>54.8</v>
      </c>
      <c r="DG137" s="228">
        <v>-9.94</v>
      </c>
      <c r="DH137" s="228">
        <v>-0.13</v>
      </c>
      <c r="DI137" s="228">
        <v>41.89</v>
      </c>
      <c r="DJ137" s="228">
        <v>41.09</v>
      </c>
      <c r="DK137" s="228">
        <v>0.8</v>
      </c>
      <c r="DL137" s="228">
        <v>0.8</v>
      </c>
      <c r="DM137" s="228">
        <v>47.63</v>
      </c>
      <c r="DN137" s="228">
        <v>47.4</v>
      </c>
      <c r="DO137" s="228">
        <v>0.23</v>
      </c>
      <c r="DP137" s="228">
        <v>0.23</v>
      </c>
      <c r="DQ137" s="228">
        <v>0.87</v>
      </c>
      <c r="DR137" s="228">
        <v>0.94</v>
      </c>
      <c r="DS137" s="228">
        <v>-7.0000000000000007E-2</v>
      </c>
      <c r="DT137" s="229">
        <v>-7.4499999999999997E-2</v>
      </c>
      <c r="DU137" s="228">
        <v>680</v>
      </c>
      <c r="DV137" s="228">
        <v>680</v>
      </c>
      <c r="DW137" s="228">
        <v>0.98</v>
      </c>
      <c r="DX137" s="228">
        <v>1.52</v>
      </c>
      <c r="DY137" s="228">
        <v>-0.54</v>
      </c>
      <c r="DZ137" s="229">
        <v>-0.3553</v>
      </c>
      <c r="EA137" s="229">
        <v>3.1600000000000003E-2</v>
      </c>
      <c r="EB137" s="230">
        <v>27125</v>
      </c>
      <c r="EC137" s="229">
        <v>6.9999999999999999E-4</v>
      </c>
      <c r="ED137" s="229">
        <v>3.1600000000000003E-2</v>
      </c>
      <c r="EE137" s="228">
        <v>-1.53</v>
      </c>
      <c r="EF137" s="229">
        <v>-2E-3</v>
      </c>
      <c r="EG137" s="230">
        <v>570253</v>
      </c>
      <c r="EH137" s="230">
        <v>669945</v>
      </c>
      <c r="EI137" s="229">
        <v>-0.14879999999999999</v>
      </c>
      <c r="EJ137" s="229">
        <v>0.36699999999999999</v>
      </c>
      <c r="EK137" s="228">
        <v>193.42</v>
      </c>
      <c r="EL137" s="228">
        <v>153.58000000000001</v>
      </c>
      <c r="EM137" s="228">
        <v>53.19</v>
      </c>
      <c r="EN137" s="228">
        <v>6.8</v>
      </c>
      <c r="EO137" s="228">
        <v>400.19</v>
      </c>
      <c r="EP137" s="228">
        <v>281.33999999999997</v>
      </c>
      <c r="EQ137" s="228">
        <v>118.85</v>
      </c>
      <c r="ER137" s="229">
        <v>0.4224</v>
      </c>
      <c r="ES137" s="228">
        <v>73.55</v>
      </c>
      <c r="ET137" s="228">
        <v>57.34</v>
      </c>
      <c r="EU137" s="228">
        <v>78.84</v>
      </c>
      <c r="EV137" s="231">
        <v>29196111</v>
      </c>
      <c r="EW137" s="228">
        <v>209.73</v>
      </c>
      <c r="EX137" s="228">
        <v>168.82</v>
      </c>
      <c r="EY137" s="228">
        <v>40.909999999999997</v>
      </c>
      <c r="EZ137" s="229">
        <v>0.24229999999999999</v>
      </c>
      <c r="FA137" s="229">
        <v>9.8000000000000004E-2</v>
      </c>
      <c r="FB137" s="227" t="s">
        <v>555</v>
      </c>
      <c r="FC137">
        <f t="shared" si="2"/>
        <v>3</v>
      </c>
    </row>
    <row r="138" spans="1:159" ht="17.25" thickBot="1" x14ac:dyDescent="0.3">
      <c r="A138" s="226">
        <v>46121</v>
      </c>
      <c r="B138" s="227" t="s">
        <v>221</v>
      </c>
      <c r="C138" s="227" t="s">
        <v>487</v>
      </c>
      <c r="D138" s="228">
        <v>275</v>
      </c>
      <c r="E138" s="228">
        <v>19</v>
      </c>
      <c r="F138" s="231">
        <v>2395.6</v>
      </c>
      <c r="G138" s="231">
        <v>2360.6</v>
      </c>
      <c r="H138" s="228">
        <v>35</v>
      </c>
      <c r="I138" s="229">
        <v>1.4800000000000001E-2</v>
      </c>
      <c r="J138" s="231">
        <v>2385.3000000000002</v>
      </c>
      <c r="K138" s="231">
        <v>2350.8000000000002</v>
      </c>
      <c r="L138" s="228">
        <v>34.5</v>
      </c>
      <c r="M138" s="229">
        <v>1.47E-2</v>
      </c>
      <c r="N138" s="231">
        <v>2395.6</v>
      </c>
      <c r="O138" s="231">
        <v>2360.6</v>
      </c>
      <c r="P138" s="228">
        <v>35</v>
      </c>
      <c r="Q138" s="229">
        <v>1.4800000000000001E-2</v>
      </c>
      <c r="R138" s="231">
        <v>2407.1</v>
      </c>
      <c r="S138" s="231">
        <v>2371.6999999999998</v>
      </c>
      <c r="T138" s="228">
        <v>35.4</v>
      </c>
      <c r="U138" s="229">
        <v>1.49E-2</v>
      </c>
      <c r="V138" s="231">
        <v>2425.4</v>
      </c>
      <c r="W138" s="231">
        <v>2388</v>
      </c>
      <c r="X138" s="228">
        <v>37.4</v>
      </c>
      <c r="Y138" s="229">
        <v>1.5699999999999999E-2</v>
      </c>
      <c r="Z138" s="228">
        <v>10.3</v>
      </c>
      <c r="AA138" s="228">
        <v>9.8000000000000007</v>
      </c>
      <c r="AB138" s="228">
        <v>0.5</v>
      </c>
      <c r="AC138" s="229">
        <v>4.3E-3</v>
      </c>
      <c r="AD138" s="228">
        <v>10.3</v>
      </c>
      <c r="AE138" s="228">
        <v>9.8000000000000007</v>
      </c>
      <c r="AF138" s="228">
        <v>0.5</v>
      </c>
      <c r="AG138" s="229">
        <v>4.3E-3</v>
      </c>
      <c r="AH138" s="228">
        <v>21.8</v>
      </c>
      <c r="AI138" s="228">
        <v>20.9</v>
      </c>
      <c r="AJ138" s="228">
        <v>0.9</v>
      </c>
      <c r="AK138" s="229">
        <v>9.1000000000000004E-3</v>
      </c>
      <c r="AL138" s="228">
        <v>40.1</v>
      </c>
      <c r="AM138" s="228">
        <v>37.200000000000003</v>
      </c>
      <c r="AN138" s="228">
        <v>2.9</v>
      </c>
      <c r="AO138" s="229">
        <v>1.6799999999999999E-2</v>
      </c>
      <c r="AP138" s="231">
        <v>2374.06</v>
      </c>
      <c r="AQ138" s="231">
        <v>2382.0500000000002</v>
      </c>
      <c r="AR138" s="228">
        <v>0</v>
      </c>
      <c r="AS138" s="228">
        <v>284</v>
      </c>
      <c r="AT138" s="228">
        <v>266</v>
      </c>
      <c r="AU138" s="228">
        <v>18</v>
      </c>
      <c r="AV138" s="229">
        <v>6.7100000000000007E-2</v>
      </c>
      <c r="AW138" s="228">
        <v>276</v>
      </c>
      <c r="AX138" s="228">
        <v>256</v>
      </c>
      <c r="AY138" s="228">
        <v>20</v>
      </c>
      <c r="AZ138" s="229">
        <v>7.7399999999999997E-2</v>
      </c>
      <c r="BA138" s="228">
        <v>7</v>
      </c>
      <c r="BB138" s="228">
        <v>9</v>
      </c>
      <c r="BC138" s="228">
        <v>-2</v>
      </c>
      <c r="BD138" s="229">
        <v>-0.1971</v>
      </c>
      <c r="BE138" s="228">
        <v>1</v>
      </c>
      <c r="BF138" s="228">
        <v>1</v>
      </c>
      <c r="BG138" s="228">
        <v>0</v>
      </c>
      <c r="BH138" s="229">
        <v>-0.2727</v>
      </c>
      <c r="BI138" s="228">
        <v>420</v>
      </c>
      <c r="BJ138" s="228">
        <v>547</v>
      </c>
      <c r="BK138" s="228">
        <v>-127</v>
      </c>
      <c r="BL138" s="229">
        <v>-0.23269999999999999</v>
      </c>
      <c r="BM138" s="228">
        <v>303</v>
      </c>
      <c r="BN138" s="228">
        <v>297</v>
      </c>
      <c r="BO138" s="228">
        <v>6</v>
      </c>
      <c r="BP138" s="229">
        <v>2.18E-2</v>
      </c>
      <c r="BQ138" s="230">
        <v>1007</v>
      </c>
      <c r="BR138" s="230">
        <v>1110</v>
      </c>
      <c r="BS138" s="228">
        <v>-103</v>
      </c>
      <c r="BT138" s="229">
        <v>-9.2799999999999994E-2</v>
      </c>
      <c r="BU138" s="230">
        <v>705019</v>
      </c>
      <c r="BV138" s="230">
        <v>782585</v>
      </c>
      <c r="BW138" s="230">
        <v>-77566</v>
      </c>
      <c r="BX138" s="229">
        <v>-9.9099999999999994E-2</v>
      </c>
      <c r="BY138" s="230">
        <v>1165</v>
      </c>
      <c r="BZ138" s="230">
        <v>1177</v>
      </c>
      <c r="CA138" s="228">
        <v>-12</v>
      </c>
      <c r="CB138" s="229">
        <v>-1.0200000000000001E-2</v>
      </c>
      <c r="CC138" s="230">
        <v>1152</v>
      </c>
      <c r="CD138" s="230">
        <v>1165</v>
      </c>
      <c r="CE138" s="228">
        <v>-12</v>
      </c>
      <c r="CF138" s="229">
        <v>-1.0500000000000001E-2</v>
      </c>
      <c r="CG138" s="228">
        <v>12</v>
      </c>
      <c r="CH138" s="228">
        <v>12</v>
      </c>
      <c r="CI138" s="228">
        <v>0</v>
      </c>
      <c r="CJ138" s="229">
        <v>1.7100000000000001E-2</v>
      </c>
      <c r="CK138" s="228">
        <v>1</v>
      </c>
      <c r="CL138" s="228">
        <v>1</v>
      </c>
      <c r="CM138" s="228">
        <v>0</v>
      </c>
      <c r="CN138" s="229">
        <v>0</v>
      </c>
      <c r="CO138" s="228">
        <v>217</v>
      </c>
      <c r="CP138" s="228">
        <v>197</v>
      </c>
      <c r="CQ138" s="228">
        <v>20</v>
      </c>
      <c r="CR138" s="229">
        <v>9.98E-2</v>
      </c>
      <c r="CS138" s="228">
        <v>197</v>
      </c>
      <c r="CT138" s="228">
        <v>155</v>
      </c>
      <c r="CU138" s="228">
        <v>43</v>
      </c>
      <c r="CV138" s="229">
        <v>0.27529999999999999</v>
      </c>
      <c r="CW138" s="230">
        <v>1580</v>
      </c>
      <c r="CX138" s="230">
        <v>1529</v>
      </c>
      <c r="CY138" s="228">
        <v>50</v>
      </c>
      <c r="CZ138" s="229">
        <v>3.2899999999999999E-2</v>
      </c>
      <c r="DA138" s="228">
        <v>38.06</v>
      </c>
      <c r="DB138" s="228">
        <v>36.909999999999997</v>
      </c>
      <c r="DC138" s="228">
        <v>1.1499999999999999</v>
      </c>
      <c r="DD138" s="228">
        <v>1.1499999999999999</v>
      </c>
      <c r="DE138" s="228">
        <v>36.29</v>
      </c>
      <c r="DF138" s="228">
        <v>36.32</v>
      </c>
      <c r="DG138" s="228">
        <v>1.77</v>
      </c>
      <c r="DH138" s="228">
        <v>-0.03</v>
      </c>
      <c r="DI138" s="228">
        <v>37.340000000000003</v>
      </c>
      <c r="DJ138" s="228">
        <v>36.17</v>
      </c>
      <c r="DK138" s="228">
        <v>1.17</v>
      </c>
      <c r="DL138" s="228">
        <v>1.17</v>
      </c>
      <c r="DM138" s="228">
        <v>39.06</v>
      </c>
      <c r="DN138" s="228">
        <v>38.29</v>
      </c>
      <c r="DO138" s="228">
        <v>0.77</v>
      </c>
      <c r="DP138" s="228">
        <v>0.77</v>
      </c>
      <c r="DQ138" s="228">
        <v>0.91</v>
      </c>
      <c r="DR138" s="228">
        <v>0.78</v>
      </c>
      <c r="DS138" s="228">
        <v>0.13</v>
      </c>
      <c r="DT138" s="229">
        <v>0.16669999999999999</v>
      </c>
      <c r="DU138" s="231">
        <v>2400</v>
      </c>
      <c r="DV138" s="231">
        <v>2300</v>
      </c>
      <c r="DW138" s="228">
        <v>0.72</v>
      </c>
      <c r="DX138" s="228">
        <v>0.54</v>
      </c>
      <c r="DY138" s="228">
        <v>0.18</v>
      </c>
      <c r="DZ138" s="229">
        <v>0.33329999999999999</v>
      </c>
      <c r="EA138" s="229">
        <v>1.0800000000000001E-2</v>
      </c>
      <c r="EB138" s="230">
        <v>51700</v>
      </c>
      <c r="EC138" s="229">
        <v>4.7999999999999996E-3</v>
      </c>
      <c r="ED138" s="229">
        <v>1.0800000000000001E-2</v>
      </c>
      <c r="EE138" s="228">
        <v>7.99</v>
      </c>
      <c r="EF138" s="229">
        <v>3.3999999999999998E-3</v>
      </c>
      <c r="EG138" s="230">
        <v>309727</v>
      </c>
      <c r="EH138" s="230">
        <v>343372</v>
      </c>
      <c r="EI138" s="229">
        <v>-9.8000000000000004E-2</v>
      </c>
      <c r="EJ138" s="229">
        <v>0.43930000000000002</v>
      </c>
      <c r="EK138" s="228">
        <v>436.96</v>
      </c>
      <c r="EL138" s="228">
        <v>294.86</v>
      </c>
      <c r="EM138" s="228">
        <v>281.35000000000002</v>
      </c>
      <c r="EN138" s="228">
        <v>37.15</v>
      </c>
      <c r="EO138" s="231">
        <v>1013.17</v>
      </c>
      <c r="EP138" s="231">
        <v>1106.17</v>
      </c>
      <c r="EQ138" s="228">
        <v>-93</v>
      </c>
      <c r="ER138" s="229">
        <v>-8.4099999999999994E-2</v>
      </c>
      <c r="ES138" s="228">
        <v>213.83</v>
      </c>
      <c r="ET138" s="228">
        <v>182.43</v>
      </c>
      <c r="EU138" s="231">
        <v>1165.07</v>
      </c>
      <c r="EV138" s="231">
        <v>19838356</v>
      </c>
      <c r="EW138" s="231">
        <v>1561.33</v>
      </c>
      <c r="EX138" s="231">
        <v>1493.25</v>
      </c>
      <c r="EY138" s="228">
        <v>68.08</v>
      </c>
      <c r="EZ138" s="229">
        <v>4.5600000000000002E-2</v>
      </c>
      <c r="FA138" s="229">
        <v>0.33239999999999997</v>
      </c>
      <c r="FB138" s="227" t="s">
        <v>694</v>
      </c>
      <c r="FC138">
        <f t="shared" si="2"/>
        <v>13</v>
      </c>
    </row>
    <row r="139" spans="1:159" ht="17.25" thickBot="1" x14ac:dyDescent="0.3">
      <c r="A139" s="226">
        <v>46121</v>
      </c>
      <c r="B139" s="227" t="s">
        <v>175</v>
      </c>
      <c r="C139" s="227" t="s">
        <v>262</v>
      </c>
      <c r="D139" s="228">
        <v>275</v>
      </c>
      <c r="E139" s="228">
        <v>19</v>
      </c>
      <c r="F139" s="231">
        <v>3458.3</v>
      </c>
      <c r="G139" s="231">
        <v>3484.5</v>
      </c>
      <c r="H139" s="228">
        <v>-26.2</v>
      </c>
      <c r="I139" s="229">
        <v>-7.4999999999999997E-3</v>
      </c>
      <c r="J139" s="231">
        <v>3475.2</v>
      </c>
      <c r="K139" s="231">
        <v>3503.3</v>
      </c>
      <c r="L139" s="228">
        <v>-28.1</v>
      </c>
      <c r="M139" s="229">
        <v>-8.0000000000000002E-3</v>
      </c>
      <c r="N139" s="231">
        <v>3458.3</v>
      </c>
      <c r="O139" s="231">
        <v>3484.5</v>
      </c>
      <c r="P139" s="228">
        <v>-26.2</v>
      </c>
      <c r="Q139" s="229">
        <v>-7.4999999999999997E-3</v>
      </c>
      <c r="R139" s="231">
        <v>3462.1</v>
      </c>
      <c r="S139" s="231">
        <v>3490.2</v>
      </c>
      <c r="T139" s="228">
        <v>-28.1</v>
      </c>
      <c r="U139" s="229">
        <v>-8.0999999999999996E-3</v>
      </c>
      <c r="V139" s="231">
        <v>3457.2</v>
      </c>
      <c r="W139" s="231">
        <v>3498.5</v>
      </c>
      <c r="X139" s="228">
        <v>-41.3</v>
      </c>
      <c r="Y139" s="229">
        <v>-1.18E-2</v>
      </c>
      <c r="Z139" s="228">
        <v>-16.899999999999999</v>
      </c>
      <c r="AA139" s="228">
        <v>-18.8</v>
      </c>
      <c r="AB139" s="228">
        <v>1.9</v>
      </c>
      <c r="AC139" s="229">
        <v>-4.8999999999999998E-3</v>
      </c>
      <c r="AD139" s="228">
        <v>-16.899999999999999</v>
      </c>
      <c r="AE139" s="228">
        <v>-18.8</v>
      </c>
      <c r="AF139" s="228">
        <v>1.9</v>
      </c>
      <c r="AG139" s="229">
        <v>-4.8999999999999998E-3</v>
      </c>
      <c r="AH139" s="228">
        <v>-13.1</v>
      </c>
      <c r="AI139" s="228">
        <v>-13.1</v>
      </c>
      <c r="AJ139" s="228">
        <v>0</v>
      </c>
      <c r="AK139" s="229">
        <v>-3.8E-3</v>
      </c>
      <c r="AL139" s="228">
        <v>-18</v>
      </c>
      <c r="AM139" s="228">
        <v>-4.8</v>
      </c>
      <c r="AN139" s="228">
        <v>-13.2</v>
      </c>
      <c r="AO139" s="229">
        <v>-5.1999999999999998E-3</v>
      </c>
      <c r="AP139" s="231">
        <v>3461.36</v>
      </c>
      <c r="AQ139" s="231">
        <v>3460.58</v>
      </c>
      <c r="AR139" s="228">
        <v>0</v>
      </c>
      <c r="AS139" s="228">
        <v>261</v>
      </c>
      <c r="AT139" s="228">
        <v>567</v>
      </c>
      <c r="AU139" s="228">
        <v>-305</v>
      </c>
      <c r="AV139" s="229">
        <v>-0.53859999999999997</v>
      </c>
      <c r="AW139" s="228">
        <v>245</v>
      </c>
      <c r="AX139" s="228">
        <v>537</v>
      </c>
      <c r="AY139" s="228">
        <v>-292</v>
      </c>
      <c r="AZ139" s="229">
        <v>-0.54339999999999999</v>
      </c>
      <c r="BA139" s="228">
        <v>14</v>
      </c>
      <c r="BB139" s="228">
        <v>27</v>
      </c>
      <c r="BC139" s="228">
        <v>-13</v>
      </c>
      <c r="BD139" s="229">
        <v>-0.47499999999999998</v>
      </c>
      <c r="BE139" s="228">
        <v>2</v>
      </c>
      <c r="BF139" s="228">
        <v>3</v>
      </c>
      <c r="BG139" s="228">
        <v>-1</v>
      </c>
      <c r="BH139" s="229">
        <v>-0.21429999999999999</v>
      </c>
      <c r="BI139" s="228">
        <v>759</v>
      </c>
      <c r="BJ139" s="230">
        <v>1956</v>
      </c>
      <c r="BK139" s="230">
        <v>-1197</v>
      </c>
      <c r="BL139" s="229">
        <v>-0.6119</v>
      </c>
      <c r="BM139" s="228">
        <v>303</v>
      </c>
      <c r="BN139" s="228">
        <v>645</v>
      </c>
      <c r="BO139" s="228">
        <v>-343</v>
      </c>
      <c r="BP139" s="229">
        <v>-0.53110000000000002</v>
      </c>
      <c r="BQ139" s="230">
        <v>1323</v>
      </c>
      <c r="BR139" s="230">
        <v>3168</v>
      </c>
      <c r="BS139" s="230">
        <v>-1845</v>
      </c>
      <c r="BT139" s="229">
        <v>-0.58230000000000004</v>
      </c>
      <c r="BU139" s="230">
        <v>812725</v>
      </c>
      <c r="BV139" s="230">
        <v>1345319</v>
      </c>
      <c r="BW139" s="230">
        <v>-532594</v>
      </c>
      <c r="BX139" s="229">
        <v>-0.39589999999999997</v>
      </c>
      <c r="BY139" s="230">
        <v>1227</v>
      </c>
      <c r="BZ139" s="230">
        <v>1228</v>
      </c>
      <c r="CA139" s="228">
        <v>-1</v>
      </c>
      <c r="CB139" s="229">
        <v>-6.9999999999999999E-4</v>
      </c>
      <c r="CC139" s="230">
        <v>1194</v>
      </c>
      <c r="CD139" s="230">
        <v>1196</v>
      </c>
      <c r="CE139" s="228">
        <v>-2</v>
      </c>
      <c r="CF139" s="229">
        <v>-1.2999999999999999E-3</v>
      </c>
      <c r="CG139" s="228">
        <v>29</v>
      </c>
      <c r="CH139" s="228">
        <v>28</v>
      </c>
      <c r="CI139" s="228">
        <v>1</v>
      </c>
      <c r="CJ139" s="229">
        <v>2.3900000000000001E-2</v>
      </c>
      <c r="CK139" s="228">
        <v>4</v>
      </c>
      <c r="CL139" s="228">
        <v>4</v>
      </c>
      <c r="CM139" s="228">
        <v>0</v>
      </c>
      <c r="CN139" s="229">
        <v>0</v>
      </c>
      <c r="CO139" s="228">
        <v>637</v>
      </c>
      <c r="CP139" s="228">
        <v>653</v>
      </c>
      <c r="CQ139" s="228">
        <v>-16</v>
      </c>
      <c r="CR139" s="229">
        <v>-2.4899999999999999E-2</v>
      </c>
      <c r="CS139" s="228">
        <v>439</v>
      </c>
      <c r="CT139" s="228">
        <v>433</v>
      </c>
      <c r="CU139" s="228">
        <v>6</v>
      </c>
      <c r="CV139" s="229">
        <v>1.4500000000000001E-2</v>
      </c>
      <c r="CW139" s="230">
        <v>2303</v>
      </c>
      <c r="CX139" s="230">
        <v>2314</v>
      </c>
      <c r="CY139" s="228">
        <v>-11</v>
      </c>
      <c r="CZ139" s="229">
        <v>-4.7000000000000002E-3</v>
      </c>
      <c r="DA139" s="228">
        <v>38.32</v>
      </c>
      <c r="DB139" s="228">
        <v>37.520000000000003</v>
      </c>
      <c r="DC139" s="228">
        <v>0.8</v>
      </c>
      <c r="DD139" s="228">
        <v>0.8</v>
      </c>
      <c r="DE139" s="228">
        <v>44.64</v>
      </c>
      <c r="DF139" s="228">
        <v>44.74</v>
      </c>
      <c r="DG139" s="228">
        <v>-6.32</v>
      </c>
      <c r="DH139" s="228">
        <v>-0.1</v>
      </c>
      <c r="DI139" s="228">
        <v>37.07</v>
      </c>
      <c r="DJ139" s="228">
        <v>35.94</v>
      </c>
      <c r="DK139" s="228">
        <v>1.1299999999999999</v>
      </c>
      <c r="DL139" s="228">
        <v>1.1299999999999999</v>
      </c>
      <c r="DM139" s="228">
        <v>41.46</v>
      </c>
      <c r="DN139" s="228">
        <v>42.31</v>
      </c>
      <c r="DO139" s="228">
        <v>-0.85</v>
      </c>
      <c r="DP139" s="228">
        <v>-0.85</v>
      </c>
      <c r="DQ139" s="228">
        <v>0.69</v>
      </c>
      <c r="DR139" s="228">
        <v>0.66</v>
      </c>
      <c r="DS139" s="228">
        <v>0.03</v>
      </c>
      <c r="DT139" s="229">
        <v>4.5499999999999999E-2</v>
      </c>
      <c r="DU139" s="231">
        <v>4000</v>
      </c>
      <c r="DV139" s="231">
        <v>3000</v>
      </c>
      <c r="DW139" s="228">
        <v>0.4</v>
      </c>
      <c r="DX139" s="228">
        <v>0.33</v>
      </c>
      <c r="DY139" s="228">
        <v>7.0000000000000007E-2</v>
      </c>
      <c r="DZ139" s="229">
        <v>0.21210000000000001</v>
      </c>
      <c r="EA139" s="229">
        <v>2.6499999999999999E-2</v>
      </c>
      <c r="EB139" s="230">
        <v>92125</v>
      </c>
      <c r="EC139" s="229">
        <v>1.1000000000000001E-3</v>
      </c>
      <c r="ED139" s="229">
        <v>2.6499999999999999E-2</v>
      </c>
      <c r="EE139" s="228">
        <v>-0.78</v>
      </c>
      <c r="EF139" s="229">
        <v>-2.0000000000000001E-4</v>
      </c>
      <c r="EG139" s="230">
        <v>370281</v>
      </c>
      <c r="EH139" s="230">
        <v>592695</v>
      </c>
      <c r="EI139" s="229">
        <v>-0.37530000000000002</v>
      </c>
      <c r="EJ139" s="229">
        <v>0.4556</v>
      </c>
      <c r="EK139" s="228">
        <v>822.53</v>
      </c>
      <c r="EL139" s="228">
        <v>293.62</v>
      </c>
      <c r="EM139" s="228">
        <v>261.67</v>
      </c>
      <c r="EN139" s="228">
        <v>38.99</v>
      </c>
      <c r="EO139" s="231">
        <v>1377.82</v>
      </c>
      <c r="EP139" s="231">
        <v>3265.76</v>
      </c>
      <c r="EQ139" s="231">
        <v>-1887.94</v>
      </c>
      <c r="ER139" s="229">
        <v>-0.57809999999999995</v>
      </c>
      <c r="ES139" s="228">
        <v>652.99</v>
      </c>
      <c r="ET139" s="228">
        <v>403.7</v>
      </c>
      <c r="EU139" s="231">
        <v>1226.8599999999999</v>
      </c>
      <c r="EV139" s="231">
        <v>16050690</v>
      </c>
      <c r="EW139" s="231">
        <v>2283.5500000000002</v>
      </c>
      <c r="EX139" s="231">
        <v>2306.5100000000002</v>
      </c>
      <c r="EY139" s="228">
        <v>-22.96</v>
      </c>
      <c r="EZ139" s="229">
        <v>-0.01</v>
      </c>
      <c r="FA139" s="229">
        <v>0.41489999999999999</v>
      </c>
      <c r="FB139" s="227" t="s">
        <v>567</v>
      </c>
      <c r="FC139">
        <f t="shared" si="2"/>
        <v>33</v>
      </c>
    </row>
    <row r="140" spans="1:159" ht="17.25" thickBot="1" x14ac:dyDescent="0.3">
      <c r="A140" s="226">
        <v>46121</v>
      </c>
      <c r="B140" s="227" t="s">
        <v>702</v>
      </c>
      <c r="C140" s="227" t="s">
        <v>486</v>
      </c>
      <c r="D140" s="228">
        <v>625</v>
      </c>
      <c r="E140" s="228">
        <v>19</v>
      </c>
      <c r="F140" s="228">
        <v>906.95</v>
      </c>
      <c r="G140" s="228">
        <v>901.4</v>
      </c>
      <c r="H140" s="228">
        <v>5.55</v>
      </c>
      <c r="I140" s="229">
        <v>6.1999999999999998E-3</v>
      </c>
      <c r="J140" s="228">
        <v>908.65</v>
      </c>
      <c r="K140" s="228">
        <v>903.2</v>
      </c>
      <c r="L140" s="228">
        <v>5.45</v>
      </c>
      <c r="M140" s="229">
        <v>6.0000000000000001E-3</v>
      </c>
      <c r="N140" s="228">
        <v>906.95</v>
      </c>
      <c r="O140" s="228">
        <v>901.4</v>
      </c>
      <c r="P140" s="228">
        <v>5.55</v>
      </c>
      <c r="Q140" s="229">
        <v>6.1999999999999998E-3</v>
      </c>
      <c r="R140" s="228">
        <v>901.75</v>
      </c>
      <c r="S140" s="228">
        <v>897.55</v>
      </c>
      <c r="T140" s="228">
        <v>4.2</v>
      </c>
      <c r="U140" s="229">
        <v>4.7000000000000002E-3</v>
      </c>
      <c r="V140" s="228">
        <v>886.45</v>
      </c>
      <c r="W140" s="228">
        <v>892</v>
      </c>
      <c r="X140" s="228">
        <v>-5.55</v>
      </c>
      <c r="Y140" s="229">
        <v>-6.1999999999999998E-3</v>
      </c>
      <c r="Z140" s="228">
        <v>-1.7</v>
      </c>
      <c r="AA140" s="228">
        <v>-1.8</v>
      </c>
      <c r="AB140" s="228">
        <v>0.1</v>
      </c>
      <c r="AC140" s="229">
        <v>-1.9E-3</v>
      </c>
      <c r="AD140" s="228">
        <v>-1.7</v>
      </c>
      <c r="AE140" s="228">
        <v>-1.8</v>
      </c>
      <c r="AF140" s="228">
        <v>0.1</v>
      </c>
      <c r="AG140" s="229">
        <v>-1.9E-3</v>
      </c>
      <c r="AH140" s="228">
        <v>-6.9</v>
      </c>
      <c r="AI140" s="228">
        <v>-5.65</v>
      </c>
      <c r="AJ140" s="228">
        <v>-1.25</v>
      </c>
      <c r="AK140" s="229">
        <v>-7.6E-3</v>
      </c>
      <c r="AL140" s="228">
        <v>-22.2</v>
      </c>
      <c r="AM140" s="228">
        <v>-11.2</v>
      </c>
      <c r="AN140" s="228">
        <v>-11</v>
      </c>
      <c r="AO140" s="229">
        <v>-2.4400000000000002E-2</v>
      </c>
      <c r="AP140" s="228">
        <v>898.66</v>
      </c>
      <c r="AQ140" s="228">
        <v>891.31</v>
      </c>
      <c r="AR140" s="228">
        <v>0</v>
      </c>
      <c r="AS140" s="228">
        <v>98</v>
      </c>
      <c r="AT140" s="228">
        <v>127</v>
      </c>
      <c r="AU140" s="228">
        <v>-29</v>
      </c>
      <c r="AV140" s="229">
        <v>-0.22789999999999999</v>
      </c>
      <c r="AW140" s="228">
        <v>89</v>
      </c>
      <c r="AX140" s="228">
        <v>122</v>
      </c>
      <c r="AY140" s="228">
        <v>-33</v>
      </c>
      <c r="AZ140" s="229">
        <v>-0.2707</v>
      </c>
      <c r="BA140" s="228">
        <v>9</v>
      </c>
      <c r="BB140" s="228">
        <v>5</v>
      </c>
      <c r="BC140" s="228">
        <v>4</v>
      </c>
      <c r="BD140" s="229">
        <v>0.74470000000000003</v>
      </c>
      <c r="BE140" s="228">
        <v>0</v>
      </c>
      <c r="BF140" s="228">
        <v>0</v>
      </c>
      <c r="BG140" s="228">
        <v>0</v>
      </c>
      <c r="BH140" s="229">
        <v>0</v>
      </c>
      <c r="BI140" s="228">
        <v>73</v>
      </c>
      <c r="BJ140" s="228">
        <v>261</v>
      </c>
      <c r="BK140" s="228">
        <v>-188</v>
      </c>
      <c r="BL140" s="229">
        <v>-0.72</v>
      </c>
      <c r="BM140" s="228">
        <v>126</v>
      </c>
      <c r="BN140" s="228">
        <v>84</v>
      </c>
      <c r="BO140" s="228">
        <v>43</v>
      </c>
      <c r="BP140" s="229">
        <v>0.50880000000000003</v>
      </c>
      <c r="BQ140" s="228">
        <v>297</v>
      </c>
      <c r="BR140" s="228">
        <v>472</v>
      </c>
      <c r="BS140" s="228">
        <v>-174</v>
      </c>
      <c r="BT140" s="229">
        <v>-0.36930000000000002</v>
      </c>
      <c r="BU140" s="230">
        <v>1392129</v>
      </c>
      <c r="BV140" s="230">
        <v>2575972</v>
      </c>
      <c r="BW140" s="230">
        <v>-1183843</v>
      </c>
      <c r="BX140" s="229">
        <v>-0.45960000000000001</v>
      </c>
      <c r="BY140" s="228">
        <v>164</v>
      </c>
      <c r="BZ140" s="228">
        <v>137</v>
      </c>
      <c r="CA140" s="228">
        <v>27</v>
      </c>
      <c r="CB140" s="229">
        <v>0.19670000000000001</v>
      </c>
      <c r="CC140" s="228">
        <v>157</v>
      </c>
      <c r="CD140" s="228">
        <v>135</v>
      </c>
      <c r="CE140" s="228">
        <v>22</v>
      </c>
      <c r="CF140" s="229">
        <v>0.16389999999999999</v>
      </c>
      <c r="CG140" s="228">
        <v>7</v>
      </c>
      <c r="CH140" s="228">
        <v>2</v>
      </c>
      <c r="CI140" s="228">
        <v>5</v>
      </c>
      <c r="CJ140" s="229">
        <v>2.1749999999999998</v>
      </c>
      <c r="CK140" s="228">
        <v>0</v>
      </c>
      <c r="CL140" s="228">
        <v>0</v>
      </c>
      <c r="CM140" s="228">
        <v>0</v>
      </c>
      <c r="CN140" s="229">
        <v>0</v>
      </c>
      <c r="CO140" s="228">
        <v>24</v>
      </c>
      <c r="CP140" s="228">
        <v>27</v>
      </c>
      <c r="CQ140" s="228">
        <v>-4</v>
      </c>
      <c r="CR140" s="229">
        <v>-0.13039999999999999</v>
      </c>
      <c r="CS140" s="228">
        <v>12</v>
      </c>
      <c r="CT140" s="228">
        <v>8</v>
      </c>
      <c r="CU140" s="228">
        <v>4</v>
      </c>
      <c r="CV140" s="229">
        <v>0.47970000000000002</v>
      </c>
      <c r="CW140" s="228">
        <v>201</v>
      </c>
      <c r="CX140" s="228">
        <v>173</v>
      </c>
      <c r="CY140" s="228">
        <v>27</v>
      </c>
      <c r="CZ140" s="229">
        <v>0.15870000000000001</v>
      </c>
      <c r="DA140" s="228">
        <v>52.84</v>
      </c>
      <c r="DB140" s="228">
        <v>50.13</v>
      </c>
      <c r="DC140" s="228">
        <v>2.71</v>
      </c>
      <c r="DD140" s="228">
        <v>2.71</v>
      </c>
      <c r="DE140" s="228">
        <v>49.02</v>
      </c>
      <c r="DF140" s="228">
        <v>49.14</v>
      </c>
      <c r="DG140" s="228">
        <v>3.82</v>
      </c>
      <c r="DH140" s="228">
        <v>-0.12</v>
      </c>
      <c r="DI140" s="228">
        <v>43.57</v>
      </c>
      <c r="DJ140" s="228">
        <v>47.32</v>
      </c>
      <c r="DK140" s="228">
        <v>-3.75</v>
      </c>
      <c r="DL140" s="228">
        <v>-3.75</v>
      </c>
      <c r="DM140" s="228">
        <v>58.21</v>
      </c>
      <c r="DN140" s="228">
        <v>58.89</v>
      </c>
      <c r="DO140" s="228">
        <v>-0.68</v>
      </c>
      <c r="DP140" s="228">
        <v>-0.68</v>
      </c>
      <c r="DQ140" s="228">
        <v>0.52</v>
      </c>
      <c r="DR140" s="228">
        <v>0.31</v>
      </c>
      <c r="DS140" s="228">
        <v>0.21</v>
      </c>
      <c r="DT140" s="229">
        <v>0.6774</v>
      </c>
      <c r="DU140" s="231">
        <v>1000</v>
      </c>
      <c r="DV140" s="228">
        <v>900</v>
      </c>
      <c r="DW140" s="228">
        <v>1.73</v>
      </c>
      <c r="DX140" s="228">
        <v>0.32</v>
      </c>
      <c r="DY140" s="228">
        <v>1.41</v>
      </c>
      <c r="DZ140" s="229">
        <v>4.4062999999999999</v>
      </c>
      <c r="EA140" s="229">
        <v>4.58E-2</v>
      </c>
      <c r="EB140" s="230">
        <v>28750</v>
      </c>
      <c r="EC140" s="229">
        <v>-5.7000000000000002E-3</v>
      </c>
      <c r="ED140" s="229">
        <v>4.58E-2</v>
      </c>
      <c r="EE140" s="228">
        <v>-7.35</v>
      </c>
      <c r="EF140" s="229">
        <v>-8.2000000000000007E-3</v>
      </c>
      <c r="EG140" s="230">
        <v>578238</v>
      </c>
      <c r="EH140" s="230">
        <v>995707</v>
      </c>
      <c r="EI140" s="229">
        <v>-0.41930000000000001</v>
      </c>
      <c r="EJ140" s="229">
        <v>0.41539999999999999</v>
      </c>
      <c r="EK140" s="228">
        <v>78.040000000000006</v>
      </c>
      <c r="EL140" s="228">
        <v>108.91</v>
      </c>
      <c r="EM140" s="228">
        <v>97.37</v>
      </c>
      <c r="EN140" s="228">
        <v>12.76</v>
      </c>
      <c r="EO140" s="228">
        <v>284.32</v>
      </c>
      <c r="EP140" s="228">
        <v>479.19</v>
      </c>
      <c r="EQ140" s="228">
        <v>-194.87</v>
      </c>
      <c r="ER140" s="229">
        <v>-0.40670000000000001</v>
      </c>
      <c r="ES140" s="228">
        <v>24.61</v>
      </c>
      <c r="ET140" s="228">
        <v>11.3</v>
      </c>
      <c r="EU140" s="228">
        <v>164.45</v>
      </c>
      <c r="EV140" s="231">
        <v>26709548</v>
      </c>
      <c r="EW140" s="228">
        <v>200.36</v>
      </c>
      <c r="EX140" s="228">
        <v>172.54</v>
      </c>
      <c r="EY140" s="228">
        <v>27.82</v>
      </c>
      <c r="EZ140" s="229">
        <v>0.16120000000000001</v>
      </c>
      <c r="FA140" s="229">
        <v>8.2900000000000001E-2</v>
      </c>
      <c r="FB140" s="227" t="s">
        <v>555</v>
      </c>
      <c r="FC140">
        <f t="shared" si="2"/>
        <v>7</v>
      </c>
    </row>
    <row r="141" spans="1:159" ht="17.25" thickBot="1" x14ac:dyDescent="0.3">
      <c r="A141" s="226">
        <v>46121</v>
      </c>
      <c r="B141" s="227" t="s">
        <v>227</v>
      </c>
      <c r="C141" s="227" t="s">
        <v>263</v>
      </c>
      <c r="D141" s="228">
        <v>3750</v>
      </c>
      <c r="E141" s="228">
        <v>19</v>
      </c>
      <c r="F141" s="228">
        <v>414.55</v>
      </c>
      <c r="G141" s="228">
        <v>402.2</v>
      </c>
      <c r="H141" s="228">
        <v>12.35</v>
      </c>
      <c r="I141" s="229">
        <v>3.0700000000000002E-2</v>
      </c>
      <c r="J141" s="228">
        <v>412.35</v>
      </c>
      <c r="K141" s="228">
        <v>400.15</v>
      </c>
      <c r="L141" s="228">
        <v>12.2</v>
      </c>
      <c r="M141" s="229">
        <v>3.0499999999999999E-2</v>
      </c>
      <c r="N141" s="228">
        <v>414.55</v>
      </c>
      <c r="O141" s="228">
        <v>402.2</v>
      </c>
      <c r="P141" s="228">
        <v>12.35</v>
      </c>
      <c r="Q141" s="229">
        <v>3.0700000000000002E-2</v>
      </c>
      <c r="R141" s="228">
        <v>416.15</v>
      </c>
      <c r="S141" s="228">
        <v>404.25</v>
      </c>
      <c r="T141" s="228">
        <v>11.9</v>
      </c>
      <c r="U141" s="229">
        <v>2.9399999999999999E-2</v>
      </c>
      <c r="V141" s="228">
        <v>417.4</v>
      </c>
      <c r="W141" s="228">
        <v>405.15</v>
      </c>
      <c r="X141" s="228">
        <v>12.25</v>
      </c>
      <c r="Y141" s="229">
        <v>3.0200000000000001E-2</v>
      </c>
      <c r="Z141" s="228">
        <v>2.2000000000000002</v>
      </c>
      <c r="AA141" s="228">
        <v>2.0499999999999998</v>
      </c>
      <c r="AB141" s="228">
        <v>0.15</v>
      </c>
      <c r="AC141" s="229">
        <v>5.3E-3</v>
      </c>
      <c r="AD141" s="228">
        <v>2.2000000000000002</v>
      </c>
      <c r="AE141" s="228">
        <v>2.0499999999999998</v>
      </c>
      <c r="AF141" s="228">
        <v>0.15</v>
      </c>
      <c r="AG141" s="229">
        <v>5.3E-3</v>
      </c>
      <c r="AH141" s="228">
        <v>3.8</v>
      </c>
      <c r="AI141" s="228">
        <v>4.0999999999999996</v>
      </c>
      <c r="AJ141" s="228">
        <v>-0.3</v>
      </c>
      <c r="AK141" s="229">
        <v>9.1999999999999998E-3</v>
      </c>
      <c r="AL141" s="228">
        <v>5.05</v>
      </c>
      <c r="AM141" s="228">
        <v>5</v>
      </c>
      <c r="AN141" s="228">
        <v>0.05</v>
      </c>
      <c r="AO141" s="229">
        <v>1.2200000000000001E-2</v>
      </c>
      <c r="AP141" s="228">
        <v>411.52</v>
      </c>
      <c r="AQ141" s="228">
        <v>412.77</v>
      </c>
      <c r="AR141" s="228">
        <v>0</v>
      </c>
      <c r="AS141" s="228">
        <v>910</v>
      </c>
      <c r="AT141" s="230">
        <v>1063</v>
      </c>
      <c r="AU141" s="228">
        <v>-152</v>
      </c>
      <c r="AV141" s="229">
        <v>-0.1434</v>
      </c>
      <c r="AW141" s="228">
        <v>859</v>
      </c>
      <c r="AX141" s="230">
        <v>1007</v>
      </c>
      <c r="AY141" s="228">
        <v>-148</v>
      </c>
      <c r="AZ141" s="229">
        <v>-0.1467</v>
      </c>
      <c r="BA141" s="228">
        <v>45</v>
      </c>
      <c r="BB141" s="228">
        <v>49</v>
      </c>
      <c r="BC141" s="228">
        <v>-5</v>
      </c>
      <c r="BD141" s="229">
        <v>-9.1200000000000003E-2</v>
      </c>
      <c r="BE141" s="228">
        <v>7</v>
      </c>
      <c r="BF141" s="228">
        <v>7</v>
      </c>
      <c r="BG141" s="228">
        <v>0</v>
      </c>
      <c r="BH141" s="229">
        <v>-2.3300000000000001E-2</v>
      </c>
      <c r="BI141" s="230">
        <v>3595</v>
      </c>
      <c r="BJ141" s="230">
        <v>1945</v>
      </c>
      <c r="BK141" s="230">
        <v>1650</v>
      </c>
      <c r="BL141" s="229">
        <v>0.84850000000000003</v>
      </c>
      <c r="BM141" s="230">
        <v>1116</v>
      </c>
      <c r="BN141" s="230">
        <v>1137</v>
      </c>
      <c r="BO141" s="228">
        <v>-21</v>
      </c>
      <c r="BP141" s="229">
        <v>-1.7999999999999999E-2</v>
      </c>
      <c r="BQ141" s="230">
        <v>5622</v>
      </c>
      <c r="BR141" s="230">
        <v>4145</v>
      </c>
      <c r="BS141" s="230">
        <v>1477</v>
      </c>
      <c r="BT141" s="229">
        <v>0.35649999999999998</v>
      </c>
      <c r="BU141" s="230">
        <v>15331054</v>
      </c>
      <c r="BV141" s="230">
        <v>22203835</v>
      </c>
      <c r="BW141" s="230">
        <v>-6872781</v>
      </c>
      <c r="BX141" s="229">
        <v>-0.3095</v>
      </c>
      <c r="BY141" s="230">
        <v>2127</v>
      </c>
      <c r="BZ141" s="230">
        <v>2124</v>
      </c>
      <c r="CA141" s="228">
        <v>3</v>
      </c>
      <c r="CB141" s="229">
        <v>1.1999999999999999E-3</v>
      </c>
      <c r="CC141" s="230">
        <v>2065</v>
      </c>
      <c r="CD141" s="230">
        <v>2053</v>
      </c>
      <c r="CE141" s="228">
        <v>12</v>
      </c>
      <c r="CF141" s="229">
        <v>5.7999999999999996E-3</v>
      </c>
      <c r="CG141" s="228">
        <v>55</v>
      </c>
      <c r="CH141" s="228">
        <v>64</v>
      </c>
      <c r="CI141" s="228">
        <v>-8</v>
      </c>
      <c r="CJ141" s="229">
        <v>-0.12959999999999999</v>
      </c>
      <c r="CK141" s="228">
        <v>6</v>
      </c>
      <c r="CL141" s="228">
        <v>7</v>
      </c>
      <c r="CM141" s="228">
        <v>-1</v>
      </c>
      <c r="CN141" s="229">
        <v>-0.1489</v>
      </c>
      <c r="CO141" s="230">
        <v>1458</v>
      </c>
      <c r="CP141" s="230">
        <v>1195</v>
      </c>
      <c r="CQ141" s="228">
        <v>263</v>
      </c>
      <c r="CR141" s="229">
        <v>0.22059999999999999</v>
      </c>
      <c r="CS141" s="230">
        <v>1192</v>
      </c>
      <c r="CT141" s="230">
        <v>1152</v>
      </c>
      <c r="CU141" s="228">
        <v>40</v>
      </c>
      <c r="CV141" s="229">
        <v>3.4700000000000002E-2</v>
      </c>
      <c r="CW141" s="230">
        <v>4777</v>
      </c>
      <c r="CX141" s="230">
        <v>4471</v>
      </c>
      <c r="CY141" s="228">
        <v>306</v>
      </c>
      <c r="CZ141" s="229">
        <v>6.8500000000000005E-2</v>
      </c>
      <c r="DA141" s="228">
        <v>45.31</v>
      </c>
      <c r="DB141" s="228">
        <v>44.98</v>
      </c>
      <c r="DC141" s="228">
        <v>0.33</v>
      </c>
      <c r="DD141" s="228">
        <v>0.33</v>
      </c>
      <c r="DE141" s="228">
        <v>52.17</v>
      </c>
      <c r="DF141" s="228">
        <v>52.14</v>
      </c>
      <c r="DG141" s="228">
        <v>-6.86</v>
      </c>
      <c r="DH141" s="228">
        <v>0.03</v>
      </c>
      <c r="DI141" s="228">
        <v>44.91</v>
      </c>
      <c r="DJ141" s="228">
        <v>44.75</v>
      </c>
      <c r="DK141" s="228">
        <v>0.16</v>
      </c>
      <c r="DL141" s="228">
        <v>0.16</v>
      </c>
      <c r="DM141" s="228">
        <v>46.61</v>
      </c>
      <c r="DN141" s="228">
        <v>45.39</v>
      </c>
      <c r="DO141" s="228">
        <v>1.22</v>
      </c>
      <c r="DP141" s="228">
        <v>1.22</v>
      </c>
      <c r="DQ141" s="228">
        <v>0.82</v>
      </c>
      <c r="DR141" s="228">
        <v>0.96</v>
      </c>
      <c r="DS141" s="228">
        <v>-0.14000000000000001</v>
      </c>
      <c r="DT141" s="229">
        <v>-0.14580000000000001</v>
      </c>
      <c r="DU141" s="228">
        <v>470</v>
      </c>
      <c r="DV141" s="228">
        <v>410</v>
      </c>
      <c r="DW141" s="228">
        <v>0.31</v>
      </c>
      <c r="DX141" s="228">
        <v>0.57999999999999996</v>
      </c>
      <c r="DY141" s="228">
        <v>-0.27</v>
      </c>
      <c r="DZ141" s="229">
        <v>-0.46550000000000002</v>
      </c>
      <c r="EA141" s="229">
        <v>2.8899999999999999E-2</v>
      </c>
      <c r="EB141" s="230">
        <v>1710000</v>
      </c>
      <c r="EC141" s="229">
        <v>3.8999999999999998E-3</v>
      </c>
      <c r="ED141" s="229">
        <v>2.8899999999999999E-2</v>
      </c>
      <c r="EE141" s="228">
        <v>1.25</v>
      </c>
      <c r="EF141" s="229">
        <v>3.0000000000000001E-3</v>
      </c>
      <c r="EG141" s="230">
        <v>5601527</v>
      </c>
      <c r="EH141" s="230">
        <v>9278159</v>
      </c>
      <c r="EI141" s="229">
        <v>-0.39629999999999999</v>
      </c>
      <c r="EJ141" s="229">
        <v>0.3654</v>
      </c>
      <c r="EK141" s="231">
        <v>3895.34</v>
      </c>
      <c r="EL141" s="231">
        <v>1075.26</v>
      </c>
      <c r="EM141" s="228">
        <v>903.86</v>
      </c>
      <c r="EN141" s="228">
        <v>56.25</v>
      </c>
      <c r="EO141" s="231">
        <v>5874.47</v>
      </c>
      <c r="EP141" s="231">
        <v>4174.87</v>
      </c>
      <c r="EQ141" s="231">
        <v>1699.6</v>
      </c>
      <c r="ER141" s="229">
        <v>0.40710000000000002</v>
      </c>
      <c r="ES141" s="231">
        <v>1496.58</v>
      </c>
      <c r="ET141" s="231">
        <v>1083.3699999999999</v>
      </c>
      <c r="EU141" s="231">
        <v>2127.21</v>
      </c>
      <c r="EV141" s="231">
        <v>134225816</v>
      </c>
      <c r="EW141" s="231">
        <v>4707.16</v>
      </c>
      <c r="EX141" s="231">
        <v>4295.28</v>
      </c>
      <c r="EY141" s="228">
        <v>411.88</v>
      </c>
      <c r="EZ141" s="229">
        <v>9.5899999999999999E-2</v>
      </c>
      <c r="FA141" s="229">
        <v>0.85850000000000004</v>
      </c>
      <c r="FB141" s="227" t="s">
        <v>555</v>
      </c>
      <c r="FC141">
        <f t="shared" si="2"/>
        <v>62</v>
      </c>
    </row>
    <row r="142" spans="1:159" ht="17.25" thickBot="1" x14ac:dyDescent="0.3">
      <c r="A142" s="226">
        <v>46121</v>
      </c>
      <c r="B142" s="227" t="s">
        <v>614</v>
      </c>
      <c r="C142" s="227" t="s">
        <v>264</v>
      </c>
      <c r="D142" s="228">
        <v>375</v>
      </c>
      <c r="E142" s="228">
        <v>19</v>
      </c>
      <c r="F142" s="231">
        <v>1003.25</v>
      </c>
      <c r="G142" s="231">
        <v>1032.1500000000001</v>
      </c>
      <c r="H142" s="228">
        <v>-28.9</v>
      </c>
      <c r="I142" s="229">
        <v>-2.8000000000000001E-2</v>
      </c>
      <c r="J142" s="231">
        <v>1002.4</v>
      </c>
      <c r="K142" s="231">
        <v>1032.7</v>
      </c>
      <c r="L142" s="228">
        <v>-30.3</v>
      </c>
      <c r="M142" s="229">
        <v>-2.93E-2</v>
      </c>
      <c r="N142" s="231">
        <v>1003.25</v>
      </c>
      <c r="O142" s="231">
        <v>1032.1500000000001</v>
      </c>
      <c r="P142" s="228">
        <v>-28.9</v>
      </c>
      <c r="Q142" s="229">
        <v>-2.8000000000000001E-2</v>
      </c>
      <c r="R142" s="231">
        <v>1001.75</v>
      </c>
      <c r="S142" s="231">
        <v>1031.3499999999999</v>
      </c>
      <c r="T142" s="228">
        <v>-29.6</v>
      </c>
      <c r="U142" s="229">
        <v>-2.87E-2</v>
      </c>
      <c r="V142" s="231">
        <v>1006.65</v>
      </c>
      <c r="W142" s="231">
        <v>1032.3499999999999</v>
      </c>
      <c r="X142" s="228">
        <v>-25.7</v>
      </c>
      <c r="Y142" s="229">
        <v>-2.4899999999999999E-2</v>
      </c>
      <c r="Z142" s="228">
        <v>0.85</v>
      </c>
      <c r="AA142" s="228">
        <v>-0.55000000000000004</v>
      </c>
      <c r="AB142" s="228">
        <v>1.4</v>
      </c>
      <c r="AC142" s="229">
        <v>8.0000000000000004E-4</v>
      </c>
      <c r="AD142" s="228">
        <v>0.85</v>
      </c>
      <c r="AE142" s="228">
        <v>-0.55000000000000004</v>
      </c>
      <c r="AF142" s="228">
        <v>1.4</v>
      </c>
      <c r="AG142" s="229">
        <v>8.0000000000000004E-4</v>
      </c>
      <c r="AH142" s="228">
        <v>-0.65</v>
      </c>
      <c r="AI142" s="228">
        <v>-1.35</v>
      </c>
      <c r="AJ142" s="228">
        <v>0.7</v>
      </c>
      <c r="AK142" s="229">
        <v>-5.9999999999999995E-4</v>
      </c>
      <c r="AL142" s="228">
        <v>4.25</v>
      </c>
      <c r="AM142" s="228">
        <v>-0.35</v>
      </c>
      <c r="AN142" s="228">
        <v>4.5999999999999996</v>
      </c>
      <c r="AO142" s="229">
        <v>4.1999999999999997E-3</v>
      </c>
      <c r="AP142" s="231">
        <v>1001.7</v>
      </c>
      <c r="AQ142" s="228">
        <v>996.67</v>
      </c>
      <c r="AR142" s="228">
        <v>0</v>
      </c>
      <c r="AS142" s="228">
        <v>309</v>
      </c>
      <c r="AT142" s="228">
        <v>104</v>
      </c>
      <c r="AU142" s="228">
        <v>205</v>
      </c>
      <c r="AV142" s="229">
        <v>1.9732000000000001</v>
      </c>
      <c r="AW142" s="228">
        <v>288</v>
      </c>
      <c r="AX142" s="228">
        <v>100</v>
      </c>
      <c r="AY142" s="228">
        <v>188</v>
      </c>
      <c r="AZ142" s="229">
        <v>1.8835999999999999</v>
      </c>
      <c r="BA142" s="228">
        <v>19</v>
      </c>
      <c r="BB142" s="228">
        <v>3</v>
      </c>
      <c r="BC142" s="228">
        <v>16</v>
      </c>
      <c r="BD142" s="229">
        <v>4.5053999999999998</v>
      </c>
      <c r="BE142" s="228">
        <v>2</v>
      </c>
      <c r="BF142" s="228">
        <v>1</v>
      </c>
      <c r="BG142" s="228">
        <v>1</v>
      </c>
      <c r="BH142" s="229">
        <v>2.1429</v>
      </c>
      <c r="BI142" s="228">
        <v>552</v>
      </c>
      <c r="BJ142" s="228">
        <v>189</v>
      </c>
      <c r="BK142" s="228">
        <v>363</v>
      </c>
      <c r="BL142" s="229">
        <v>1.9188000000000001</v>
      </c>
      <c r="BM142" s="228">
        <v>434</v>
      </c>
      <c r="BN142" s="228">
        <v>77</v>
      </c>
      <c r="BO142" s="228">
        <v>357</v>
      </c>
      <c r="BP142" s="229">
        <v>4.6509999999999998</v>
      </c>
      <c r="BQ142" s="230">
        <v>1295</v>
      </c>
      <c r="BR142" s="228">
        <v>370</v>
      </c>
      <c r="BS142" s="228">
        <v>925</v>
      </c>
      <c r="BT142" s="229">
        <v>2.5019999999999998</v>
      </c>
      <c r="BU142" s="230">
        <v>3899858</v>
      </c>
      <c r="BV142" s="230">
        <v>1786355</v>
      </c>
      <c r="BW142" s="230">
        <v>2113503</v>
      </c>
      <c r="BX142" s="229">
        <v>1.1831</v>
      </c>
      <c r="BY142" s="230">
        <v>1010</v>
      </c>
      <c r="BZ142" s="228">
        <v>957</v>
      </c>
      <c r="CA142" s="228">
        <v>54</v>
      </c>
      <c r="CB142" s="229">
        <v>5.6300000000000003E-2</v>
      </c>
      <c r="CC142" s="228">
        <v>992</v>
      </c>
      <c r="CD142" s="228">
        <v>944</v>
      </c>
      <c r="CE142" s="228">
        <v>48</v>
      </c>
      <c r="CF142" s="229">
        <v>5.1299999999999998E-2</v>
      </c>
      <c r="CG142" s="228">
        <v>16</v>
      </c>
      <c r="CH142" s="228">
        <v>12</v>
      </c>
      <c r="CI142" s="228">
        <v>4</v>
      </c>
      <c r="CJ142" s="229">
        <v>0.35089999999999999</v>
      </c>
      <c r="CK142" s="228">
        <v>2</v>
      </c>
      <c r="CL142" s="228">
        <v>1</v>
      </c>
      <c r="CM142" s="228">
        <v>1</v>
      </c>
      <c r="CN142" s="229">
        <v>2.2000000000000002</v>
      </c>
      <c r="CO142" s="228">
        <v>220</v>
      </c>
      <c r="CP142" s="228">
        <v>196</v>
      </c>
      <c r="CQ142" s="228">
        <v>23</v>
      </c>
      <c r="CR142" s="229">
        <v>0.1192</v>
      </c>
      <c r="CS142" s="228">
        <v>111</v>
      </c>
      <c r="CT142" s="228">
        <v>90</v>
      </c>
      <c r="CU142" s="228">
        <v>21</v>
      </c>
      <c r="CV142" s="229">
        <v>0.23430000000000001</v>
      </c>
      <c r="CW142" s="230">
        <v>1341</v>
      </c>
      <c r="CX142" s="230">
        <v>1243</v>
      </c>
      <c r="CY142" s="228">
        <v>98</v>
      </c>
      <c r="CZ142" s="229">
        <v>7.9100000000000004E-2</v>
      </c>
      <c r="DA142" s="228">
        <v>34.020000000000003</v>
      </c>
      <c r="DB142" s="228">
        <v>36.19</v>
      </c>
      <c r="DC142" s="228">
        <v>-2.17</v>
      </c>
      <c r="DD142" s="228">
        <v>-2.17</v>
      </c>
      <c r="DE142" s="228">
        <v>36.68</v>
      </c>
      <c r="DF142" s="228">
        <v>36.57</v>
      </c>
      <c r="DG142" s="228">
        <v>-2.66</v>
      </c>
      <c r="DH142" s="228">
        <v>0.11</v>
      </c>
      <c r="DI142" s="228">
        <v>33.450000000000003</v>
      </c>
      <c r="DJ142" s="228">
        <v>35.51</v>
      </c>
      <c r="DK142" s="228">
        <v>-2.06</v>
      </c>
      <c r="DL142" s="228">
        <v>-2.06</v>
      </c>
      <c r="DM142" s="228">
        <v>34.74</v>
      </c>
      <c r="DN142" s="228">
        <v>37.869999999999997</v>
      </c>
      <c r="DO142" s="228">
        <v>-3.13</v>
      </c>
      <c r="DP142" s="228">
        <v>-3.13</v>
      </c>
      <c r="DQ142" s="228">
        <v>0.5</v>
      </c>
      <c r="DR142" s="228">
        <v>0.46</v>
      </c>
      <c r="DS142" s="228">
        <v>0.04</v>
      </c>
      <c r="DT142" s="229">
        <v>8.6999999999999994E-2</v>
      </c>
      <c r="DU142" s="231">
        <v>1020</v>
      </c>
      <c r="DV142" s="231">
        <v>1000</v>
      </c>
      <c r="DW142" s="228">
        <v>0.79</v>
      </c>
      <c r="DX142" s="228">
        <v>0.41</v>
      </c>
      <c r="DY142" s="228">
        <v>0.38</v>
      </c>
      <c r="DZ142" s="229">
        <v>0.92679999999999996</v>
      </c>
      <c r="EA142" s="229">
        <v>1.7999999999999999E-2</v>
      </c>
      <c r="EB142" s="230">
        <v>126375</v>
      </c>
      <c r="EC142" s="229">
        <v>-1.5E-3</v>
      </c>
      <c r="ED142" s="229">
        <v>1.7999999999999999E-2</v>
      </c>
      <c r="EE142" s="228">
        <v>-5.03</v>
      </c>
      <c r="EF142" s="229">
        <v>-5.0000000000000001E-3</v>
      </c>
      <c r="EG142" s="230">
        <v>1664931</v>
      </c>
      <c r="EH142" s="230">
        <v>1070384</v>
      </c>
      <c r="EI142" s="229">
        <v>0.55549999999999999</v>
      </c>
      <c r="EJ142" s="229">
        <v>0.4269</v>
      </c>
      <c r="EK142" s="228">
        <v>581.4</v>
      </c>
      <c r="EL142" s="228">
        <v>436.81</v>
      </c>
      <c r="EM142" s="228">
        <v>308.26</v>
      </c>
      <c r="EN142" s="228">
        <v>36.200000000000003</v>
      </c>
      <c r="EO142" s="231">
        <v>1326.48</v>
      </c>
      <c r="EP142" s="228">
        <v>389.07</v>
      </c>
      <c r="EQ142" s="228">
        <v>937.41</v>
      </c>
      <c r="ER142" s="229">
        <v>2.4094000000000002</v>
      </c>
      <c r="ES142" s="228">
        <v>228.87</v>
      </c>
      <c r="ET142" s="228">
        <v>107.21</v>
      </c>
      <c r="EU142" s="231">
        <v>1010.39</v>
      </c>
      <c r="EV142" s="231">
        <v>60562281</v>
      </c>
      <c r="EW142" s="231">
        <v>1346.48</v>
      </c>
      <c r="EX142" s="231">
        <v>1276.75</v>
      </c>
      <c r="EY142" s="228">
        <v>69.73</v>
      </c>
      <c r="EZ142" s="229">
        <v>5.4600000000000003E-2</v>
      </c>
      <c r="FA142" s="229">
        <v>0.22070000000000001</v>
      </c>
      <c r="FB142" s="227" t="s">
        <v>566</v>
      </c>
      <c r="FC142">
        <f t="shared" si="2"/>
        <v>18</v>
      </c>
    </row>
    <row r="143" spans="1:159" ht="17.25" thickBot="1" x14ac:dyDescent="0.3">
      <c r="A143" s="226">
        <v>46121</v>
      </c>
      <c r="B143" s="227" t="s">
        <v>206</v>
      </c>
      <c r="C143" s="227" t="s">
        <v>550</v>
      </c>
      <c r="D143" s="228">
        <v>6500</v>
      </c>
      <c r="E143" s="228">
        <v>19</v>
      </c>
      <c r="F143" s="228">
        <v>88.25</v>
      </c>
      <c r="G143" s="228">
        <v>89.18</v>
      </c>
      <c r="H143" s="228">
        <v>-0.93</v>
      </c>
      <c r="I143" s="229">
        <v>-1.04E-2</v>
      </c>
      <c r="J143" s="228">
        <v>87.83</v>
      </c>
      <c r="K143" s="228">
        <v>88.73</v>
      </c>
      <c r="L143" s="228">
        <v>-0.9</v>
      </c>
      <c r="M143" s="229">
        <v>-1.01E-2</v>
      </c>
      <c r="N143" s="228">
        <v>88.25</v>
      </c>
      <c r="O143" s="228">
        <v>89.18</v>
      </c>
      <c r="P143" s="228">
        <v>-0.93</v>
      </c>
      <c r="Q143" s="229">
        <v>-1.04E-2</v>
      </c>
      <c r="R143" s="228">
        <v>88.68</v>
      </c>
      <c r="S143" s="228">
        <v>89.64</v>
      </c>
      <c r="T143" s="228">
        <v>-0.96</v>
      </c>
      <c r="U143" s="229">
        <v>-1.0699999999999999E-2</v>
      </c>
      <c r="V143" s="228">
        <v>89.31</v>
      </c>
      <c r="W143" s="228">
        <v>90.4</v>
      </c>
      <c r="X143" s="228">
        <v>-1.0900000000000001</v>
      </c>
      <c r="Y143" s="229">
        <v>-1.21E-2</v>
      </c>
      <c r="Z143" s="228">
        <v>0.42</v>
      </c>
      <c r="AA143" s="228">
        <v>0.45</v>
      </c>
      <c r="AB143" s="228">
        <v>-0.03</v>
      </c>
      <c r="AC143" s="229">
        <v>4.7999999999999996E-3</v>
      </c>
      <c r="AD143" s="228">
        <v>0.42</v>
      </c>
      <c r="AE143" s="228">
        <v>0.45</v>
      </c>
      <c r="AF143" s="228">
        <v>-0.03</v>
      </c>
      <c r="AG143" s="229">
        <v>4.7999999999999996E-3</v>
      </c>
      <c r="AH143" s="228">
        <v>0.85</v>
      </c>
      <c r="AI143" s="228">
        <v>0.91</v>
      </c>
      <c r="AJ143" s="228">
        <v>-0.06</v>
      </c>
      <c r="AK143" s="229">
        <v>9.7000000000000003E-3</v>
      </c>
      <c r="AL143" s="228">
        <v>1.48</v>
      </c>
      <c r="AM143" s="228">
        <v>1.67</v>
      </c>
      <c r="AN143" s="228">
        <v>-0.19</v>
      </c>
      <c r="AO143" s="229">
        <v>1.6899999999999998E-2</v>
      </c>
      <c r="AP143" s="228">
        <v>88.34</v>
      </c>
      <c r="AQ143" s="228">
        <v>88.38</v>
      </c>
      <c r="AR143" s="228">
        <v>0</v>
      </c>
      <c r="AS143" s="228">
        <v>84</v>
      </c>
      <c r="AT143" s="228">
        <v>124</v>
      </c>
      <c r="AU143" s="228">
        <v>-40</v>
      </c>
      <c r="AV143" s="229">
        <v>-0.32</v>
      </c>
      <c r="AW143" s="228">
        <v>69</v>
      </c>
      <c r="AX143" s="228">
        <v>112</v>
      </c>
      <c r="AY143" s="228">
        <v>-43</v>
      </c>
      <c r="AZ143" s="229">
        <v>-0.3866</v>
      </c>
      <c r="BA143" s="228">
        <v>15</v>
      </c>
      <c r="BB143" s="228">
        <v>11</v>
      </c>
      <c r="BC143" s="228">
        <v>4</v>
      </c>
      <c r="BD143" s="229">
        <v>0.36359999999999998</v>
      </c>
      <c r="BE143" s="228">
        <v>1</v>
      </c>
      <c r="BF143" s="228">
        <v>1</v>
      </c>
      <c r="BG143" s="228">
        <v>0</v>
      </c>
      <c r="BH143" s="229">
        <v>-0.23810000000000001</v>
      </c>
      <c r="BI143" s="228">
        <v>100</v>
      </c>
      <c r="BJ143" s="228">
        <v>187</v>
      </c>
      <c r="BK143" s="228">
        <v>-87</v>
      </c>
      <c r="BL143" s="229">
        <v>-0.46389999999999998</v>
      </c>
      <c r="BM143" s="228">
        <v>46</v>
      </c>
      <c r="BN143" s="228">
        <v>84</v>
      </c>
      <c r="BO143" s="228">
        <v>-38</v>
      </c>
      <c r="BP143" s="229">
        <v>-0.45</v>
      </c>
      <c r="BQ143" s="228">
        <v>231</v>
      </c>
      <c r="BR143" s="228">
        <v>395</v>
      </c>
      <c r="BS143" s="228">
        <v>-164</v>
      </c>
      <c r="BT143" s="229">
        <v>-0.41589999999999999</v>
      </c>
      <c r="BU143" s="230">
        <v>11823601</v>
      </c>
      <c r="BV143" s="230">
        <v>13688003</v>
      </c>
      <c r="BW143" s="230">
        <v>-1864402</v>
      </c>
      <c r="BX143" s="229">
        <v>-0.13619999999999999</v>
      </c>
      <c r="BY143" s="228">
        <v>691</v>
      </c>
      <c r="BZ143" s="228">
        <v>692</v>
      </c>
      <c r="CA143" s="228">
        <v>-1</v>
      </c>
      <c r="CB143" s="229">
        <v>-1.9E-3</v>
      </c>
      <c r="CC143" s="228">
        <v>667</v>
      </c>
      <c r="CD143" s="228">
        <v>669</v>
      </c>
      <c r="CE143" s="228">
        <v>-1</v>
      </c>
      <c r="CF143" s="229">
        <v>-1.6000000000000001E-3</v>
      </c>
      <c r="CG143" s="228">
        <v>22</v>
      </c>
      <c r="CH143" s="228">
        <v>23</v>
      </c>
      <c r="CI143" s="228">
        <v>-1</v>
      </c>
      <c r="CJ143" s="229">
        <v>-2.8000000000000001E-2</v>
      </c>
      <c r="CK143" s="228">
        <v>2</v>
      </c>
      <c r="CL143" s="228">
        <v>1</v>
      </c>
      <c r="CM143" s="228">
        <v>0</v>
      </c>
      <c r="CN143" s="229">
        <v>0.28000000000000003</v>
      </c>
      <c r="CO143" s="228">
        <v>135</v>
      </c>
      <c r="CP143" s="228">
        <v>122</v>
      </c>
      <c r="CQ143" s="228">
        <v>13</v>
      </c>
      <c r="CR143" s="229">
        <v>0.1041</v>
      </c>
      <c r="CS143" s="228">
        <v>112</v>
      </c>
      <c r="CT143" s="228">
        <v>109</v>
      </c>
      <c r="CU143" s="228">
        <v>4</v>
      </c>
      <c r="CV143" s="229">
        <v>3.3799999999999997E-2</v>
      </c>
      <c r="CW143" s="228">
        <v>939</v>
      </c>
      <c r="CX143" s="228">
        <v>923</v>
      </c>
      <c r="CY143" s="228">
        <v>15</v>
      </c>
      <c r="CZ143" s="229">
        <v>1.6299999999999999E-2</v>
      </c>
      <c r="DA143" s="228">
        <v>45.74</v>
      </c>
      <c r="DB143" s="228">
        <v>46.39</v>
      </c>
      <c r="DC143" s="228">
        <v>-0.65</v>
      </c>
      <c r="DD143" s="228">
        <v>-0.65</v>
      </c>
      <c r="DE143" s="228">
        <v>52.24</v>
      </c>
      <c r="DF143" s="228">
        <v>52.35</v>
      </c>
      <c r="DG143" s="228">
        <v>-6.5</v>
      </c>
      <c r="DH143" s="228">
        <v>-0.11</v>
      </c>
      <c r="DI143" s="228">
        <v>44.57</v>
      </c>
      <c r="DJ143" s="228">
        <v>44.78</v>
      </c>
      <c r="DK143" s="228">
        <v>-0.21</v>
      </c>
      <c r="DL143" s="228">
        <v>-0.21</v>
      </c>
      <c r="DM143" s="228">
        <v>48.3</v>
      </c>
      <c r="DN143" s="228">
        <v>50.01</v>
      </c>
      <c r="DO143" s="228">
        <v>-1.71</v>
      </c>
      <c r="DP143" s="228">
        <v>-1.71</v>
      </c>
      <c r="DQ143" s="228">
        <v>0.83</v>
      </c>
      <c r="DR143" s="228">
        <v>0.89</v>
      </c>
      <c r="DS143" s="228">
        <v>-0.06</v>
      </c>
      <c r="DT143" s="229">
        <v>-6.7400000000000002E-2</v>
      </c>
      <c r="DU143" s="228">
        <v>90</v>
      </c>
      <c r="DV143" s="228">
        <v>85</v>
      </c>
      <c r="DW143" s="228">
        <v>0.46</v>
      </c>
      <c r="DX143" s="228">
        <v>0.45</v>
      </c>
      <c r="DY143" s="228">
        <v>0.01</v>
      </c>
      <c r="DZ143" s="229">
        <v>2.2200000000000001E-2</v>
      </c>
      <c r="EA143" s="229">
        <v>3.44E-2</v>
      </c>
      <c r="EB143" s="230">
        <v>2717000</v>
      </c>
      <c r="EC143" s="229">
        <v>4.8999999999999998E-3</v>
      </c>
      <c r="ED143" s="229">
        <v>3.44E-2</v>
      </c>
      <c r="EE143" s="228">
        <v>0.04</v>
      </c>
      <c r="EF143" s="229">
        <v>5.0000000000000001E-4</v>
      </c>
      <c r="EG143" s="230">
        <v>2897496</v>
      </c>
      <c r="EH143" s="230">
        <v>4709860</v>
      </c>
      <c r="EI143" s="229">
        <v>-0.38479999999999998</v>
      </c>
      <c r="EJ143" s="229">
        <v>0.24510000000000001</v>
      </c>
      <c r="EK143" s="228">
        <v>107.9</v>
      </c>
      <c r="EL143" s="228">
        <v>44.65</v>
      </c>
      <c r="EM143" s="228">
        <v>84.19</v>
      </c>
      <c r="EN143" s="228">
        <v>16.45</v>
      </c>
      <c r="EO143" s="228">
        <v>236.75</v>
      </c>
      <c r="EP143" s="228">
        <v>406.92</v>
      </c>
      <c r="EQ143" s="228">
        <v>-170.17</v>
      </c>
      <c r="ER143" s="229">
        <v>-0.41820000000000002</v>
      </c>
      <c r="ES143" s="228">
        <v>137.44999999999999</v>
      </c>
      <c r="ET143" s="228">
        <v>106.86</v>
      </c>
      <c r="EU143" s="228">
        <v>691.29</v>
      </c>
      <c r="EV143" s="231">
        <v>154894704</v>
      </c>
      <c r="EW143" s="228">
        <v>935.6</v>
      </c>
      <c r="EX143" s="228">
        <v>927.18</v>
      </c>
      <c r="EY143" s="228">
        <v>8.42</v>
      </c>
      <c r="EZ143" s="229">
        <v>9.1000000000000004E-3</v>
      </c>
      <c r="FA143" s="229">
        <v>0.68659999999999999</v>
      </c>
      <c r="FB143" s="227" t="s">
        <v>567</v>
      </c>
      <c r="FC143">
        <f t="shared" si="2"/>
        <v>24</v>
      </c>
    </row>
    <row r="144" spans="1:159" ht="17.25" thickBot="1" x14ac:dyDescent="0.3">
      <c r="A144" s="226">
        <v>46121</v>
      </c>
      <c r="B144" s="227" t="s">
        <v>168</v>
      </c>
      <c r="C144" s="227" t="s">
        <v>265</v>
      </c>
      <c r="D144" s="228">
        <v>500</v>
      </c>
      <c r="E144" s="228">
        <v>19</v>
      </c>
      <c r="F144" s="231">
        <v>1231.0999999999999</v>
      </c>
      <c r="G144" s="231">
        <v>1217.3</v>
      </c>
      <c r="H144" s="228">
        <v>13.8</v>
      </c>
      <c r="I144" s="229">
        <v>1.1299999999999999E-2</v>
      </c>
      <c r="J144" s="231">
        <v>1228.7</v>
      </c>
      <c r="K144" s="231">
        <v>1213.7</v>
      </c>
      <c r="L144" s="228">
        <v>15</v>
      </c>
      <c r="M144" s="229">
        <v>1.24E-2</v>
      </c>
      <c r="N144" s="231">
        <v>1231.0999999999999</v>
      </c>
      <c r="O144" s="231">
        <v>1217.3</v>
      </c>
      <c r="P144" s="228">
        <v>13.8</v>
      </c>
      <c r="Q144" s="229">
        <v>1.1299999999999999E-2</v>
      </c>
      <c r="R144" s="231">
        <v>1237.3</v>
      </c>
      <c r="S144" s="231">
        <v>1225.4000000000001</v>
      </c>
      <c r="T144" s="228">
        <v>11.9</v>
      </c>
      <c r="U144" s="229">
        <v>9.7000000000000003E-3</v>
      </c>
      <c r="V144" s="231">
        <v>1245.4000000000001</v>
      </c>
      <c r="W144" s="231">
        <v>1233</v>
      </c>
      <c r="X144" s="228">
        <v>12.4</v>
      </c>
      <c r="Y144" s="229">
        <v>1.01E-2</v>
      </c>
      <c r="Z144" s="228">
        <v>2.4</v>
      </c>
      <c r="AA144" s="228">
        <v>3.6</v>
      </c>
      <c r="AB144" s="228">
        <v>-1.2</v>
      </c>
      <c r="AC144" s="229">
        <v>2E-3</v>
      </c>
      <c r="AD144" s="228">
        <v>2.4</v>
      </c>
      <c r="AE144" s="228">
        <v>3.6</v>
      </c>
      <c r="AF144" s="228">
        <v>-1.2</v>
      </c>
      <c r="AG144" s="229">
        <v>2E-3</v>
      </c>
      <c r="AH144" s="228">
        <v>8.6</v>
      </c>
      <c r="AI144" s="228">
        <v>11.7</v>
      </c>
      <c r="AJ144" s="228">
        <v>-3.1</v>
      </c>
      <c r="AK144" s="229">
        <v>7.0000000000000001E-3</v>
      </c>
      <c r="AL144" s="228">
        <v>16.7</v>
      </c>
      <c r="AM144" s="228">
        <v>19.3</v>
      </c>
      <c r="AN144" s="228">
        <v>-2.6</v>
      </c>
      <c r="AO144" s="229">
        <v>1.3599999999999999E-2</v>
      </c>
      <c r="AP144" s="231">
        <v>1225.94</v>
      </c>
      <c r="AQ144" s="231">
        <v>1231.72</v>
      </c>
      <c r="AR144" s="228">
        <v>0</v>
      </c>
      <c r="AS144" s="228">
        <v>190</v>
      </c>
      <c r="AT144" s="228">
        <v>246</v>
      </c>
      <c r="AU144" s="228">
        <v>-56</v>
      </c>
      <c r="AV144" s="229">
        <v>-0.22739999999999999</v>
      </c>
      <c r="AW144" s="228">
        <v>177</v>
      </c>
      <c r="AX144" s="228">
        <v>221</v>
      </c>
      <c r="AY144" s="228">
        <v>-44</v>
      </c>
      <c r="AZ144" s="229">
        <v>-0.1996</v>
      </c>
      <c r="BA144" s="228">
        <v>12</v>
      </c>
      <c r="BB144" s="228">
        <v>21</v>
      </c>
      <c r="BC144" s="228">
        <v>-10</v>
      </c>
      <c r="BD144" s="229">
        <v>-0.45950000000000002</v>
      </c>
      <c r="BE144" s="228">
        <v>2</v>
      </c>
      <c r="BF144" s="228">
        <v>4</v>
      </c>
      <c r="BG144" s="228">
        <v>-2</v>
      </c>
      <c r="BH144" s="229">
        <v>-0.53969999999999996</v>
      </c>
      <c r="BI144" s="228">
        <v>260</v>
      </c>
      <c r="BJ144" s="228">
        <v>462</v>
      </c>
      <c r="BK144" s="228">
        <v>-202</v>
      </c>
      <c r="BL144" s="229">
        <v>-0.43669999999999998</v>
      </c>
      <c r="BM144" s="228">
        <v>145</v>
      </c>
      <c r="BN144" s="228">
        <v>257</v>
      </c>
      <c r="BO144" s="228">
        <v>-112</v>
      </c>
      <c r="BP144" s="229">
        <v>-0.43559999999999999</v>
      </c>
      <c r="BQ144" s="228">
        <v>595</v>
      </c>
      <c r="BR144" s="228">
        <v>965</v>
      </c>
      <c r="BS144" s="228">
        <v>-369</v>
      </c>
      <c r="BT144" s="229">
        <v>-0.38300000000000001</v>
      </c>
      <c r="BU144" s="230">
        <v>1292770</v>
      </c>
      <c r="BV144" s="230">
        <v>1720881</v>
      </c>
      <c r="BW144" s="230">
        <v>-428111</v>
      </c>
      <c r="BX144" s="229">
        <v>-0.24879999999999999</v>
      </c>
      <c r="BY144" s="230">
        <v>2242</v>
      </c>
      <c r="BZ144" s="230">
        <v>2266</v>
      </c>
      <c r="CA144" s="228">
        <v>-24</v>
      </c>
      <c r="CB144" s="229">
        <v>-1.0500000000000001E-2</v>
      </c>
      <c r="CC144" s="230">
        <v>2178</v>
      </c>
      <c r="CD144" s="230">
        <v>2202</v>
      </c>
      <c r="CE144" s="228">
        <v>-25</v>
      </c>
      <c r="CF144" s="229">
        <v>-1.12E-2</v>
      </c>
      <c r="CG144" s="228">
        <v>54</v>
      </c>
      <c r="CH144" s="228">
        <v>53</v>
      </c>
      <c r="CI144" s="228">
        <v>1</v>
      </c>
      <c r="CJ144" s="229">
        <v>2.2200000000000001E-2</v>
      </c>
      <c r="CK144" s="228">
        <v>10</v>
      </c>
      <c r="CL144" s="228">
        <v>11</v>
      </c>
      <c r="CM144" s="228">
        <v>0</v>
      </c>
      <c r="CN144" s="229">
        <v>-3.9800000000000002E-2</v>
      </c>
      <c r="CO144" s="228">
        <v>282</v>
      </c>
      <c r="CP144" s="228">
        <v>289</v>
      </c>
      <c r="CQ144" s="228">
        <v>-7</v>
      </c>
      <c r="CR144" s="229">
        <v>-2.4299999999999999E-2</v>
      </c>
      <c r="CS144" s="228">
        <v>205</v>
      </c>
      <c r="CT144" s="228">
        <v>204</v>
      </c>
      <c r="CU144" s="228">
        <v>0</v>
      </c>
      <c r="CV144" s="229">
        <v>2.0999999999999999E-3</v>
      </c>
      <c r="CW144" s="230">
        <v>2729</v>
      </c>
      <c r="CX144" s="230">
        <v>2759</v>
      </c>
      <c r="CY144" s="228">
        <v>-30</v>
      </c>
      <c r="CZ144" s="229">
        <v>-1.0999999999999999E-2</v>
      </c>
      <c r="DA144" s="228">
        <v>25.47</v>
      </c>
      <c r="DB144" s="228">
        <v>26.41</v>
      </c>
      <c r="DC144" s="228">
        <v>-0.94</v>
      </c>
      <c r="DD144" s="228">
        <v>-0.94</v>
      </c>
      <c r="DE144" s="228">
        <v>23.19</v>
      </c>
      <c r="DF144" s="228">
        <v>23.19</v>
      </c>
      <c r="DG144" s="228">
        <v>2.2799999999999998</v>
      </c>
      <c r="DH144" s="228">
        <v>0</v>
      </c>
      <c r="DI144" s="228">
        <v>24.62</v>
      </c>
      <c r="DJ144" s="228">
        <v>25.64</v>
      </c>
      <c r="DK144" s="228">
        <v>-1.02</v>
      </c>
      <c r="DL144" s="228">
        <v>-1.02</v>
      </c>
      <c r="DM144" s="228">
        <v>27</v>
      </c>
      <c r="DN144" s="228">
        <v>27.8</v>
      </c>
      <c r="DO144" s="228">
        <v>-0.8</v>
      </c>
      <c r="DP144" s="228">
        <v>-0.8</v>
      </c>
      <c r="DQ144" s="228">
        <v>0.73</v>
      </c>
      <c r="DR144" s="228">
        <v>0.71</v>
      </c>
      <c r="DS144" s="228">
        <v>0.02</v>
      </c>
      <c r="DT144" s="229">
        <v>2.8199999999999999E-2</v>
      </c>
      <c r="DU144" s="231">
        <v>1250</v>
      </c>
      <c r="DV144" s="231">
        <v>1200</v>
      </c>
      <c r="DW144" s="228">
        <v>0.56000000000000005</v>
      </c>
      <c r="DX144" s="228">
        <v>0.56000000000000005</v>
      </c>
      <c r="DY144" s="228">
        <v>0</v>
      </c>
      <c r="DZ144" s="229">
        <v>0</v>
      </c>
      <c r="EA144" s="229">
        <v>2.86E-2</v>
      </c>
      <c r="EB144" s="230">
        <v>515000</v>
      </c>
      <c r="EC144" s="229">
        <v>5.0000000000000001E-3</v>
      </c>
      <c r="ED144" s="229">
        <v>2.86E-2</v>
      </c>
      <c r="EE144" s="228">
        <v>5.78</v>
      </c>
      <c r="EF144" s="229">
        <v>4.7000000000000002E-3</v>
      </c>
      <c r="EG144" s="230">
        <v>678883</v>
      </c>
      <c r="EH144" s="230">
        <v>897765</v>
      </c>
      <c r="EI144" s="229">
        <v>-0.24379999999999999</v>
      </c>
      <c r="EJ144" s="229">
        <v>0.52510000000000001</v>
      </c>
      <c r="EK144" s="228">
        <v>268.62</v>
      </c>
      <c r="EL144" s="228">
        <v>144.31</v>
      </c>
      <c r="EM144" s="228">
        <v>189.36</v>
      </c>
      <c r="EN144" s="228">
        <v>31.54</v>
      </c>
      <c r="EO144" s="228">
        <v>602.29</v>
      </c>
      <c r="EP144" s="228">
        <v>974.4</v>
      </c>
      <c r="EQ144" s="228">
        <v>-372.11</v>
      </c>
      <c r="ER144" s="229">
        <v>-0.38190000000000002</v>
      </c>
      <c r="ES144" s="228">
        <v>285.66000000000003</v>
      </c>
      <c r="ET144" s="228">
        <v>196.62</v>
      </c>
      <c r="EU144" s="231">
        <v>2242.16</v>
      </c>
      <c r="EV144" s="231">
        <v>71801274</v>
      </c>
      <c r="EW144" s="231">
        <v>2724.44</v>
      </c>
      <c r="EX144" s="231">
        <v>2728.76</v>
      </c>
      <c r="EY144" s="228">
        <v>-4.32</v>
      </c>
      <c r="EZ144" s="229">
        <v>-1.6000000000000001E-3</v>
      </c>
      <c r="FA144" s="229">
        <v>0.30869999999999997</v>
      </c>
      <c r="FB144" s="227" t="s">
        <v>694</v>
      </c>
      <c r="FC144">
        <f t="shared" si="2"/>
        <v>64</v>
      </c>
    </row>
    <row r="145" spans="1:159" ht="17.25" thickBot="1" x14ac:dyDescent="0.3">
      <c r="A145" s="226">
        <v>46121</v>
      </c>
      <c r="B145" s="227" t="s">
        <v>161</v>
      </c>
      <c r="C145" s="227" t="s">
        <v>584</v>
      </c>
      <c r="D145" s="228">
        <v>6400</v>
      </c>
      <c r="E145" s="228">
        <v>19</v>
      </c>
      <c r="F145" s="228">
        <v>77.25</v>
      </c>
      <c r="G145" s="228">
        <v>77.13</v>
      </c>
      <c r="H145" s="228">
        <v>0.12</v>
      </c>
      <c r="I145" s="229">
        <v>1.6000000000000001E-3</v>
      </c>
      <c r="J145" s="228">
        <v>77.11</v>
      </c>
      <c r="K145" s="228">
        <v>76.7</v>
      </c>
      <c r="L145" s="228">
        <v>0.41</v>
      </c>
      <c r="M145" s="229">
        <v>5.3E-3</v>
      </c>
      <c r="N145" s="228">
        <v>77.25</v>
      </c>
      <c r="O145" s="228">
        <v>77.13</v>
      </c>
      <c r="P145" s="228">
        <v>0.12</v>
      </c>
      <c r="Q145" s="229">
        <v>1.6000000000000001E-3</v>
      </c>
      <c r="R145" s="228">
        <v>77.59</v>
      </c>
      <c r="S145" s="228">
        <v>77.56</v>
      </c>
      <c r="T145" s="228">
        <v>0.03</v>
      </c>
      <c r="U145" s="229">
        <v>4.0000000000000002E-4</v>
      </c>
      <c r="V145" s="228">
        <v>78.23</v>
      </c>
      <c r="W145" s="228">
        <v>78.14</v>
      </c>
      <c r="X145" s="228">
        <v>0.09</v>
      </c>
      <c r="Y145" s="229">
        <v>1.1999999999999999E-3</v>
      </c>
      <c r="Z145" s="228">
        <v>0.14000000000000001</v>
      </c>
      <c r="AA145" s="228">
        <v>0.43</v>
      </c>
      <c r="AB145" s="228">
        <v>-0.28999999999999998</v>
      </c>
      <c r="AC145" s="229">
        <v>1.8E-3</v>
      </c>
      <c r="AD145" s="228">
        <v>0.14000000000000001</v>
      </c>
      <c r="AE145" s="228">
        <v>0.43</v>
      </c>
      <c r="AF145" s="228">
        <v>-0.28999999999999998</v>
      </c>
      <c r="AG145" s="229">
        <v>1.8E-3</v>
      </c>
      <c r="AH145" s="228">
        <v>0.48</v>
      </c>
      <c r="AI145" s="228">
        <v>0.86</v>
      </c>
      <c r="AJ145" s="228">
        <v>-0.38</v>
      </c>
      <c r="AK145" s="229">
        <v>6.1999999999999998E-3</v>
      </c>
      <c r="AL145" s="228">
        <v>1.1200000000000001</v>
      </c>
      <c r="AM145" s="228">
        <v>1.44</v>
      </c>
      <c r="AN145" s="228">
        <v>-0.32</v>
      </c>
      <c r="AO145" s="229">
        <v>1.4500000000000001E-2</v>
      </c>
      <c r="AP145" s="228">
        <v>77.569999999999993</v>
      </c>
      <c r="AQ145" s="228">
        <v>78.099999999999994</v>
      </c>
      <c r="AR145" s="228">
        <v>0</v>
      </c>
      <c r="AS145" s="228">
        <v>171</v>
      </c>
      <c r="AT145" s="228">
        <v>95</v>
      </c>
      <c r="AU145" s="228">
        <v>76</v>
      </c>
      <c r="AV145" s="229">
        <v>0.80289999999999995</v>
      </c>
      <c r="AW145" s="228">
        <v>153</v>
      </c>
      <c r="AX145" s="228">
        <v>87</v>
      </c>
      <c r="AY145" s="228">
        <v>67</v>
      </c>
      <c r="AZ145" s="229">
        <v>0.77200000000000002</v>
      </c>
      <c r="BA145" s="228">
        <v>16</v>
      </c>
      <c r="BB145" s="228">
        <v>7</v>
      </c>
      <c r="BC145" s="228">
        <v>9</v>
      </c>
      <c r="BD145" s="229">
        <v>1.1892</v>
      </c>
      <c r="BE145" s="228">
        <v>2</v>
      </c>
      <c r="BF145" s="228">
        <v>1</v>
      </c>
      <c r="BG145" s="228">
        <v>1</v>
      </c>
      <c r="BH145" s="229">
        <v>0.68</v>
      </c>
      <c r="BI145" s="228">
        <v>511</v>
      </c>
      <c r="BJ145" s="228">
        <v>212</v>
      </c>
      <c r="BK145" s="228">
        <v>299</v>
      </c>
      <c r="BL145" s="229">
        <v>1.4095</v>
      </c>
      <c r="BM145" s="228">
        <v>137</v>
      </c>
      <c r="BN145" s="228">
        <v>95</v>
      </c>
      <c r="BO145" s="228">
        <v>42</v>
      </c>
      <c r="BP145" s="229">
        <v>0.44719999999999999</v>
      </c>
      <c r="BQ145" s="228">
        <v>820</v>
      </c>
      <c r="BR145" s="228">
        <v>402</v>
      </c>
      <c r="BS145" s="228">
        <v>418</v>
      </c>
      <c r="BT145" s="229">
        <v>1.0395000000000001</v>
      </c>
      <c r="BU145" s="230">
        <v>32669338</v>
      </c>
      <c r="BV145" s="230">
        <v>13235263</v>
      </c>
      <c r="BW145" s="230">
        <v>19434075</v>
      </c>
      <c r="BX145" s="229">
        <v>1.4683999999999999</v>
      </c>
      <c r="BY145" s="228">
        <v>555</v>
      </c>
      <c r="BZ145" s="228">
        <v>535</v>
      </c>
      <c r="CA145" s="228">
        <v>20</v>
      </c>
      <c r="CB145" s="229">
        <v>3.78E-2</v>
      </c>
      <c r="CC145" s="228">
        <v>532</v>
      </c>
      <c r="CD145" s="228">
        <v>517</v>
      </c>
      <c r="CE145" s="228">
        <v>15</v>
      </c>
      <c r="CF145" s="229">
        <v>2.92E-2</v>
      </c>
      <c r="CG145" s="228">
        <v>20</v>
      </c>
      <c r="CH145" s="228">
        <v>16</v>
      </c>
      <c r="CI145" s="228">
        <v>4</v>
      </c>
      <c r="CJ145" s="229">
        <v>0.23400000000000001</v>
      </c>
      <c r="CK145" s="228">
        <v>3</v>
      </c>
      <c r="CL145" s="228">
        <v>2</v>
      </c>
      <c r="CM145" s="228">
        <v>1</v>
      </c>
      <c r="CN145" s="229">
        <v>0.64290000000000003</v>
      </c>
      <c r="CO145" s="228">
        <v>327</v>
      </c>
      <c r="CP145" s="228">
        <v>226</v>
      </c>
      <c r="CQ145" s="228">
        <v>101</v>
      </c>
      <c r="CR145" s="229">
        <v>0.44579999999999997</v>
      </c>
      <c r="CS145" s="228">
        <v>192</v>
      </c>
      <c r="CT145" s="228">
        <v>152</v>
      </c>
      <c r="CU145" s="228">
        <v>39</v>
      </c>
      <c r="CV145" s="229">
        <v>0.25800000000000001</v>
      </c>
      <c r="CW145" s="230">
        <v>1074</v>
      </c>
      <c r="CX145" s="228">
        <v>913</v>
      </c>
      <c r="CY145" s="228">
        <v>160</v>
      </c>
      <c r="CZ145" s="229">
        <v>0.17560000000000001</v>
      </c>
      <c r="DA145" s="228">
        <v>34.14</v>
      </c>
      <c r="DB145" s="228">
        <v>34.630000000000003</v>
      </c>
      <c r="DC145" s="228">
        <v>-0.49</v>
      </c>
      <c r="DD145" s="228">
        <v>-0.49</v>
      </c>
      <c r="DE145" s="228">
        <v>34.93</v>
      </c>
      <c r="DF145" s="228">
        <v>35.020000000000003</v>
      </c>
      <c r="DG145" s="228">
        <v>-0.79</v>
      </c>
      <c r="DH145" s="228">
        <v>-0.09</v>
      </c>
      <c r="DI145" s="228">
        <v>34.25</v>
      </c>
      <c r="DJ145" s="228">
        <v>34.03</v>
      </c>
      <c r="DK145" s="228">
        <v>0.22</v>
      </c>
      <c r="DL145" s="228">
        <v>0.22</v>
      </c>
      <c r="DM145" s="228">
        <v>33.75</v>
      </c>
      <c r="DN145" s="228">
        <v>35.97</v>
      </c>
      <c r="DO145" s="228">
        <v>-2.2200000000000002</v>
      </c>
      <c r="DP145" s="228">
        <v>-2.2200000000000002</v>
      </c>
      <c r="DQ145" s="228">
        <v>0.59</v>
      </c>
      <c r="DR145" s="228">
        <v>0.67</v>
      </c>
      <c r="DS145" s="228">
        <v>-0.08</v>
      </c>
      <c r="DT145" s="229">
        <v>-0.11940000000000001</v>
      </c>
      <c r="DU145" s="228">
        <v>80</v>
      </c>
      <c r="DV145" s="228">
        <v>77</v>
      </c>
      <c r="DW145" s="228">
        <v>0.27</v>
      </c>
      <c r="DX145" s="228">
        <v>0.45</v>
      </c>
      <c r="DY145" s="228">
        <v>-0.18</v>
      </c>
      <c r="DZ145" s="229">
        <v>-0.4</v>
      </c>
      <c r="EA145" s="229">
        <v>4.2299999999999997E-2</v>
      </c>
      <c r="EB145" s="230">
        <v>2374400</v>
      </c>
      <c r="EC145" s="229">
        <v>4.4000000000000003E-3</v>
      </c>
      <c r="ED145" s="229">
        <v>4.2299999999999997E-2</v>
      </c>
      <c r="EE145" s="228">
        <v>0.53</v>
      </c>
      <c r="EF145" s="229">
        <v>6.7999999999999996E-3</v>
      </c>
      <c r="EG145" s="230">
        <v>9674449</v>
      </c>
      <c r="EH145" s="230">
        <v>6069473</v>
      </c>
      <c r="EI145" s="229">
        <v>0.59399999999999997</v>
      </c>
      <c r="EJ145" s="229">
        <v>0.29609999999999997</v>
      </c>
      <c r="EK145" s="228">
        <v>543.22</v>
      </c>
      <c r="EL145" s="228">
        <v>136.55000000000001</v>
      </c>
      <c r="EM145" s="228">
        <v>172.26</v>
      </c>
      <c r="EN145" s="228">
        <v>14.58</v>
      </c>
      <c r="EO145" s="228">
        <v>852.03</v>
      </c>
      <c r="EP145" s="228">
        <v>410.26</v>
      </c>
      <c r="EQ145" s="228">
        <v>441.77</v>
      </c>
      <c r="ER145" s="229">
        <v>1.0768</v>
      </c>
      <c r="ES145" s="228">
        <v>342.55</v>
      </c>
      <c r="ET145" s="228">
        <v>182.01</v>
      </c>
      <c r="EU145" s="228">
        <v>555.24</v>
      </c>
      <c r="EV145" s="231">
        <v>491233252</v>
      </c>
      <c r="EW145" s="231">
        <v>1079.8</v>
      </c>
      <c r="EX145" s="228">
        <v>913.48</v>
      </c>
      <c r="EY145" s="228">
        <v>166.32</v>
      </c>
      <c r="EZ145" s="229">
        <v>0.18210000000000001</v>
      </c>
      <c r="FA145" s="229">
        <v>0.28299999999999997</v>
      </c>
      <c r="FB145" s="227" t="s">
        <v>555</v>
      </c>
      <c r="FC145">
        <f t="shared" si="2"/>
        <v>23</v>
      </c>
    </row>
    <row r="146" spans="1:159" ht="17.25" thickBot="1" x14ac:dyDescent="0.3">
      <c r="A146" s="226">
        <v>46121</v>
      </c>
      <c r="B146" s="227" t="s">
        <v>181</v>
      </c>
      <c r="C146" s="227" t="s">
        <v>266</v>
      </c>
      <c r="D146" s="228">
        <v>65</v>
      </c>
      <c r="E146" s="228">
        <v>19</v>
      </c>
      <c r="F146" s="231">
        <v>23861.3</v>
      </c>
      <c r="G146" s="231">
        <v>24057.8</v>
      </c>
      <c r="H146" s="228">
        <v>-196.5</v>
      </c>
      <c r="I146" s="229">
        <v>-8.2000000000000007E-3</v>
      </c>
      <c r="J146" s="231">
        <v>23775.1</v>
      </c>
      <c r="K146" s="231">
        <v>23997.35</v>
      </c>
      <c r="L146" s="228">
        <v>-222.25</v>
      </c>
      <c r="M146" s="229">
        <v>-9.2999999999999992E-3</v>
      </c>
      <c r="N146" s="231">
        <v>23861.3</v>
      </c>
      <c r="O146" s="231">
        <v>24057.8</v>
      </c>
      <c r="P146" s="228">
        <v>-196.5</v>
      </c>
      <c r="Q146" s="229">
        <v>-8.2000000000000007E-3</v>
      </c>
      <c r="R146" s="231">
        <v>23989.1</v>
      </c>
      <c r="S146" s="231">
        <v>24182.5</v>
      </c>
      <c r="T146" s="228">
        <v>-193.4</v>
      </c>
      <c r="U146" s="229">
        <v>-8.0000000000000002E-3</v>
      </c>
      <c r="V146" s="231">
        <v>24152.7</v>
      </c>
      <c r="W146" s="231">
        <v>24332.400000000001</v>
      </c>
      <c r="X146" s="228">
        <v>-179.7</v>
      </c>
      <c r="Y146" s="229">
        <v>-7.4000000000000003E-3</v>
      </c>
      <c r="Z146" s="228">
        <v>86.2</v>
      </c>
      <c r="AA146" s="228">
        <v>60.45</v>
      </c>
      <c r="AB146" s="228">
        <v>25.75</v>
      </c>
      <c r="AC146" s="229">
        <v>3.5999999999999999E-3</v>
      </c>
      <c r="AD146" s="228">
        <v>86.2</v>
      </c>
      <c r="AE146" s="228">
        <v>60.45</v>
      </c>
      <c r="AF146" s="228">
        <v>25.75</v>
      </c>
      <c r="AG146" s="229">
        <v>3.5999999999999999E-3</v>
      </c>
      <c r="AH146" s="228">
        <v>214</v>
      </c>
      <c r="AI146" s="228">
        <v>185.15</v>
      </c>
      <c r="AJ146" s="228">
        <v>28.85</v>
      </c>
      <c r="AK146" s="229">
        <v>8.9999999999999993E-3</v>
      </c>
      <c r="AL146" s="228">
        <v>377.6</v>
      </c>
      <c r="AM146" s="228">
        <v>335.05</v>
      </c>
      <c r="AN146" s="228">
        <v>42.55</v>
      </c>
      <c r="AO146" s="229">
        <v>1.5900000000000001E-2</v>
      </c>
      <c r="AP146" s="231">
        <v>23892.59</v>
      </c>
      <c r="AQ146" s="231">
        <v>24014.2</v>
      </c>
      <c r="AR146" s="228">
        <v>0</v>
      </c>
      <c r="AS146" s="230">
        <v>15645</v>
      </c>
      <c r="AT146" s="230">
        <v>21933</v>
      </c>
      <c r="AU146" s="230">
        <v>-6287</v>
      </c>
      <c r="AV146" s="229">
        <v>-0.28670000000000001</v>
      </c>
      <c r="AW146" s="230">
        <v>13691</v>
      </c>
      <c r="AX146" s="230">
        <v>19098</v>
      </c>
      <c r="AY146" s="230">
        <v>-5407</v>
      </c>
      <c r="AZ146" s="229">
        <v>-0.28310000000000002</v>
      </c>
      <c r="BA146" s="230">
        <v>1446</v>
      </c>
      <c r="BB146" s="230">
        <v>2130</v>
      </c>
      <c r="BC146" s="228">
        <v>-684</v>
      </c>
      <c r="BD146" s="229">
        <v>-0.32100000000000001</v>
      </c>
      <c r="BE146" s="228">
        <v>509</v>
      </c>
      <c r="BF146" s="228">
        <v>705</v>
      </c>
      <c r="BG146" s="228">
        <v>-196</v>
      </c>
      <c r="BH146" s="229">
        <v>-0.27850000000000003</v>
      </c>
      <c r="BI146" s="230">
        <v>3694291</v>
      </c>
      <c r="BJ146" s="230">
        <v>3885528</v>
      </c>
      <c r="BK146" s="230">
        <v>-191237</v>
      </c>
      <c r="BL146" s="229">
        <v>-4.9200000000000001E-2</v>
      </c>
      <c r="BM146" s="230">
        <v>3831446</v>
      </c>
      <c r="BN146" s="230">
        <v>3513368</v>
      </c>
      <c r="BO146" s="230">
        <v>318078</v>
      </c>
      <c r="BP146" s="229">
        <v>9.0499999999999997E-2</v>
      </c>
      <c r="BQ146" s="230">
        <v>7541382</v>
      </c>
      <c r="BR146" s="230">
        <v>7420829</v>
      </c>
      <c r="BS146" s="230">
        <v>120553</v>
      </c>
      <c r="BT146" s="229">
        <v>1.6199999999999999E-2</v>
      </c>
      <c r="BU146" s="228">
        <v>0</v>
      </c>
      <c r="BV146" s="228">
        <v>0</v>
      </c>
      <c r="BW146" s="228">
        <v>0</v>
      </c>
      <c r="BX146" s="229">
        <v>0</v>
      </c>
      <c r="BY146" s="230">
        <v>54213</v>
      </c>
      <c r="BZ146" s="230">
        <v>54883</v>
      </c>
      <c r="CA146" s="228">
        <v>-670</v>
      </c>
      <c r="CB146" s="229">
        <v>-1.2200000000000001E-2</v>
      </c>
      <c r="CC146" s="230">
        <v>47185</v>
      </c>
      <c r="CD146" s="230">
        <v>48063</v>
      </c>
      <c r="CE146" s="228">
        <v>-878</v>
      </c>
      <c r="CF146" s="229">
        <v>-1.83E-2</v>
      </c>
      <c r="CG146" s="230">
        <v>5163</v>
      </c>
      <c r="CH146" s="230">
        <v>5004</v>
      </c>
      <c r="CI146" s="228">
        <v>159</v>
      </c>
      <c r="CJ146" s="229">
        <v>3.1699999999999999E-2</v>
      </c>
      <c r="CK146" s="230">
        <v>1865</v>
      </c>
      <c r="CL146" s="230">
        <v>1816</v>
      </c>
      <c r="CM146" s="228">
        <v>49</v>
      </c>
      <c r="CN146" s="229">
        <v>2.7E-2</v>
      </c>
      <c r="CO146" s="230">
        <v>509801</v>
      </c>
      <c r="CP146" s="230">
        <v>407149</v>
      </c>
      <c r="CQ146" s="230">
        <v>102652</v>
      </c>
      <c r="CR146" s="229">
        <v>0.25209999999999999</v>
      </c>
      <c r="CS146" s="230">
        <v>496054</v>
      </c>
      <c r="CT146" s="230">
        <v>458810</v>
      </c>
      <c r="CU146" s="230">
        <v>37244</v>
      </c>
      <c r="CV146" s="229">
        <v>8.1199999999999994E-2</v>
      </c>
      <c r="CW146" s="230">
        <v>1060068</v>
      </c>
      <c r="CX146" s="230">
        <v>920842</v>
      </c>
      <c r="CY146" s="230">
        <v>139226</v>
      </c>
      <c r="CZ146" s="229">
        <v>0.1512</v>
      </c>
      <c r="DA146" s="228">
        <v>20.25</v>
      </c>
      <c r="DB146" s="228">
        <v>20.23</v>
      </c>
      <c r="DC146" s="228">
        <v>0.02</v>
      </c>
      <c r="DD146" s="228">
        <v>0.02</v>
      </c>
      <c r="DE146" s="228">
        <v>17.66</v>
      </c>
      <c r="DF146" s="228">
        <v>17.670000000000002</v>
      </c>
      <c r="DG146" s="228">
        <v>2.59</v>
      </c>
      <c r="DH146" s="228">
        <v>-0.01</v>
      </c>
      <c r="DI146" s="228">
        <v>18.25</v>
      </c>
      <c r="DJ146" s="228">
        <v>17.86</v>
      </c>
      <c r="DK146" s="228">
        <v>0.39</v>
      </c>
      <c r="DL146" s="228">
        <v>0.39</v>
      </c>
      <c r="DM146" s="228">
        <v>22.46</v>
      </c>
      <c r="DN146" s="228">
        <v>22.65</v>
      </c>
      <c r="DO146" s="228">
        <v>-0.19</v>
      </c>
      <c r="DP146" s="228">
        <v>-0.19</v>
      </c>
      <c r="DQ146" s="228">
        <v>0.97</v>
      </c>
      <c r="DR146" s="228">
        <v>1.1299999999999999</v>
      </c>
      <c r="DS146" s="228">
        <v>-0.16</v>
      </c>
      <c r="DT146" s="229">
        <v>-0.1416</v>
      </c>
      <c r="DU146" s="231">
        <v>25000</v>
      </c>
      <c r="DV146" s="231">
        <v>23000</v>
      </c>
      <c r="DW146" s="228">
        <v>1.04</v>
      </c>
      <c r="DX146" s="228">
        <v>0.9</v>
      </c>
      <c r="DY146" s="228">
        <v>0.14000000000000001</v>
      </c>
      <c r="DZ146" s="229">
        <v>0.15559999999999999</v>
      </c>
      <c r="EA146" s="229">
        <v>0.12959999999999999</v>
      </c>
      <c r="EB146" s="230">
        <v>2858245</v>
      </c>
      <c r="EC146" s="229">
        <v>5.4000000000000003E-3</v>
      </c>
      <c r="ED146" s="229">
        <v>0.12959999999999999</v>
      </c>
      <c r="EE146" s="228">
        <v>121.61</v>
      </c>
      <c r="EF146" s="229">
        <v>5.1000000000000004E-3</v>
      </c>
      <c r="EG146" s="228">
        <v>0</v>
      </c>
      <c r="EH146" s="228">
        <v>0</v>
      </c>
      <c r="EI146" s="229">
        <v>0</v>
      </c>
      <c r="EJ146" s="229">
        <v>0</v>
      </c>
      <c r="EK146" s="231">
        <v>3785148.21</v>
      </c>
      <c r="EL146" s="231">
        <v>3756464.24</v>
      </c>
      <c r="EM146" s="231">
        <v>15679.38</v>
      </c>
      <c r="EN146" s="231">
        <v>1392.36</v>
      </c>
      <c r="EO146" s="231">
        <v>7557291.8300000001</v>
      </c>
      <c r="EP146" s="231">
        <v>7413821.79</v>
      </c>
      <c r="EQ146" s="231">
        <v>143470.04</v>
      </c>
      <c r="ER146" s="229">
        <v>1.9400000000000001E-2</v>
      </c>
      <c r="ES146" s="231">
        <v>527875.87</v>
      </c>
      <c r="ET146" s="231">
        <v>476528.49</v>
      </c>
      <c r="EU146" s="231">
        <v>54263.38</v>
      </c>
      <c r="EV146" s="228">
        <v>0</v>
      </c>
      <c r="EW146" s="231">
        <v>1058667.74</v>
      </c>
      <c r="EX146" s="231">
        <v>917772.25</v>
      </c>
      <c r="EY146" s="231">
        <v>140895.49</v>
      </c>
      <c r="EZ146" s="229">
        <v>0.1535</v>
      </c>
      <c r="FA146" s="229">
        <v>0</v>
      </c>
      <c r="FB146" s="227" t="s">
        <v>567</v>
      </c>
      <c r="FC146">
        <f t="shared" si="2"/>
        <v>7028</v>
      </c>
    </row>
    <row r="147" spans="1:159" ht="17.25" thickBot="1" x14ac:dyDescent="0.3">
      <c r="A147" s="226">
        <v>46121</v>
      </c>
      <c r="B147" s="227" t="s">
        <v>181</v>
      </c>
      <c r="C147" s="227" t="s">
        <v>565</v>
      </c>
      <c r="D147" s="228">
        <v>25</v>
      </c>
      <c r="E147" s="228">
        <v>19</v>
      </c>
      <c r="F147" s="231">
        <v>66395.399999999994</v>
      </c>
      <c r="G147" s="231">
        <v>66403.8</v>
      </c>
      <c r="H147" s="228">
        <v>-8.4</v>
      </c>
      <c r="I147" s="229">
        <v>-1E-4</v>
      </c>
      <c r="J147" s="231">
        <v>66268.649999999994</v>
      </c>
      <c r="K147" s="231">
        <v>66145.3</v>
      </c>
      <c r="L147" s="228">
        <v>123.35</v>
      </c>
      <c r="M147" s="229">
        <v>1.9E-3</v>
      </c>
      <c r="N147" s="231">
        <v>66395.399999999994</v>
      </c>
      <c r="O147" s="231">
        <v>66403.8</v>
      </c>
      <c r="P147" s="228">
        <v>-8.4</v>
      </c>
      <c r="Q147" s="229">
        <v>-1E-4</v>
      </c>
      <c r="R147" s="231">
        <v>66651.199999999997</v>
      </c>
      <c r="S147" s="231">
        <v>66748</v>
      </c>
      <c r="T147" s="228">
        <v>-96.8</v>
      </c>
      <c r="U147" s="229">
        <v>-1.5E-3</v>
      </c>
      <c r="V147" s="228">
        <v>0</v>
      </c>
      <c r="W147" s="228">
        <v>0</v>
      </c>
      <c r="X147" s="228">
        <v>0</v>
      </c>
      <c r="Y147" s="229">
        <v>0</v>
      </c>
      <c r="Z147" s="228">
        <v>126.75</v>
      </c>
      <c r="AA147" s="228">
        <v>258.5</v>
      </c>
      <c r="AB147" s="228">
        <v>-131.75</v>
      </c>
      <c r="AC147" s="229">
        <v>1.9E-3</v>
      </c>
      <c r="AD147" s="228">
        <v>126.75</v>
      </c>
      <c r="AE147" s="228">
        <v>258.5</v>
      </c>
      <c r="AF147" s="228">
        <v>-131.75</v>
      </c>
      <c r="AG147" s="229">
        <v>1.9E-3</v>
      </c>
      <c r="AH147" s="228">
        <v>382.55</v>
      </c>
      <c r="AI147" s="228">
        <v>602.70000000000005</v>
      </c>
      <c r="AJ147" s="228">
        <v>-220.15</v>
      </c>
      <c r="AK147" s="229">
        <v>5.7999999999999996E-3</v>
      </c>
      <c r="AL147" s="228">
        <v>0</v>
      </c>
      <c r="AM147" s="228">
        <v>0</v>
      </c>
      <c r="AN147" s="228">
        <v>0</v>
      </c>
      <c r="AO147" s="229">
        <v>0</v>
      </c>
      <c r="AP147" s="231">
        <v>66377.77</v>
      </c>
      <c r="AQ147" s="231">
        <v>66662.22</v>
      </c>
      <c r="AR147" s="228">
        <v>0</v>
      </c>
      <c r="AS147" s="228">
        <v>62</v>
      </c>
      <c r="AT147" s="228">
        <v>60</v>
      </c>
      <c r="AU147" s="228">
        <v>3</v>
      </c>
      <c r="AV147" s="229">
        <v>4.7399999999999998E-2</v>
      </c>
      <c r="AW147" s="228">
        <v>58</v>
      </c>
      <c r="AX147" s="228">
        <v>49</v>
      </c>
      <c r="AY147" s="228">
        <v>8</v>
      </c>
      <c r="AZ147" s="229">
        <v>0.1711</v>
      </c>
      <c r="BA147" s="228">
        <v>4</v>
      </c>
      <c r="BB147" s="228">
        <v>10</v>
      </c>
      <c r="BC147" s="228">
        <v>-6</v>
      </c>
      <c r="BD147" s="229">
        <v>-0.55740000000000001</v>
      </c>
      <c r="BE147" s="228">
        <v>0</v>
      </c>
      <c r="BF147" s="228">
        <v>0</v>
      </c>
      <c r="BG147" s="228">
        <v>0</v>
      </c>
      <c r="BH147" s="229">
        <v>0</v>
      </c>
      <c r="BI147" s="228">
        <v>11</v>
      </c>
      <c r="BJ147" s="228">
        <v>11</v>
      </c>
      <c r="BK147" s="228">
        <v>0</v>
      </c>
      <c r="BL147" s="229">
        <v>0</v>
      </c>
      <c r="BM147" s="228">
        <v>9</v>
      </c>
      <c r="BN147" s="228">
        <v>9</v>
      </c>
      <c r="BO147" s="228">
        <v>0</v>
      </c>
      <c r="BP147" s="229">
        <v>-1.89E-2</v>
      </c>
      <c r="BQ147" s="228">
        <v>82</v>
      </c>
      <c r="BR147" s="228">
        <v>80</v>
      </c>
      <c r="BS147" s="228">
        <v>3</v>
      </c>
      <c r="BT147" s="229">
        <v>3.3300000000000003E-2</v>
      </c>
      <c r="BU147" s="228">
        <v>0</v>
      </c>
      <c r="BV147" s="228">
        <v>0</v>
      </c>
      <c r="BW147" s="228">
        <v>0</v>
      </c>
      <c r="BX147" s="229">
        <v>0</v>
      </c>
      <c r="BY147" s="228">
        <v>123</v>
      </c>
      <c r="BZ147" s="228">
        <v>122</v>
      </c>
      <c r="CA147" s="228">
        <v>1</v>
      </c>
      <c r="CB147" s="229">
        <v>5.4000000000000003E-3</v>
      </c>
      <c r="CC147" s="228">
        <v>113</v>
      </c>
      <c r="CD147" s="228">
        <v>112</v>
      </c>
      <c r="CE147" s="228">
        <v>1</v>
      </c>
      <c r="CF147" s="229">
        <v>1.04E-2</v>
      </c>
      <c r="CG147" s="228">
        <v>10</v>
      </c>
      <c r="CH147" s="228">
        <v>10</v>
      </c>
      <c r="CI147" s="228">
        <v>0</v>
      </c>
      <c r="CJ147" s="229">
        <v>-4.9200000000000001E-2</v>
      </c>
      <c r="CK147" s="228">
        <v>0</v>
      </c>
      <c r="CL147" s="228">
        <v>0</v>
      </c>
      <c r="CM147" s="228">
        <v>0</v>
      </c>
      <c r="CN147" s="229">
        <v>0</v>
      </c>
      <c r="CO147" s="228">
        <v>16</v>
      </c>
      <c r="CP147" s="228">
        <v>15</v>
      </c>
      <c r="CQ147" s="228">
        <v>1</v>
      </c>
      <c r="CR147" s="229">
        <v>8.9899999999999994E-2</v>
      </c>
      <c r="CS147" s="228">
        <v>19</v>
      </c>
      <c r="CT147" s="228">
        <v>16</v>
      </c>
      <c r="CU147" s="228">
        <v>2</v>
      </c>
      <c r="CV147" s="229">
        <v>0.15459999999999999</v>
      </c>
      <c r="CW147" s="228">
        <v>158</v>
      </c>
      <c r="CX147" s="228">
        <v>153</v>
      </c>
      <c r="CY147" s="228">
        <v>4</v>
      </c>
      <c r="CZ147" s="229">
        <v>2.93E-2</v>
      </c>
      <c r="DA147" s="228">
        <v>21.26</v>
      </c>
      <c r="DB147" s="228">
        <v>25.18</v>
      </c>
      <c r="DC147" s="228">
        <v>-3.92</v>
      </c>
      <c r="DD147" s="228">
        <v>-3.92</v>
      </c>
      <c r="DE147" s="228">
        <v>23.09</v>
      </c>
      <c r="DF147" s="228">
        <v>23.15</v>
      </c>
      <c r="DG147" s="228">
        <v>-1.83</v>
      </c>
      <c r="DH147" s="228">
        <v>-0.06</v>
      </c>
      <c r="DI147" s="228">
        <v>20.95</v>
      </c>
      <c r="DJ147" s="228">
        <v>23.52</v>
      </c>
      <c r="DK147" s="228">
        <v>-2.57</v>
      </c>
      <c r="DL147" s="228">
        <v>-2.57</v>
      </c>
      <c r="DM147" s="228">
        <v>21.68</v>
      </c>
      <c r="DN147" s="228">
        <v>27.35</v>
      </c>
      <c r="DO147" s="228">
        <v>-5.67</v>
      </c>
      <c r="DP147" s="228">
        <v>-5.67</v>
      </c>
      <c r="DQ147" s="228">
        <v>1.1499999999999999</v>
      </c>
      <c r="DR147" s="228">
        <v>1.0900000000000001</v>
      </c>
      <c r="DS147" s="228">
        <v>0.06</v>
      </c>
      <c r="DT147" s="229">
        <v>5.5E-2</v>
      </c>
      <c r="DU147" s="231">
        <v>65000</v>
      </c>
      <c r="DV147" s="231">
        <v>60200</v>
      </c>
      <c r="DW147" s="228">
        <v>0.75</v>
      </c>
      <c r="DX147" s="228">
        <v>0.77</v>
      </c>
      <c r="DY147" s="228">
        <v>-0.02</v>
      </c>
      <c r="DZ147" s="229">
        <v>-2.5999999999999999E-2</v>
      </c>
      <c r="EA147" s="229">
        <v>7.8299999999999995E-2</v>
      </c>
      <c r="EB147" s="230">
        <v>1525</v>
      </c>
      <c r="EC147" s="229">
        <v>3.8999999999999998E-3</v>
      </c>
      <c r="ED147" s="229">
        <v>7.8299999999999995E-2</v>
      </c>
      <c r="EE147" s="228">
        <v>284.45</v>
      </c>
      <c r="EF147" s="229">
        <v>4.3E-3</v>
      </c>
      <c r="EG147" s="228">
        <v>0</v>
      </c>
      <c r="EH147" s="228">
        <v>0</v>
      </c>
      <c r="EI147" s="229">
        <v>0</v>
      </c>
      <c r="EJ147" s="229">
        <v>0</v>
      </c>
      <c r="EK147" s="228">
        <v>11.72</v>
      </c>
      <c r="EL147" s="228">
        <v>8.6</v>
      </c>
      <c r="EM147" s="228">
        <v>62.41</v>
      </c>
      <c r="EN147" s="228">
        <v>0</v>
      </c>
      <c r="EO147" s="228">
        <v>82.73</v>
      </c>
      <c r="EP147" s="228">
        <v>79.16</v>
      </c>
      <c r="EQ147" s="228">
        <v>3.56</v>
      </c>
      <c r="ER147" s="229">
        <v>4.4999999999999998E-2</v>
      </c>
      <c r="ES147" s="228">
        <v>15.74</v>
      </c>
      <c r="ET147" s="228">
        <v>17.28</v>
      </c>
      <c r="EU147" s="228">
        <v>123.03</v>
      </c>
      <c r="EV147" s="228">
        <v>0</v>
      </c>
      <c r="EW147" s="228">
        <v>156.05000000000001</v>
      </c>
      <c r="EX147" s="228">
        <v>151.59</v>
      </c>
      <c r="EY147" s="228">
        <v>4.46</v>
      </c>
      <c r="EZ147" s="229">
        <v>2.9399999999999999E-2</v>
      </c>
      <c r="FA147" s="229">
        <v>0</v>
      </c>
      <c r="FB147" s="227" t="s">
        <v>566</v>
      </c>
      <c r="FC147">
        <f t="shared" si="2"/>
        <v>10</v>
      </c>
    </row>
    <row r="148" spans="1:159" ht="17.25" thickBot="1" x14ac:dyDescent="0.3">
      <c r="A148" s="226">
        <v>46121</v>
      </c>
      <c r="B148" s="227" t="s">
        <v>227</v>
      </c>
      <c r="C148" s="227" t="s">
        <v>267</v>
      </c>
      <c r="D148" s="228">
        <v>6750</v>
      </c>
      <c r="E148" s="228">
        <v>19</v>
      </c>
      <c r="F148" s="228">
        <v>84.96</v>
      </c>
      <c r="G148" s="228">
        <v>83.36</v>
      </c>
      <c r="H148" s="228">
        <v>1.6</v>
      </c>
      <c r="I148" s="229">
        <v>1.9199999999999998E-2</v>
      </c>
      <c r="J148" s="228">
        <v>84.44</v>
      </c>
      <c r="K148" s="228">
        <v>82.91</v>
      </c>
      <c r="L148" s="228">
        <v>1.53</v>
      </c>
      <c r="M148" s="229">
        <v>1.8499999999999999E-2</v>
      </c>
      <c r="N148" s="228">
        <v>84.96</v>
      </c>
      <c r="O148" s="228">
        <v>83.36</v>
      </c>
      <c r="P148" s="228">
        <v>1.6</v>
      </c>
      <c r="Q148" s="229">
        <v>1.9199999999999998E-2</v>
      </c>
      <c r="R148" s="228">
        <v>85.29</v>
      </c>
      <c r="S148" s="228">
        <v>83.86</v>
      </c>
      <c r="T148" s="228">
        <v>1.43</v>
      </c>
      <c r="U148" s="229">
        <v>1.7100000000000001E-2</v>
      </c>
      <c r="V148" s="228">
        <v>85.9</v>
      </c>
      <c r="W148" s="228">
        <v>84.29</v>
      </c>
      <c r="X148" s="228">
        <v>1.61</v>
      </c>
      <c r="Y148" s="229">
        <v>1.9099999999999999E-2</v>
      </c>
      <c r="Z148" s="228">
        <v>0.52</v>
      </c>
      <c r="AA148" s="228">
        <v>0.45</v>
      </c>
      <c r="AB148" s="228">
        <v>7.0000000000000007E-2</v>
      </c>
      <c r="AC148" s="229">
        <v>6.1999999999999998E-3</v>
      </c>
      <c r="AD148" s="228">
        <v>0.52</v>
      </c>
      <c r="AE148" s="228">
        <v>0.45</v>
      </c>
      <c r="AF148" s="228">
        <v>7.0000000000000007E-2</v>
      </c>
      <c r="AG148" s="229">
        <v>6.1999999999999998E-3</v>
      </c>
      <c r="AH148" s="228">
        <v>0.85</v>
      </c>
      <c r="AI148" s="228">
        <v>0.95</v>
      </c>
      <c r="AJ148" s="228">
        <v>-0.1</v>
      </c>
      <c r="AK148" s="229">
        <v>1.01E-2</v>
      </c>
      <c r="AL148" s="228">
        <v>1.46</v>
      </c>
      <c r="AM148" s="228">
        <v>1.38</v>
      </c>
      <c r="AN148" s="228">
        <v>0.08</v>
      </c>
      <c r="AO148" s="229">
        <v>1.7299999999999999E-2</v>
      </c>
      <c r="AP148" s="228">
        <v>84.69</v>
      </c>
      <c r="AQ148" s="228">
        <v>85.08</v>
      </c>
      <c r="AR148" s="228">
        <v>0</v>
      </c>
      <c r="AS148" s="228">
        <v>263</v>
      </c>
      <c r="AT148" s="228">
        <v>269</v>
      </c>
      <c r="AU148" s="228">
        <v>-6</v>
      </c>
      <c r="AV148" s="229">
        <v>-2.2800000000000001E-2</v>
      </c>
      <c r="AW148" s="228">
        <v>236</v>
      </c>
      <c r="AX148" s="228">
        <v>238</v>
      </c>
      <c r="AY148" s="228">
        <v>-2</v>
      </c>
      <c r="AZ148" s="229">
        <v>-8.6999999999999994E-3</v>
      </c>
      <c r="BA148" s="228">
        <v>25</v>
      </c>
      <c r="BB148" s="228">
        <v>27</v>
      </c>
      <c r="BC148" s="228">
        <v>-3</v>
      </c>
      <c r="BD148" s="229">
        <v>-9.4299999999999995E-2</v>
      </c>
      <c r="BE148" s="228">
        <v>2</v>
      </c>
      <c r="BF148" s="228">
        <v>4</v>
      </c>
      <c r="BG148" s="228">
        <v>-1</v>
      </c>
      <c r="BH148" s="229">
        <v>-0.41270000000000001</v>
      </c>
      <c r="BI148" s="228">
        <v>855</v>
      </c>
      <c r="BJ148" s="228">
        <v>529</v>
      </c>
      <c r="BK148" s="228">
        <v>326</v>
      </c>
      <c r="BL148" s="229">
        <v>0.61550000000000005</v>
      </c>
      <c r="BM148" s="228">
        <v>312</v>
      </c>
      <c r="BN148" s="228">
        <v>254</v>
      </c>
      <c r="BO148" s="228">
        <v>58</v>
      </c>
      <c r="BP148" s="229">
        <v>0.2281</v>
      </c>
      <c r="BQ148" s="230">
        <v>1430</v>
      </c>
      <c r="BR148" s="230">
        <v>1052</v>
      </c>
      <c r="BS148" s="228">
        <v>377</v>
      </c>
      <c r="BT148" s="229">
        <v>0.35870000000000002</v>
      </c>
      <c r="BU148" s="230">
        <v>27522585</v>
      </c>
      <c r="BV148" s="230">
        <v>25386922</v>
      </c>
      <c r="BW148" s="230">
        <v>2135663</v>
      </c>
      <c r="BX148" s="229">
        <v>8.4099999999999994E-2</v>
      </c>
      <c r="BY148" s="230">
        <v>2816</v>
      </c>
      <c r="BZ148" s="230">
        <v>2792</v>
      </c>
      <c r="CA148" s="228">
        <v>24</v>
      </c>
      <c r="CB148" s="229">
        <v>8.6E-3</v>
      </c>
      <c r="CC148" s="230">
        <v>2754</v>
      </c>
      <c r="CD148" s="230">
        <v>2742</v>
      </c>
      <c r="CE148" s="228">
        <v>13</v>
      </c>
      <c r="CF148" s="229">
        <v>4.5999999999999999E-3</v>
      </c>
      <c r="CG148" s="228">
        <v>57</v>
      </c>
      <c r="CH148" s="228">
        <v>46</v>
      </c>
      <c r="CI148" s="228">
        <v>10</v>
      </c>
      <c r="CJ148" s="229">
        <v>0.2268</v>
      </c>
      <c r="CK148" s="228">
        <v>6</v>
      </c>
      <c r="CL148" s="228">
        <v>5</v>
      </c>
      <c r="CM148" s="228">
        <v>1</v>
      </c>
      <c r="CN148" s="229">
        <v>0.22220000000000001</v>
      </c>
      <c r="CO148" s="228">
        <v>570</v>
      </c>
      <c r="CP148" s="228">
        <v>530</v>
      </c>
      <c r="CQ148" s="228">
        <v>40</v>
      </c>
      <c r="CR148" s="229">
        <v>7.5999999999999998E-2</v>
      </c>
      <c r="CS148" s="228">
        <v>350</v>
      </c>
      <c r="CT148" s="228">
        <v>319</v>
      </c>
      <c r="CU148" s="228">
        <v>32</v>
      </c>
      <c r="CV148" s="229">
        <v>9.9199999999999997E-2</v>
      </c>
      <c r="CW148" s="230">
        <v>3737</v>
      </c>
      <c r="CX148" s="230">
        <v>3641</v>
      </c>
      <c r="CY148" s="228">
        <v>96</v>
      </c>
      <c r="CZ148" s="229">
        <v>2.63E-2</v>
      </c>
      <c r="DA148" s="228">
        <v>33.1</v>
      </c>
      <c r="DB148" s="228">
        <v>33.43</v>
      </c>
      <c r="DC148" s="228">
        <v>-0.33</v>
      </c>
      <c r="DD148" s="228">
        <v>-0.33</v>
      </c>
      <c r="DE148" s="228">
        <v>39.28</v>
      </c>
      <c r="DF148" s="228">
        <v>39.299999999999997</v>
      </c>
      <c r="DG148" s="228">
        <v>-6.18</v>
      </c>
      <c r="DH148" s="228">
        <v>-0.02</v>
      </c>
      <c r="DI148" s="228">
        <v>32.18</v>
      </c>
      <c r="DJ148" s="228">
        <v>32.35</v>
      </c>
      <c r="DK148" s="228">
        <v>-0.17</v>
      </c>
      <c r="DL148" s="228">
        <v>-0.17</v>
      </c>
      <c r="DM148" s="228">
        <v>35.6</v>
      </c>
      <c r="DN148" s="228">
        <v>35.69</v>
      </c>
      <c r="DO148" s="228">
        <v>-0.09</v>
      </c>
      <c r="DP148" s="228">
        <v>-0.09</v>
      </c>
      <c r="DQ148" s="228">
        <v>0.61</v>
      </c>
      <c r="DR148" s="228">
        <v>0.6</v>
      </c>
      <c r="DS148" s="228">
        <v>0.01</v>
      </c>
      <c r="DT148" s="229">
        <v>1.67E-2</v>
      </c>
      <c r="DU148" s="228">
        <v>90</v>
      </c>
      <c r="DV148" s="228">
        <v>80</v>
      </c>
      <c r="DW148" s="228">
        <v>0.37</v>
      </c>
      <c r="DX148" s="228">
        <v>0.48</v>
      </c>
      <c r="DY148" s="228">
        <v>-0.11</v>
      </c>
      <c r="DZ148" s="229">
        <v>-0.22919999999999999</v>
      </c>
      <c r="EA148" s="229">
        <v>2.2200000000000001E-2</v>
      </c>
      <c r="EB148" s="230">
        <v>5994000</v>
      </c>
      <c r="EC148" s="229">
        <v>3.8999999999999998E-3</v>
      </c>
      <c r="ED148" s="229">
        <v>2.2200000000000001E-2</v>
      </c>
      <c r="EE148" s="228">
        <v>0.39</v>
      </c>
      <c r="EF148" s="229">
        <v>4.5999999999999999E-3</v>
      </c>
      <c r="EG148" s="230">
        <v>11304644</v>
      </c>
      <c r="EH148" s="230">
        <v>10491305</v>
      </c>
      <c r="EI148" s="229">
        <v>7.7499999999999999E-2</v>
      </c>
      <c r="EJ148" s="229">
        <v>0.41070000000000001</v>
      </c>
      <c r="EK148" s="228">
        <v>897.1</v>
      </c>
      <c r="EL148" s="228">
        <v>299.72000000000003</v>
      </c>
      <c r="EM148" s="228">
        <v>262.24</v>
      </c>
      <c r="EN148" s="228">
        <v>45.96</v>
      </c>
      <c r="EO148" s="231">
        <v>1459.06</v>
      </c>
      <c r="EP148" s="231">
        <v>1048.8699999999999</v>
      </c>
      <c r="EQ148" s="228">
        <v>410.19</v>
      </c>
      <c r="ER148" s="229">
        <v>0.3911</v>
      </c>
      <c r="ES148" s="228">
        <v>577.97</v>
      </c>
      <c r="ET148" s="228">
        <v>319.76</v>
      </c>
      <c r="EU148" s="231">
        <v>2816.76</v>
      </c>
      <c r="EV148" s="231">
        <v>517037525</v>
      </c>
      <c r="EW148" s="231">
        <v>3714.49</v>
      </c>
      <c r="EX148" s="231">
        <v>3561</v>
      </c>
      <c r="EY148" s="228">
        <v>153.49</v>
      </c>
      <c r="EZ148" s="229">
        <v>4.3099999999999999E-2</v>
      </c>
      <c r="FA148" s="229">
        <v>0.85060000000000002</v>
      </c>
      <c r="FB148" s="227" t="s">
        <v>555</v>
      </c>
      <c r="FC148">
        <f>BY221-CC221</f>
        <v>0</v>
      </c>
    </row>
    <row r="149" spans="1:159" ht="17.25" thickBot="1" x14ac:dyDescent="0.3">
      <c r="A149" s="226">
        <v>46121</v>
      </c>
      <c r="B149" s="227" t="s">
        <v>161</v>
      </c>
      <c r="C149" s="227" t="s">
        <v>268</v>
      </c>
      <c r="D149" s="228">
        <v>1500</v>
      </c>
      <c r="E149" s="228">
        <v>19</v>
      </c>
      <c r="F149" s="228">
        <v>380.05</v>
      </c>
      <c r="G149" s="228">
        <v>375.9</v>
      </c>
      <c r="H149" s="228">
        <v>4.1500000000000004</v>
      </c>
      <c r="I149" s="229">
        <v>1.0999999999999999E-2</v>
      </c>
      <c r="J149" s="228">
        <v>378.65</v>
      </c>
      <c r="K149" s="228">
        <v>374.15</v>
      </c>
      <c r="L149" s="228">
        <v>4.5</v>
      </c>
      <c r="M149" s="229">
        <v>1.2E-2</v>
      </c>
      <c r="N149" s="228">
        <v>380.05</v>
      </c>
      <c r="O149" s="228">
        <v>375.9</v>
      </c>
      <c r="P149" s="228">
        <v>4.1500000000000004</v>
      </c>
      <c r="Q149" s="229">
        <v>1.0999999999999999E-2</v>
      </c>
      <c r="R149" s="228">
        <v>382.45</v>
      </c>
      <c r="S149" s="228">
        <v>377.95</v>
      </c>
      <c r="T149" s="228">
        <v>4.5</v>
      </c>
      <c r="U149" s="229">
        <v>1.1900000000000001E-2</v>
      </c>
      <c r="V149" s="228">
        <v>384.35</v>
      </c>
      <c r="W149" s="228">
        <v>380.05</v>
      </c>
      <c r="X149" s="228">
        <v>4.3</v>
      </c>
      <c r="Y149" s="229">
        <v>1.1299999999999999E-2</v>
      </c>
      <c r="Z149" s="228">
        <v>1.4</v>
      </c>
      <c r="AA149" s="228">
        <v>1.75</v>
      </c>
      <c r="AB149" s="228">
        <v>-0.35</v>
      </c>
      <c r="AC149" s="229">
        <v>3.7000000000000002E-3</v>
      </c>
      <c r="AD149" s="228">
        <v>1.4</v>
      </c>
      <c r="AE149" s="228">
        <v>1.75</v>
      </c>
      <c r="AF149" s="228">
        <v>-0.35</v>
      </c>
      <c r="AG149" s="229">
        <v>3.7000000000000002E-3</v>
      </c>
      <c r="AH149" s="228">
        <v>3.8</v>
      </c>
      <c r="AI149" s="228">
        <v>3.8</v>
      </c>
      <c r="AJ149" s="228">
        <v>0</v>
      </c>
      <c r="AK149" s="229">
        <v>0.01</v>
      </c>
      <c r="AL149" s="228">
        <v>5.7</v>
      </c>
      <c r="AM149" s="228">
        <v>5.9</v>
      </c>
      <c r="AN149" s="228">
        <v>-0.2</v>
      </c>
      <c r="AO149" s="229">
        <v>1.5100000000000001E-2</v>
      </c>
      <c r="AP149" s="228">
        <v>381.54</v>
      </c>
      <c r="AQ149" s="228">
        <v>383.95</v>
      </c>
      <c r="AR149" s="228">
        <v>0</v>
      </c>
      <c r="AS149" s="228">
        <v>455</v>
      </c>
      <c r="AT149" s="228">
        <v>558</v>
      </c>
      <c r="AU149" s="228">
        <v>-103</v>
      </c>
      <c r="AV149" s="229">
        <v>-0.184</v>
      </c>
      <c r="AW149" s="228">
        <v>425</v>
      </c>
      <c r="AX149" s="228">
        <v>503</v>
      </c>
      <c r="AY149" s="228">
        <v>-78</v>
      </c>
      <c r="AZ149" s="229">
        <v>-0.155</v>
      </c>
      <c r="BA149" s="228">
        <v>27</v>
      </c>
      <c r="BB149" s="228">
        <v>49</v>
      </c>
      <c r="BC149" s="228">
        <v>-21</v>
      </c>
      <c r="BD149" s="229">
        <v>-0.43540000000000001</v>
      </c>
      <c r="BE149" s="228">
        <v>3</v>
      </c>
      <c r="BF149" s="228">
        <v>7</v>
      </c>
      <c r="BG149" s="228">
        <v>-4</v>
      </c>
      <c r="BH149" s="229">
        <v>-0.53849999999999998</v>
      </c>
      <c r="BI149" s="230">
        <v>3926</v>
      </c>
      <c r="BJ149" s="230">
        <v>1910</v>
      </c>
      <c r="BK149" s="230">
        <v>2016</v>
      </c>
      <c r="BL149" s="229">
        <v>1.0552999999999999</v>
      </c>
      <c r="BM149" s="230">
        <v>1233</v>
      </c>
      <c r="BN149" s="228">
        <v>679</v>
      </c>
      <c r="BO149" s="228">
        <v>554</v>
      </c>
      <c r="BP149" s="229">
        <v>0.81469999999999998</v>
      </c>
      <c r="BQ149" s="230">
        <v>5615</v>
      </c>
      <c r="BR149" s="230">
        <v>3148</v>
      </c>
      <c r="BS149" s="230">
        <v>2467</v>
      </c>
      <c r="BT149" s="229">
        <v>0.78359999999999996</v>
      </c>
      <c r="BU149" s="230">
        <v>20079165</v>
      </c>
      <c r="BV149" s="230">
        <v>21647657</v>
      </c>
      <c r="BW149" s="230">
        <v>-1568492</v>
      </c>
      <c r="BX149" s="229">
        <v>-7.2499999999999995E-2</v>
      </c>
      <c r="BY149" s="230">
        <v>3328</v>
      </c>
      <c r="BZ149" s="230">
        <v>3277</v>
      </c>
      <c r="CA149" s="228">
        <v>51</v>
      </c>
      <c r="CB149" s="229">
        <v>1.55E-2</v>
      </c>
      <c r="CC149" s="230">
        <v>2952</v>
      </c>
      <c r="CD149" s="230">
        <v>2908</v>
      </c>
      <c r="CE149" s="228">
        <v>45</v>
      </c>
      <c r="CF149" s="229">
        <v>1.5299999999999999E-2</v>
      </c>
      <c r="CG149" s="228">
        <v>309</v>
      </c>
      <c r="CH149" s="228">
        <v>303</v>
      </c>
      <c r="CI149" s="228">
        <v>5</v>
      </c>
      <c r="CJ149" s="229">
        <v>1.77E-2</v>
      </c>
      <c r="CK149" s="228">
        <v>67</v>
      </c>
      <c r="CL149" s="228">
        <v>66</v>
      </c>
      <c r="CM149" s="228">
        <v>1</v>
      </c>
      <c r="CN149" s="229">
        <v>1.12E-2</v>
      </c>
      <c r="CO149" s="230">
        <v>1371</v>
      </c>
      <c r="CP149" s="230">
        <v>1145</v>
      </c>
      <c r="CQ149" s="228">
        <v>227</v>
      </c>
      <c r="CR149" s="229">
        <v>0.19800000000000001</v>
      </c>
      <c r="CS149" s="228">
        <v>667</v>
      </c>
      <c r="CT149" s="228">
        <v>604</v>
      </c>
      <c r="CU149" s="228">
        <v>63</v>
      </c>
      <c r="CV149" s="229">
        <v>0.1048</v>
      </c>
      <c r="CW149" s="230">
        <v>5366</v>
      </c>
      <c r="CX149" s="230">
        <v>5025</v>
      </c>
      <c r="CY149" s="228">
        <v>341</v>
      </c>
      <c r="CZ149" s="229">
        <v>6.7799999999999999E-2</v>
      </c>
      <c r="DA149" s="228">
        <v>22.24</v>
      </c>
      <c r="DB149" s="228">
        <v>22.74</v>
      </c>
      <c r="DC149" s="228">
        <v>-0.5</v>
      </c>
      <c r="DD149" s="228">
        <v>-0.5</v>
      </c>
      <c r="DE149" s="228">
        <v>27.57</v>
      </c>
      <c r="DF149" s="228">
        <v>27.59</v>
      </c>
      <c r="DG149" s="228">
        <v>-5.33</v>
      </c>
      <c r="DH149" s="228">
        <v>-0.02</v>
      </c>
      <c r="DI149" s="228">
        <v>21.84</v>
      </c>
      <c r="DJ149" s="228">
        <v>22.28</v>
      </c>
      <c r="DK149" s="228">
        <v>-0.44</v>
      </c>
      <c r="DL149" s="228">
        <v>-0.44</v>
      </c>
      <c r="DM149" s="228">
        <v>23.5</v>
      </c>
      <c r="DN149" s="228">
        <v>24.05</v>
      </c>
      <c r="DO149" s="228">
        <v>-0.55000000000000004</v>
      </c>
      <c r="DP149" s="228">
        <v>-0.55000000000000004</v>
      </c>
      <c r="DQ149" s="228">
        <v>0.49</v>
      </c>
      <c r="DR149" s="228">
        <v>0.53</v>
      </c>
      <c r="DS149" s="228">
        <v>-0.04</v>
      </c>
      <c r="DT149" s="229">
        <v>-7.5499999999999998E-2</v>
      </c>
      <c r="DU149" s="228">
        <v>400</v>
      </c>
      <c r="DV149" s="228">
        <v>380</v>
      </c>
      <c r="DW149" s="228">
        <v>0.31</v>
      </c>
      <c r="DX149" s="228">
        <v>0.36</v>
      </c>
      <c r="DY149" s="228">
        <v>-0.05</v>
      </c>
      <c r="DZ149" s="229">
        <v>-0.1389</v>
      </c>
      <c r="EA149" s="229">
        <v>0.1129</v>
      </c>
      <c r="EB149" s="230">
        <v>9727500</v>
      </c>
      <c r="EC149" s="229">
        <v>6.3E-3</v>
      </c>
      <c r="ED149" s="229">
        <v>0.1129</v>
      </c>
      <c r="EE149" s="228">
        <v>2.41</v>
      </c>
      <c r="EF149" s="229">
        <v>6.3E-3</v>
      </c>
      <c r="EG149" s="230">
        <v>10195397</v>
      </c>
      <c r="EH149" s="230">
        <v>13693062</v>
      </c>
      <c r="EI149" s="229">
        <v>-0.25540000000000002</v>
      </c>
      <c r="EJ149" s="229">
        <v>0.50780000000000003</v>
      </c>
      <c r="EK149" s="231">
        <v>4077.68</v>
      </c>
      <c r="EL149" s="231">
        <v>1218.52</v>
      </c>
      <c r="EM149" s="228">
        <v>457.48</v>
      </c>
      <c r="EN149" s="228">
        <v>91.44</v>
      </c>
      <c r="EO149" s="231">
        <v>5753.69</v>
      </c>
      <c r="EP149" s="231">
        <v>3166.02</v>
      </c>
      <c r="EQ149" s="231">
        <v>2587.67</v>
      </c>
      <c r="ER149" s="229">
        <v>0.81730000000000003</v>
      </c>
      <c r="ES149" s="231">
        <v>1389.94</v>
      </c>
      <c r="ET149" s="228">
        <v>634.66999999999996</v>
      </c>
      <c r="EU149" s="231">
        <v>3330.69</v>
      </c>
      <c r="EV149" s="231">
        <v>550512361</v>
      </c>
      <c r="EW149" s="231">
        <v>5355.3</v>
      </c>
      <c r="EX149" s="231">
        <v>4972.91</v>
      </c>
      <c r="EY149" s="228">
        <v>382.39</v>
      </c>
      <c r="EZ149" s="229">
        <v>7.6899999999999996E-2</v>
      </c>
      <c r="FA149" s="229">
        <v>0.25650000000000001</v>
      </c>
      <c r="FB149" s="227" t="s">
        <v>555</v>
      </c>
      <c r="FC149">
        <f t="shared" ref="FC149:FC194" si="3">BY220-CC220</f>
        <v>14</v>
      </c>
    </row>
    <row r="150" spans="1:159" ht="17.25" thickBot="1" x14ac:dyDescent="0.3">
      <c r="A150" s="226">
        <v>46121</v>
      </c>
      <c r="B150" s="227" t="s">
        <v>175</v>
      </c>
      <c r="C150" s="227" t="s">
        <v>683</v>
      </c>
      <c r="D150" s="228">
        <v>500</v>
      </c>
      <c r="E150" s="228">
        <v>19</v>
      </c>
      <c r="F150" s="231">
        <v>1301.0999999999999</v>
      </c>
      <c r="G150" s="231">
        <v>1286.3</v>
      </c>
      <c r="H150" s="228">
        <v>14.8</v>
      </c>
      <c r="I150" s="229">
        <v>1.15E-2</v>
      </c>
      <c r="J150" s="231">
        <v>1294.8</v>
      </c>
      <c r="K150" s="231">
        <v>1281</v>
      </c>
      <c r="L150" s="228">
        <v>13.8</v>
      </c>
      <c r="M150" s="229">
        <v>1.0800000000000001E-2</v>
      </c>
      <c r="N150" s="231">
        <v>1301.0999999999999</v>
      </c>
      <c r="O150" s="231">
        <v>1286.3</v>
      </c>
      <c r="P150" s="228">
        <v>14.8</v>
      </c>
      <c r="Q150" s="229">
        <v>1.15E-2</v>
      </c>
      <c r="R150" s="231">
        <v>1299.3</v>
      </c>
      <c r="S150" s="231">
        <v>1283.9000000000001</v>
      </c>
      <c r="T150" s="228">
        <v>15.4</v>
      </c>
      <c r="U150" s="229">
        <v>1.2E-2</v>
      </c>
      <c r="V150" s="231">
        <v>1302.8</v>
      </c>
      <c r="W150" s="231">
        <v>1162</v>
      </c>
      <c r="X150" s="228">
        <v>140.80000000000001</v>
      </c>
      <c r="Y150" s="229">
        <v>0.1212</v>
      </c>
      <c r="Z150" s="228">
        <v>6.3</v>
      </c>
      <c r="AA150" s="228">
        <v>5.3</v>
      </c>
      <c r="AB150" s="228">
        <v>1</v>
      </c>
      <c r="AC150" s="229">
        <v>4.8999999999999998E-3</v>
      </c>
      <c r="AD150" s="228">
        <v>6.3</v>
      </c>
      <c r="AE150" s="228">
        <v>5.3</v>
      </c>
      <c r="AF150" s="228">
        <v>1</v>
      </c>
      <c r="AG150" s="229">
        <v>4.8999999999999998E-3</v>
      </c>
      <c r="AH150" s="228">
        <v>4.5</v>
      </c>
      <c r="AI150" s="228">
        <v>2.9</v>
      </c>
      <c r="AJ150" s="228">
        <v>1.6</v>
      </c>
      <c r="AK150" s="229">
        <v>3.5000000000000001E-3</v>
      </c>
      <c r="AL150" s="228">
        <v>8</v>
      </c>
      <c r="AM150" s="228">
        <v>-119</v>
      </c>
      <c r="AN150" s="228">
        <v>127</v>
      </c>
      <c r="AO150" s="229">
        <v>6.1999999999999998E-3</v>
      </c>
      <c r="AP150" s="231">
        <v>1301.1099999999999</v>
      </c>
      <c r="AQ150" s="231">
        <v>1299.52</v>
      </c>
      <c r="AR150" s="228">
        <v>0</v>
      </c>
      <c r="AS150" s="228">
        <v>58</v>
      </c>
      <c r="AT150" s="228">
        <v>114</v>
      </c>
      <c r="AU150" s="228">
        <v>-56</v>
      </c>
      <c r="AV150" s="229">
        <v>-0.49230000000000002</v>
      </c>
      <c r="AW150" s="228">
        <v>55</v>
      </c>
      <c r="AX150" s="228">
        <v>111</v>
      </c>
      <c r="AY150" s="228">
        <v>-55</v>
      </c>
      <c r="AZ150" s="229">
        <v>-0.49880000000000002</v>
      </c>
      <c r="BA150" s="228">
        <v>2</v>
      </c>
      <c r="BB150" s="228">
        <v>3</v>
      </c>
      <c r="BC150" s="228">
        <v>-1</v>
      </c>
      <c r="BD150" s="229">
        <v>-0.34</v>
      </c>
      <c r="BE150" s="228">
        <v>0</v>
      </c>
      <c r="BF150" s="228">
        <v>0</v>
      </c>
      <c r="BG150" s="228">
        <v>0</v>
      </c>
      <c r="BH150" s="229">
        <v>3</v>
      </c>
      <c r="BI150" s="228">
        <v>122</v>
      </c>
      <c r="BJ150" s="228">
        <v>229</v>
      </c>
      <c r="BK150" s="228">
        <v>-106</v>
      </c>
      <c r="BL150" s="229">
        <v>-0.46429999999999999</v>
      </c>
      <c r="BM150" s="228">
        <v>80</v>
      </c>
      <c r="BN150" s="228">
        <v>70</v>
      </c>
      <c r="BO150" s="228">
        <v>10</v>
      </c>
      <c r="BP150" s="229">
        <v>0.1487</v>
      </c>
      <c r="BQ150" s="228">
        <v>260</v>
      </c>
      <c r="BR150" s="228">
        <v>412</v>
      </c>
      <c r="BS150" s="228">
        <v>-152</v>
      </c>
      <c r="BT150" s="229">
        <v>-0.36849999999999999</v>
      </c>
      <c r="BU150" s="230">
        <v>337325</v>
      </c>
      <c r="BV150" s="230">
        <v>700741</v>
      </c>
      <c r="BW150" s="230">
        <v>-363416</v>
      </c>
      <c r="BX150" s="229">
        <v>-0.51859999999999995</v>
      </c>
      <c r="BY150" s="228">
        <v>261</v>
      </c>
      <c r="BZ150" s="228">
        <v>261</v>
      </c>
      <c r="CA150" s="228">
        <v>0</v>
      </c>
      <c r="CB150" s="229">
        <v>-1E-3</v>
      </c>
      <c r="CC150" s="228">
        <v>252</v>
      </c>
      <c r="CD150" s="228">
        <v>254</v>
      </c>
      <c r="CE150" s="228">
        <v>-1</v>
      </c>
      <c r="CF150" s="229">
        <v>-4.1000000000000003E-3</v>
      </c>
      <c r="CG150" s="228">
        <v>7</v>
      </c>
      <c r="CH150" s="228">
        <v>6</v>
      </c>
      <c r="CI150" s="228">
        <v>1</v>
      </c>
      <c r="CJ150" s="229">
        <v>0.1111</v>
      </c>
      <c r="CK150" s="228">
        <v>2</v>
      </c>
      <c r="CL150" s="228">
        <v>1</v>
      </c>
      <c r="CM150" s="228">
        <v>0</v>
      </c>
      <c r="CN150" s="229">
        <v>8.6999999999999994E-2</v>
      </c>
      <c r="CO150" s="228">
        <v>97</v>
      </c>
      <c r="CP150" s="228">
        <v>80</v>
      </c>
      <c r="CQ150" s="228">
        <v>17</v>
      </c>
      <c r="CR150" s="229">
        <v>0.21879999999999999</v>
      </c>
      <c r="CS150" s="228">
        <v>72</v>
      </c>
      <c r="CT150" s="228">
        <v>67</v>
      </c>
      <c r="CU150" s="228">
        <v>6</v>
      </c>
      <c r="CV150" s="229">
        <v>8.5000000000000006E-2</v>
      </c>
      <c r="CW150" s="228">
        <v>430</v>
      </c>
      <c r="CX150" s="228">
        <v>407</v>
      </c>
      <c r="CY150" s="228">
        <v>23</v>
      </c>
      <c r="CZ150" s="229">
        <v>5.6099999999999997E-2</v>
      </c>
      <c r="DA150" s="228">
        <v>46.98</v>
      </c>
      <c r="DB150" s="228">
        <v>44.06</v>
      </c>
      <c r="DC150" s="228">
        <v>2.92</v>
      </c>
      <c r="DD150" s="228">
        <v>2.92</v>
      </c>
      <c r="DE150" s="228">
        <v>51.27</v>
      </c>
      <c r="DF150" s="228">
        <v>51.37</v>
      </c>
      <c r="DG150" s="228">
        <v>-4.29</v>
      </c>
      <c r="DH150" s="228">
        <v>-0.1</v>
      </c>
      <c r="DI150" s="228">
        <v>39.450000000000003</v>
      </c>
      <c r="DJ150" s="228">
        <v>41.27</v>
      </c>
      <c r="DK150" s="228">
        <v>-1.82</v>
      </c>
      <c r="DL150" s="228">
        <v>-1.82</v>
      </c>
      <c r="DM150" s="228">
        <v>58.52</v>
      </c>
      <c r="DN150" s="228">
        <v>53.23</v>
      </c>
      <c r="DO150" s="228">
        <v>5.29</v>
      </c>
      <c r="DP150" s="228">
        <v>5.29</v>
      </c>
      <c r="DQ150" s="228">
        <v>0.74</v>
      </c>
      <c r="DR150" s="228">
        <v>0.84</v>
      </c>
      <c r="DS150" s="228">
        <v>-0.1</v>
      </c>
      <c r="DT150" s="229">
        <v>-0.11899999999999999</v>
      </c>
      <c r="DU150" s="231">
        <v>1300</v>
      </c>
      <c r="DV150" s="231">
        <v>1100</v>
      </c>
      <c r="DW150" s="228">
        <v>0.65</v>
      </c>
      <c r="DX150" s="228">
        <v>0.3</v>
      </c>
      <c r="DY150" s="228">
        <v>0.35</v>
      </c>
      <c r="DZ150" s="229">
        <v>1.1667000000000001</v>
      </c>
      <c r="EA150" s="229">
        <v>3.1199999999999999E-2</v>
      </c>
      <c r="EB150" s="230">
        <v>56500</v>
      </c>
      <c r="EC150" s="229">
        <v>-1.4E-3</v>
      </c>
      <c r="ED150" s="229">
        <v>3.1199999999999999E-2</v>
      </c>
      <c r="EE150" s="228">
        <v>-1.59</v>
      </c>
      <c r="EF150" s="229">
        <v>-1.1999999999999999E-3</v>
      </c>
      <c r="EG150" s="230">
        <v>104213</v>
      </c>
      <c r="EH150" s="230">
        <v>273009</v>
      </c>
      <c r="EI150" s="229">
        <v>-0.61829999999999996</v>
      </c>
      <c r="EJ150" s="229">
        <v>0.30890000000000001</v>
      </c>
      <c r="EK150" s="228">
        <v>133.21</v>
      </c>
      <c r="EL150" s="228">
        <v>68.13</v>
      </c>
      <c r="EM150" s="228">
        <v>57.83</v>
      </c>
      <c r="EN150" s="228">
        <v>12.05</v>
      </c>
      <c r="EO150" s="228">
        <v>259.17</v>
      </c>
      <c r="EP150" s="228">
        <v>412.14</v>
      </c>
      <c r="EQ150" s="228">
        <v>-152.97999999999999</v>
      </c>
      <c r="ER150" s="229">
        <v>-0.37119999999999997</v>
      </c>
      <c r="ES150" s="228">
        <v>98.72</v>
      </c>
      <c r="ET150" s="228">
        <v>63.07</v>
      </c>
      <c r="EU150" s="228">
        <v>260.60000000000002</v>
      </c>
      <c r="EV150" s="231">
        <v>12490416</v>
      </c>
      <c r="EW150" s="228">
        <v>422.4</v>
      </c>
      <c r="EX150" s="228">
        <v>393.08</v>
      </c>
      <c r="EY150" s="228">
        <v>29.32</v>
      </c>
      <c r="EZ150" s="229">
        <v>7.46E-2</v>
      </c>
      <c r="FA150" s="229">
        <v>0.2646</v>
      </c>
      <c r="FB150" s="227" t="s">
        <v>694</v>
      </c>
      <c r="FC150">
        <f t="shared" si="3"/>
        <v>0</v>
      </c>
    </row>
    <row r="151" spans="1:159" ht="17.25" thickBot="1" x14ac:dyDescent="0.3">
      <c r="A151" s="226">
        <v>46121</v>
      </c>
      <c r="B151" s="227" t="s">
        <v>614</v>
      </c>
      <c r="C151" s="227" t="s">
        <v>612</v>
      </c>
      <c r="D151" s="228">
        <v>3125</v>
      </c>
      <c r="E151" s="228">
        <v>19</v>
      </c>
      <c r="F151" s="228">
        <v>255.82</v>
      </c>
      <c r="G151" s="228">
        <v>255.43</v>
      </c>
      <c r="H151" s="228">
        <v>0.39</v>
      </c>
      <c r="I151" s="229">
        <v>1.5E-3</v>
      </c>
      <c r="J151" s="228">
        <v>254.93</v>
      </c>
      <c r="K151" s="228">
        <v>254.07</v>
      </c>
      <c r="L151" s="228">
        <v>0.86</v>
      </c>
      <c r="M151" s="229">
        <v>3.3999999999999998E-3</v>
      </c>
      <c r="N151" s="228">
        <v>255.82</v>
      </c>
      <c r="O151" s="228">
        <v>255.43</v>
      </c>
      <c r="P151" s="228">
        <v>0.39</v>
      </c>
      <c r="Q151" s="229">
        <v>1.5E-3</v>
      </c>
      <c r="R151" s="228">
        <v>257.38</v>
      </c>
      <c r="S151" s="228">
        <v>256.62</v>
      </c>
      <c r="T151" s="228">
        <v>0.76</v>
      </c>
      <c r="U151" s="229">
        <v>3.0000000000000001E-3</v>
      </c>
      <c r="V151" s="228">
        <v>259.64999999999998</v>
      </c>
      <c r="W151" s="228">
        <v>256.27</v>
      </c>
      <c r="X151" s="228">
        <v>3.38</v>
      </c>
      <c r="Y151" s="229">
        <v>1.32E-2</v>
      </c>
      <c r="Z151" s="228">
        <v>0.89</v>
      </c>
      <c r="AA151" s="228">
        <v>1.36</v>
      </c>
      <c r="AB151" s="228">
        <v>-0.47</v>
      </c>
      <c r="AC151" s="229">
        <v>3.5000000000000001E-3</v>
      </c>
      <c r="AD151" s="228">
        <v>0.89</v>
      </c>
      <c r="AE151" s="228">
        <v>1.36</v>
      </c>
      <c r="AF151" s="228">
        <v>-0.47</v>
      </c>
      <c r="AG151" s="229">
        <v>3.5000000000000001E-3</v>
      </c>
      <c r="AH151" s="228">
        <v>2.4500000000000002</v>
      </c>
      <c r="AI151" s="228">
        <v>2.5499999999999998</v>
      </c>
      <c r="AJ151" s="228">
        <v>-0.1</v>
      </c>
      <c r="AK151" s="229">
        <v>9.5999999999999992E-3</v>
      </c>
      <c r="AL151" s="228">
        <v>4.72</v>
      </c>
      <c r="AM151" s="228">
        <v>2.2000000000000002</v>
      </c>
      <c r="AN151" s="228">
        <v>2.52</v>
      </c>
      <c r="AO151" s="229">
        <v>1.8499999999999999E-2</v>
      </c>
      <c r="AP151" s="228">
        <v>256.74</v>
      </c>
      <c r="AQ151" s="228">
        <v>258.20999999999998</v>
      </c>
      <c r="AR151" s="228">
        <v>0</v>
      </c>
      <c r="AS151" s="228">
        <v>148</v>
      </c>
      <c r="AT151" s="228">
        <v>197</v>
      </c>
      <c r="AU151" s="228">
        <v>-49</v>
      </c>
      <c r="AV151" s="229">
        <v>-0.24979999999999999</v>
      </c>
      <c r="AW151" s="228">
        <v>140</v>
      </c>
      <c r="AX151" s="228">
        <v>186</v>
      </c>
      <c r="AY151" s="228">
        <v>-45</v>
      </c>
      <c r="AZ151" s="229">
        <v>-0.2437</v>
      </c>
      <c r="BA151" s="228">
        <v>7</v>
      </c>
      <c r="BB151" s="228">
        <v>11</v>
      </c>
      <c r="BC151" s="228">
        <v>-4</v>
      </c>
      <c r="BD151" s="229">
        <v>-0.37040000000000001</v>
      </c>
      <c r="BE151" s="228">
        <v>1</v>
      </c>
      <c r="BF151" s="228">
        <v>1</v>
      </c>
      <c r="BG151" s="228">
        <v>0</v>
      </c>
      <c r="BH151" s="229">
        <v>0</v>
      </c>
      <c r="BI151" s="228">
        <v>260</v>
      </c>
      <c r="BJ151" s="228">
        <v>336</v>
      </c>
      <c r="BK151" s="228">
        <v>-76</v>
      </c>
      <c r="BL151" s="229">
        <v>-0.22670000000000001</v>
      </c>
      <c r="BM151" s="228">
        <v>93</v>
      </c>
      <c r="BN151" s="228">
        <v>108</v>
      </c>
      <c r="BO151" s="228">
        <v>-15</v>
      </c>
      <c r="BP151" s="229">
        <v>-0.13830000000000001</v>
      </c>
      <c r="BQ151" s="228">
        <v>500</v>
      </c>
      <c r="BR151" s="228">
        <v>640</v>
      </c>
      <c r="BS151" s="228">
        <v>-140</v>
      </c>
      <c r="BT151" s="229">
        <v>-0.21890000000000001</v>
      </c>
      <c r="BU151" s="230">
        <v>5229826</v>
      </c>
      <c r="BV151" s="230">
        <v>4308391</v>
      </c>
      <c r="BW151" s="230">
        <v>921435</v>
      </c>
      <c r="BX151" s="229">
        <v>0.21390000000000001</v>
      </c>
      <c r="BY151" s="230">
        <v>1179</v>
      </c>
      <c r="BZ151" s="230">
        <v>1199</v>
      </c>
      <c r="CA151" s="228">
        <v>-20</v>
      </c>
      <c r="CB151" s="229">
        <v>-1.67E-2</v>
      </c>
      <c r="CC151" s="230">
        <v>1163</v>
      </c>
      <c r="CD151" s="230">
        <v>1184</v>
      </c>
      <c r="CE151" s="228">
        <v>-22</v>
      </c>
      <c r="CF151" s="229">
        <v>-1.8200000000000001E-2</v>
      </c>
      <c r="CG151" s="228">
        <v>14</v>
      </c>
      <c r="CH151" s="228">
        <v>13</v>
      </c>
      <c r="CI151" s="228">
        <v>1</v>
      </c>
      <c r="CJ151" s="229">
        <v>0.1043</v>
      </c>
      <c r="CK151" s="228">
        <v>1</v>
      </c>
      <c r="CL151" s="228">
        <v>1</v>
      </c>
      <c r="CM151" s="228">
        <v>0</v>
      </c>
      <c r="CN151" s="229">
        <v>6.25E-2</v>
      </c>
      <c r="CO151" s="228">
        <v>192</v>
      </c>
      <c r="CP151" s="228">
        <v>177</v>
      </c>
      <c r="CQ151" s="228">
        <v>15</v>
      </c>
      <c r="CR151" s="229">
        <v>8.3699999999999997E-2</v>
      </c>
      <c r="CS151" s="228">
        <v>113</v>
      </c>
      <c r="CT151" s="228">
        <v>109</v>
      </c>
      <c r="CU151" s="228">
        <v>4</v>
      </c>
      <c r="CV151" s="229">
        <v>4.1200000000000001E-2</v>
      </c>
      <c r="CW151" s="230">
        <v>1483</v>
      </c>
      <c r="CX151" s="230">
        <v>1484</v>
      </c>
      <c r="CY151" s="228">
        <v>-1</v>
      </c>
      <c r="CZ151" s="229">
        <v>-5.0000000000000001E-4</v>
      </c>
      <c r="DA151" s="228">
        <v>33.32</v>
      </c>
      <c r="DB151" s="228">
        <v>33.979999999999997</v>
      </c>
      <c r="DC151" s="228">
        <v>-0.66</v>
      </c>
      <c r="DD151" s="228">
        <v>-0.66</v>
      </c>
      <c r="DE151" s="228">
        <v>36.1</v>
      </c>
      <c r="DF151" s="228">
        <v>36.19</v>
      </c>
      <c r="DG151" s="228">
        <v>-2.78</v>
      </c>
      <c r="DH151" s="228">
        <v>-0.09</v>
      </c>
      <c r="DI151" s="228">
        <v>32.93</v>
      </c>
      <c r="DJ151" s="228">
        <v>33.6</v>
      </c>
      <c r="DK151" s="228">
        <v>-0.67</v>
      </c>
      <c r="DL151" s="228">
        <v>-0.67</v>
      </c>
      <c r="DM151" s="228">
        <v>34.43</v>
      </c>
      <c r="DN151" s="228">
        <v>35.15</v>
      </c>
      <c r="DO151" s="228">
        <v>-0.72</v>
      </c>
      <c r="DP151" s="228">
        <v>-0.72</v>
      </c>
      <c r="DQ151" s="228">
        <v>0.59</v>
      </c>
      <c r="DR151" s="228">
        <v>0.62</v>
      </c>
      <c r="DS151" s="228">
        <v>-0.03</v>
      </c>
      <c r="DT151" s="229">
        <v>-4.8399999999999999E-2</v>
      </c>
      <c r="DU151" s="228">
        <v>270</v>
      </c>
      <c r="DV151" s="228">
        <v>250</v>
      </c>
      <c r="DW151" s="228">
        <v>0.36</v>
      </c>
      <c r="DX151" s="228">
        <v>0.32</v>
      </c>
      <c r="DY151" s="228">
        <v>0.04</v>
      </c>
      <c r="DZ151" s="229">
        <v>0.125</v>
      </c>
      <c r="EA151" s="229">
        <v>1.34E-2</v>
      </c>
      <c r="EB151" s="230">
        <v>559375</v>
      </c>
      <c r="EC151" s="229">
        <v>6.1000000000000004E-3</v>
      </c>
      <c r="ED151" s="229">
        <v>1.34E-2</v>
      </c>
      <c r="EE151" s="228">
        <v>1.47</v>
      </c>
      <c r="EF151" s="229">
        <v>5.7000000000000002E-3</v>
      </c>
      <c r="EG151" s="230">
        <v>3071728</v>
      </c>
      <c r="EH151" s="230">
        <v>2145956</v>
      </c>
      <c r="EI151" s="229">
        <v>0.43140000000000001</v>
      </c>
      <c r="EJ151" s="229">
        <v>0.58730000000000004</v>
      </c>
      <c r="EK151" s="228">
        <v>275.08999999999997</v>
      </c>
      <c r="EL151" s="228">
        <v>90.1</v>
      </c>
      <c r="EM151" s="228">
        <v>148.47</v>
      </c>
      <c r="EN151" s="228">
        <v>26.96</v>
      </c>
      <c r="EO151" s="228">
        <v>513.66</v>
      </c>
      <c r="EP151" s="228">
        <v>652.49</v>
      </c>
      <c r="EQ151" s="228">
        <v>-138.83000000000001</v>
      </c>
      <c r="ER151" s="229">
        <v>-0.21279999999999999</v>
      </c>
      <c r="ES151" s="228">
        <v>197.16</v>
      </c>
      <c r="ET151" s="228">
        <v>107.79</v>
      </c>
      <c r="EU151" s="231">
        <v>1178.72</v>
      </c>
      <c r="EV151" s="231">
        <v>205669742</v>
      </c>
      <c r="EW151" s="231">
        <v>1483.67</v>
      </c>
      <c r="EX151" s="231">
        <v>1480.37</v>
      </c>
      <c r="EY151" s="228">
        <v>3.3</v>
      </c>
      <c r="EZ151" s="229">
        <v>2.2000000000000001E-3</v>
      </c>
      <c r="FA151" s="229">
        <v>0.28189999999999998</v>
      </c>
      <c r="FB151" s="227" t="s">
        <v>694</v>
      </c>
      <c r="FC151">
        <f t="shared" si="3"/>
        <v>0</v>
      </c>
    </row>
    <row r="152" spans="1:159" ht="17.25" thickBot="1" x14ac:dyDescent="0.3">
      <c r="A152" s="226">
        <v>46121</v>
      </c>
      <c r="B152" s="227" t="s">
        <v>206</v>
      </c>
      <c r="C152" s="227" t="s">
        <v>528</v>
      </c>
      <c r="D152" s="228">
        <v>350</v>
      </c>
      <c r="E152" s="228">
        <v>19</v>
      </c>
      <c r="F152" s="231">
        <v>1620.7</v>
      </c>
      <c r="G152" s="231">
        <v>1610.6</v>
      </c>
      <c r="H152" s="228">
        <v>10.1</v>
      </c>
      <c r="I152" s="229">
        <v>6.3E-3</v>
      </c>
      <c r="J152" s="231">
        <v>1653.5</v>
      </c>
      <c r="K152" s="231">
        <v>1635.8</v>
      </c>
      <c r="L152" s="228">
        <v>17.7</v>
      </c>
      <c r="M152" s="229">
        <v>1.0800000000000001E-2</v>
      </c>
      <c r="N152" s="231">
        <v>1620.7</v>
      </c>
      <c r="O152" s="231">
        <v>1610.6</v>
      </c>
      <c r="P152" s="228">
        <v>10.1</v>
      </c>
      <c r="Q152" s="229">
        <v>6.3E-3</v>
      </c>
      <c r="R152" s="231">
        <v>1595.8</v>
      </c>
      <c r="S152" s="231">
        <v>1588.7</v>
      </c>
      <c r="T152" s="228">
        <v>7.1</v>
      </c>
      <c r="U152" s="229">
        <v>4.4999999999999997E-3</v>
      </c>
      <c r="V152" s="231">
        <v>1582.2</v>
      </c>
      <c r="W152" s="231">
        <v>1588</v>
      </c>
      <c r="X152" s="228">
        <v>-5.8</v>
      </c>
      <c r="Y152" s="229">
        <v>-3.7000000000000002E-3</v>
      </c>
      <c r="Z152" s="228">
        <v>-32.799999999999997</v>
      </c>
      <c r="AA152" s="228">
        <v>-25.2</v>
      </c>
      <c r="AB152" s="228">
        <v>-7.6</v>
      </c>
      <c r="AC152" s="229">
        <v>-1.9800000000000002E-2</v>
      </c>
      <c r="AD152" s="228">
        <v>-32.799999999999997</v>
      </c>
      <c r="AE152" s="228">
        <v>-25.2</v>
      </c>
      <c r="AF152" s="228">
        <v>-7.6</v>
      </c>
      <c r="AG152" s="229">
        <v>-1.9800000000000002E-2</v>
      </c>
      <c r="AH152" s="228">
        <v>-57.7</v>
      </c>
      <c r="AI152" s="228">
        <v>-47.1</v>
      </c>
      <c r="AJ152" s="228">
        <v>-10.6</v>
      </c>
      <c r="AK152" s="229">
        <v>-3.49E-2</v>
      </c>
      <c r="AL152" s="228">
        <v>-71.3</v>
      </c>
      <c r="AM152" s="228">
        <v>-47.8</v>
      </c>
      <c r="AN152" s="228">
        <v>-23.5</v>
      </c>
      <c r="AO152" s="229">
        <v>-4.3099999999999999E-2</v>
      </c>
      <c r="AP152" s="231">
        <v>1623.65</v>
      </c>
      <c r="AQ152" s="231">
        <v>1599.92</v>
      </c>
      <c r="AR152" s="228">
        <v>0</v>
      </c>
      <c r="AS152" s="228">
        <v>263</v>
      </c>
      <c r="AT152" s="228">
        <v>149</v>
      </c>
      <c r="AU152" s="228">
        <v>114</v>
      </c>
      <c r="AV152" s="229">
        <v>0.76100000000000001</v>
      </c>
      <c r="AW152" s="228">
        <v>201</v>
      </c>
      <c r="AX152" s="228">
        <v>136</v>
      </c>
      <c r="AY152" s="228">
        <v>64</v>
      </c>
      <c r="AZ152" s="229">
        <v>0.47299999999999998</v>
      </c>
      <c r="BA152" s="228">
        <v>62</v>
      </c>
      <c r="BB152" s="228">
        <v>13</v>
      </c>
      <c r="BC152" s="228">
        <v>49</v>
      </c>
      <c r="BD152" s="229">
        <v>3.8481999999999998</v>
      </c>
      <c r="BE152" s="228">
        <v>0</v>
      </c>
      <c r="BF152" s="228">
        <v>0</v>
      </c>
      <c r="BG152" s="228">
        <v>0</v>
      </c>
      <c r="BH152" s="229">
        <v>1</v>
      </c>
      <c r="BI152" s="228">
        <v>133</v>
      </c>
      <c r="BJ152" s="228">
        <v>224</v>
      </c>
      <c r="BK152" s="228">
        <v>-90</v>
      </c>
      <c r="BL152" s="229">
        <v>-0.40350000000000003</v>
      </c>
      <c r="BM152" s="228">
        <v>98</v>
      </c>
      <c r="BN152" s="228">
        <v>95</v>
      </c>
      <c r="BO152" s="228">
        <v>3</v>
      </c>
      <c r="BP152" s="229">
        <v>3.4000000000000002E-2</v>
      </c>
      <c r="BQ152" s="228">
        <v>495</v>
      </c>
      <c r="BR152" s="228">
        <v>468</v>
      </c>
      <c r="BS152" s="228">
        <v>27</v>
      </c>
      <c r="BT152" s="229">
        <v>5.67E-2</v>
      </c>
      <c r="BU152" s="230">
        <v>1088991</v>
      </c>
      <c r="BV152" s="230">
        <v>984534</v>
      </c>
      <c r="BW152" s="230">
        <v>104457</v>
      </c>
      <c r="BX152" s="229">
        <v>0.1061</v>
      </c>
      <c r="BY152" s="230">
        <v>1493</v>
      </c>
      <c r="BZ152" s="230">
        <v>1380</v>
      </c>
      <c r="CA152" s="228">
        <v>113</v>
      </c>
      <c r="CB152" s="229">
        <v>8.1799999999999998E-2</v>
      </c>
      <c r="CC152" s="230">
        <v>1424</v>
      </c>
      <c r="CD152" s="230">
        <v>1358</v>
      </c>
      <c r="CE152" s="228">
        <v>66</v>
      </c>
      <c r="CF152" s="229">
        <v>4.8899999999999999E-2</v>
      </c>
      <c r="CG152" s="228">
        <v>68</v>
      </c>
      <c r="CH152" s="228">
        <v>22</v>
      </c>
      <c r="CI152" s="228">
        <v>46</v>
      </c>
      <c r="CJ152" s="229">
        <v>2.1309</v>
      </c>
      <c r="CK152" s="228">
        <v>1</v>
      </c>
      <c r="CL152" s="228">
        <v>1</v>
      </c>
      <c r="CM152" s="228">
        <v>0</v>
      </c>
      <c r="CN152" s="229">
        <v>0.66669999999999996</v>
      </c>
      <c r="CO152" s="228">
        <v>153</v>
      </c>
      <c r="CP152" s="228">
        <v>137</v>
      </c>
      <c r="CQ152" s="228">
        <v>16</v>
      </c>
      <c r="CR152" s="229">
        <v>0.1166</v>
      </c>
      <c r="CS152" s="228">
        <v>137</v>
      </c>
      <c r="CT152" s="228">
        <v>124</v>
      </c>
      <c r="CU152" s="228">
        <v>12</v>
      </c>
      <c r="CV152" s="229">
        <v>9.8000000000000004E-2</v>
      </c>
      <c r="CW152" s="230">
        <v>1782</v>
      </c>
      <c r="CX152" s="230">
        <v>1641</v>
      </c>
      <c r="CY152" s="228">
        <v>141</v>
      </c>
      <c r="CZ152" s="229">
        <v>8.5900000000000004E-2</v>
      </c>
      <c r="DA152" s="228">
        <v>35.96</v>
      </c>
      <c r="DB152" s="228">
        <v>38.229999999999997</v>
      </c>
      <c r="DC152" s="228">
        <v>-2.27</v>
      </c>
      <c r="DD152" s="228">
        <v>-2.27</v>
      </c>
      <c r="DE152" s="228">
        <v>37.17</v>
      </c>
      <c r="DF152" s="228">
        <v>37.25</v>
      </c>
      <c r="DG152" s="228">
        <v>-1.21</v>
      </c>
      <c r="DH152" s="228">
        <v>-0.08</v>
      </c>
      <c r="DI152" s="228">
        <v>35.26</v>
      </c>
      <c r="DJ152" s="228">
        <v>37.700000000000003</v>
      </c>
      <c r="DK152" s="228">
        <v>-2.44</v>
      </c>
      <c r="DL152" s="228">
        <v>-2.44</v>
      </c>
      <c r="DM152" s="228">
        <v>36.909999999999997</v>
      </c>
      <c r="DN152" s="228">
        <v>39.479999999999997</v>
      </c>
      <c r="DO152" s="228">
        <v>-2.57</v>
      </c>
      <c r="DP152" s="228">
        <v>-2.57</v>
      </c>
      <c r="DQ152" s="228">
        <v>0.9</v>
      </c>
      <c r="DR152" s="228">
        <v>0.91</v>
      </c>
      <c r="DS152" s="228">
        <v>-0.01</v>
      </c>
      <c r="DT152" s="229">
        <v>-1.0999999999999999E-2</v>
      </c>
      <c r="DU152" s="231">
        <v>1360</v>
      </c>
      <c r="DV152" s="231">
        <v>1520</v>
      </c>
      <c r="DW152" s="228">
        <v>0.74</v>
      </c>
      <c r="DX152" s="228">
        <v>0.42</v>
      </c>
      <c r="DY152" s="228">
        <v>0.32</v>
      </c>
      <c r="DZ152" s="229">
        <v>0.76190000000000002</v>
      </c>
      <c r="EA152" s="229">
        <v>4.5999999999999999E-2</v>
      </c>
      <c r="EB152" s="230">
        <v>136850</v>
      </c>
      <c r="EC152" s="229">
        <v>-1.54E-2</v>
      </c>
      <c r="ED152" s="229">
        <v>4.5999999999999999E-2</v>
      </c>
      <c r="EE152" s="228">
        <v>-23.73</v>
      </c>
      <c r="EF152" s="229">
        <v>-1.46E-2</v>
      </c>
      <c r="EG152" s="230">
        <v>479342</v>
      </c>
      <c r="EH152" s="230">
        <v>470475</v>
      </c>
      <c r="EI152" s="229">
        <v>1.8800000000000001E-2</v>
      </c>
      <c r="EJ152" s="229">
        <v>0.44019999999999998</v>
      </c>
      <c r="EK152" s="228">
        <v>140.26</v>
      </c>
      <c r="EL152" s="228">
        <v>97.85</v>
      </c>
      <c r="EM152" s="228">
        <v>262.48</v>
      </c>
      <c r="EN152" s="228">
        <v>24.68</v>
      </c>
      <c r="EO152" s="228">
        <v>500.6</v>
      </c>
      <c r="EP152" s="228">
        <v>468.21</v>
      </c>
      <c r="EQ152" s="228">
        <v>32.39</v>
      </c>
      <c r="ER152" s="229">
        <v>6.9199999999999998E-2</v>
      </c>
      <c r="ES152" s="228">
        <v>144.30000000000001</v>
      </c>
      <c r="ET152" s="228">
        <v>123.75</v>
      </c>
      <c r="EU152" s="231">
        <v>1492.04</v>
      </c>
      <c r="EV152" s="231">
        <v>17614093</v>
      </c>
      <c r="EW152" s="231">
        <v>1760.09</v>
      </c>
      <c r="EX152" s="231">
        <v>1610.37</v>
      </c>
      <c r="EY152" s="228">
        <v>149.72</v>
      </c>
      <c r="EZ152" s="229">
        <v>9.2999999999999999E-2</v>
      </c>
      <c r="FA152" s="229">
        <v>0.62429999999999997</v>
      </c>
      <c r="FB152" s="227" t="s">
        <v>555</v>
      </c>
      <c r="FC152">
        <f t="shared" si="3"/>
        <v>0</v>
      </c>
    </row>
    <row r="153" spans="1:159" ht="17.25" thickBot="1" x14ac:dyDescent="0.3">
      <c r="A153" s="226">
        <v>46121</v>
      </c>
      <c r="B153" s="227" t="s">
        <v>221</v>
      </c>
      <c r="C153" s="227" t="s">
        <v>518</v>
      </c>
      <c r="D153" s="228">
        <v>75</v>
      </c>
      <c r="E153" s="228">
        <v>19</v>
      </c>
      <c r="F153" s="231">
        <v>7245</v>
      </c>
      <c r="G153" s="231">
        <v>7163.5</v>
      </c>
      <c r="H153" s="228">
        <v>81.5</v>
      </c>
      <c r="I153" s="229">
        <v>1.14E-2</v>
      </c>
      <c r="J153" s="231">
        <v>7217.5</v>
      </c>
      <c r="K153" s="231">
        <v>7180</v>
      </c>
      <c r="L153" s="228">
        <v>37.5</v>
      </c>
      <c r="M153" s="229">
        <v>5.1999999999999998E-3</v>
      </c>
      <c r="N153" s="231">
        <v>7245</v>
      </c>
      <c r="O153" s="231">
        <v>7163.5</v>
      </c>
      <c r="P153" s="228">
        <v>81.5</v>
      </c>
      <c r="Q153" s="229">
        <v>1.14E-2</v>
      </c>
      <c r="R153" s="231">
        <v>7196.5</v>
      </c>
      <c r="S153" s="231">
        <v>7102.5</v>
      </c>
      <c r="T153" s="228">
        <v>94</v>
      </c>
      <c r="U153" s="229">
        <v>1.32E-2</v>
      </c>
      <c r="V153" s="231">
        <v>7188</v>
      </c>
      <c r="W153" s="231">
        <v>7075</v>
      </c>
      <c r="X153" s="228">
        <v>113</v>
      </c>
      <c r="Y153" s="229">
        <v>1.6E-2</v>
      </c>
      <c r="Z153" s="228">
        <v>27.5</v>
      </c>
      <c r="AA153" s="228">
        <v>-16.5</v>
      </c>
      <c r="AB153" s="228">
        <v>44</v>
      </c>
      <c r="AC153" s="229">
        <v>3.8E-3</v>
      </c>
      <c r="AD153" s="228">
        <v>27.5</v>
      </c>
      <c r="AE153" s="228">
        <v>-16.5</v>
      </c>
      <c r="AF153" s="228">
        <v>44</v>
      </c>
      <c r="AG153" s="229">
        <v>3.8E-3</v>
      </c>
      <c r="AH153" s="228">
        <v>-21</v>
      </c>
      <c r="AI153" s="228">
        <v>-77.5</v>
      </c>
      <c r="AJ153" s="228">
        <v>56.5</v>
      </c>
      <c r="AK153" s="229">
        <v>-2.8999999999999998E-3</v>
      </c>
      <c r="AL153" s="228">
        <v>-29.5</v>
      </c>
      <c r="AM153" s="228">
        <v>-105</v>
      </c>
      <c r="AN153" s="228">
        <v>75.5</v>
      </c>
      <c r="AO153" s="229">
        <v>-4.1000000000000003E-3</v>
      </c>
      <c r="AP153" s="231">
        <v>7192.96</v>
      </c>
      <c r="AQ153" s="231">
        <v>7180.72</v>
      </c>
      <c r="AR153" s="228">
        <v>0</v>
      </c>
      <c r="AS153" s="228">
        <v>150</v>
      </c>
      <c r="AT153" s="228">
        <v>239</v>
      </c>
      <c r="AU153" s="228">
        <v>-88</v>
      </c>
      <c r="AV153" s="229">
        <v>-0.36990000000000001</v>
      </c>
      <c r="AW153" s="228">
        <v>131</v>
      </c>
      <c r="AX153" s="228">
        <v>223</v>
      </c>
      <c r="AY153" s="228">
        <v>-92</v>
      </c>
      <c r="AZ153" s="229">
        <v>-0.41289999999999999</v>
      </c>
      <c r="BA153" s="228">
        <v>18</v>
      </c>
      <c r="BB153" s="228">
        <v>13</v>
      </c>
      <c r="BC153" s="228">
        <v>5</v>
      </c>
      <c r="BD153" s="229">
        <v>0.3458</v>
      </c>
      <c r="BE153" s="228">
        <v>2</v>
      </c>
      <c r="BF153" s="228">
        <v>2</v>
      </c>
      <c r="BG153" s="228">
        <v>-1</v>
      </c>
      <c r="BH153" s="229">
        <v>-0.26669999999999999</v>
      </c>
      <c r="BI153" s="228">
        <v>420</v>
      </c>
      <c r="BJ153" s="228">
        <v>734</v>
      </c>
      <c r="BK153" s="228">
        <v>-314</v>
      </c>
      <c r="BL153" s="229">
        <v>-0.42759999999999998</v>
      </c>
      <c r="BM153" s="228">
        <v>318</v>
      </c>
      <c r="BN153" s="228">
        <v>423</v>
      </c>
      <c r="BO153" s="228">
        <v>-104</v>
      </c>
      <c r="BP153" s="229">
        <v>-0.24690000000000001</v>
      </c>
      <c r="BQ153" s="228">
        <v>889</v>
      </c>
      <c r="BR153" s="230">
        <v>1396</v>
      </c>
      <c r="BS153" s="228">
        <v>-507</v>
      </c>
      <c r="BT153" s="229">
        <v>-0.36299999999999999</v>
      </c>
      <c r="BU153" s="230">
        <v>139022</v>
      </c>
      <c r="BV153" s="230">
        <v>179603</v>
      </c>
      <c r="BW153" s="230">
        <v>-40581</v>
      </c>
      <c r="BX153" s="229">
        <v>-0.22589999999999999</v>
      </c>
      <c r="BY153" s="230">
        <v>1086</v>
      </c>
      <c r="BZ153" s="230">
        <v>1092</v>
      </c>
      <c r="CA153" s="228">
        <v>-6</v>
      </c>
      <c r="CB153" s="229">
        <v>-5.3E-3</v>
      </c>
      <c r="CC153" s="230">
        <v>1049</v>
      </c>
      <c r="CD153" s="230">
        <v>1062</v>
      </c>
      <c r="CE153" s="228">
        <v>-13</v>
      </c>
      <c r="CF153" s="229">
        <v>-1.2E-2</v>
      </c>
      <c r="CG153" s="228">
        <v>33</v>
      </c>
      <c r="CH153" s="228">
        <v>27</v>
      </c>
      <c r="CI153" s="228">
        <v>6</v>
      </c>
      <c r="CJ153" s="229">
        <v>0.22900000000000001</v>
      </c>
      <c r="CK153" s="228">
        <v>4</v>
      </c>
      <c r="CL153" s="228">
        <v>4</v>
      </c>
      <c r="CM153" s="228">
        <v>1</v>
      </c>
      <c r="CN153" s="229">
        <v>0.22389999999999999</v>
      </c>
      <c r="CO153" s="228">
        <v>308</v>
      </c>
      <c r="CP153" s="228">
        <v>321</v>
      </c>
      <c r="CQ153" s="228">
        <v>-13</v>
      </c>
      <c r="CR153" s="229">
        <v>-4.07E-2</v>
      </c>
      <c r="CS153" s="228">
        <v>270</v>
      </c>
      <c r="CT153" s="228">
        <v>227</v>
      </c>
      <c r="CU153" s="228">
        <v>42</v>
      </c>
      <c r="CV153" s="229">
        <v>0.18690000000000001</v>
      </c>
      <c r="CW153" s="230">
        <v>1663</v>
      </c>
      <c r="CX153" s="230">
        <v>1640</v>
      </c>
      <c r="CY153" s="228">
        <v>24</v>
      </c>
      <c r="CZ153" s="229">
        <v>1.44E-2</v>
      </c>
      <c r="DA153" s="228">
        <v>41.43</v>
      </c>
      <c r="DB153" s="228">
        <v>39.65</v>
      </c>
      <c r="DC153" s="228">
        <v>1.78</v>
      </c>
      <c r="DD153" s="228">
        <v>1.78</v>
      </c>
      <c r="DE153" s="228">
        <v>39.58</v>
      </c>
      <c r="DF153" s="228">
        <v>39.65</v>
      </c>
      <c r="DG153" s="228">
        <v>1.85</v>
      </c>
      <c r="DH153" s="228">
        <v>-7.0000000000000007E-2</v>
      </c>
      <c r="DI153" s="228">
        <v>37.99</v>
      </c>
      <c r="DJ153" s="228">
        <v>37.909999999999997</v>
      </c>
      <c r="DK153" s="228">
        <v>0.08</v>
      </c>
      <c r="DL153" s="228">
        <v>0.08</v>
      </c>
      <c r="DM153" s="228">
        <v>45.96</v>
      </c>
      <c r="DN153" s="228">
        <v>42.69</v>
      </c>
      <c r="DO153" s="228">
        <v>3.27</v>
      </c>
      <c r="DP153" s="228">
        <v>3.27</v>
      </c>
      <c r="DQ153" s="228">
        <v>0.88</v>
      </c>
      <c r="DR153" s="228">
        <v>0.71</v>
      </c>
      <c r="DS153" s="228">
        <v>0.17</v>
      </c>
      <c r="DT153" s="229">
        <v>0.2394</v>
      </c>
      <c r="DU153" s="231">
        <v>7500</v>
      </c>
      <c r="DV153" s="231">
        <v>7000</v>
      </c>
      <c r="DW153" s="228">
        <v>0.76</v>
      </c>
      <c r="DX153" s="228">
        <v>0.57999999999999996</v>
      </c>
      <c r="DY153" s="228">
        <v>0.18</v>
      </c>
      <c r="DZ153" s="229">
        <v>0.31030000000000002</v>
      </c>
      <c r="EA153" s="229">
        <v>3.4200000000000001E-2</v>
      </c>
      <c r="EB153" s="230">
        <v>41700</v>
      </c>
      <c r="EC153" s="229">
        <v>-6.7000000000000002E-3</v>
      </c>
      <c r="ED153" s="229">
        <v>3.4200000000000001E-2</v>
      </c>
      <c r="EE153" s="228">
        <v>-12.24</v>
      </c>
      <c r="EF153" s="229">
        <v>-1.6999999999999999E-3</v>
      </c>
      <c r="EG153" s="230">
        <v>43654</v>
      </c>
      <c r="EH153" s="230">
        <v>62716</v>
      </c>
      <c r="EI153" s="229">
        <v>-0.3039</v>
      </c>
      <c r="EJ153" s="229">
        <v>0.314</v>
      </c>
      <c r="EK153" s="228">
        <v>440.52</v>
      </c>
      <c r="EL153" s="228">
        <v>297.75</v>
      </c>
      <c r="EM153" s="228">
        <v>149.28</v>
      </c>
      <c r="EN153" s="228">
        <v>30.08</v>
      </c>
      <c r="EO153" s="228">
        <v>887.56</v>
      </c>
      <c r="EP153" s="231">
        <v>1408.18</v>
      </c>
      <c r="EQ153" s="228">
        <v>-520.63</v>
      </c>
      <c r="ER153" s="229">
        <v>-0.36969999999999997</v>
      </c>
      <c r="ES153" s="228">
        <v>311.04000000000002</v>
      </c>
      <c r="ET153" s="228">
        <v>251.56</v>
      </c>
      <c r="EU153" s="231">
        <v>1085.79</v>
      </c>
      <c r="EV153" s="231">
        <v>3594855</v>
      </c>
      <c r="EW153" s="231">
        <v>1648.39</v>
      </c>
      <c r="EX153" s="231">
        <v>1614.01</v>
      </c>
      <c r="EY153" s="228">
        <v>34.380000000000003</v>
      </c>
      <c r="EZ153" s="229">
        <v>2.1299999999999999E-2</v>
      </c>
      <c r="FA153" s="229">
        <v>0.63859999999999995</v>
      </c>
      <c r="FB153" s="227" t="s">
        <v>694</v>
      </c>
      <c r="FC153">
        <f t="shared" si="3"/>
        <v>0</v>
      </c>
    </row>
    <row r="154" spans="1:159" ht="17.25" thickBot="1" x14ac:dyDescent="0.3">
      <c r="A154" s="226">
        <v>46121</v>
      </c>
      <c r="B154" s="227" t="s">
        <v>193</v>
      </c>
      <c r="C154" s="227" t="s">
        <v>586</v>
      </c>
      <c r="D154" s="228">
        <v>1400</v>
      </c>
      <c r="E154" s="228">
        <v>19</v>
      </c>
      <c r="F154" s="228">
        <v>472.8</v>
      </c>
      <c r="G154" s="228">
        <v>461</v>
      </c>
      <c r="H154" s="228">
        <v>11.8</v>
      </c>
      <c r="I154" s="229">
        <v>2.5600000000000001E-2</v>
      </c>
      <c r="J154" s="228">
        <v>470.75</v>
      </c>
      <c r="K154" s="228">
        <v>458.95</v>
      </c>
      <c r="L154" s="228">
        <v>11.8</v>
      </c>
      <c r="M154" s="229">
        <v>2.5700000000000001E-2</v>
      </c>
      <c r="N154" s="228">
        <v>472.8</v>
      </c>
      <c r="O154" s="228">
        <v>461</v>
      </c>
      <c r="P154" s="228">
        <v>11.8</v>
      </c>
      <c r="Q154" s="229">
        <v>2.5600000000000001E-2</v>
      </c>
      <c r="R154" s="228">
        <v>470.95</v>
      </c>
      <c r="S154" s="228">
        <v>460.7</v>
      </c>
      <c r="T154" s="228">
        <v>10.25</v>
      </c>
      <c r="U154" s="229">
        <v>2.2200000000000001E-2</v>
      </c>
      <c r="V154" s="228">
        <v>470.05</v>
      </c>
      <c r="W154" s="228">
        <v>459.35</v>
      </c>
      <c r="X154" s="228">
        <v>10.7</v>
      </c>
      <c r="Y154" s="229">
        <v>2.3300000000000001E-2</v>
      </c>
      <c r="Z154" s="228">
        <v>2.0499999999999998</v>
      </c>
      <c r="AA154" s="228">
        <v>2.0499999999999998</v>
      </c>
      <c r="AB154" s="228">
        <v>0</v>
      </c>
      <c r="AC154" s="229">
        <v>4.4000000000000003E-3</v>
      </c>
      <c r="AD154" s="228">
        <v>2.0499999999999998</v>
      </c>
      <c r="AE154" s="228">
        <v>2.0499999999999998</v>
      </c>
      <c r="AF154" s="228">
        <v>0</v>
      </c>
      <c r="AG154" s="229">
        <v>4.4000000000000003E-3</v>
      </c>
      <c r="AH154" s="228">
        <v>0.2</v>
      </c>
      <c r="AI154" s="228">
        <v>1.75</v>
      </c>
      <c r="AJ154" s="228">
        <v>-1.55</v>
      </c>
      <c r="AK154" s="229">
        <v>4.0000000000000002E-4</v>
      </c>
      <c r="AL154" s="228">
        <v>-0.7</v>
      </c>
      <c r="AM154" s="228">
        <v>0.4</v>
      </c>
      <c r="AN154" s="228">
        <v>-1.1000000000000001</v>
      </c>
      <c r="AO154" s="229">
        <v>-1.5E-3</v>
      </c>
      <c r="AP154" s="228">
        <v>466.33</v>
      </c>
      <c r="AQ154" s="228">
        <v>464.97</v>
      </c>
      <c r="AR154" s="228">
        <v>0</v>
      </c>
      <c r="AS154" s="228">
        <v>372</v>
      </c>
      <c r="AT154" s="228">
        <v>448</v>
      </c>
      <c r="AU154" s="228">
        <v>-76</v>
      </c>
      <c r="AV154" s="229">
        <v>-0.17019999999999999</v>
      </c>
      <c r="AW154" s="228">
        <v>348</v>
      </c>
      <c r="AX154" s="228">
        <v>419</v>
      </c>
      <c r="AY154" s="228">
        <v>-71</v>
      </c>
      <c r="AZ154" s="229">
        <v>-0.16839999999999999</v>
      </c>
      <c r="BA154" s="228">
        <v>22</v>
      </c>
      <c r="BB154" s="228">
        <v>26</v>
      </c>
      <c r="BC154" s="228">
        <v>-4</v>
      </c>
      <c r="BD154" s="229">
        <v>-0.15040000000000001</v>
      </c>
      <c r="BE154" s="228">
        <v>1</v>
      </c>
      <c r="BF154" s="228">
        <v>3</v>
      </c>
      <c r="BG154" s="228">
        <v>-2</v>
      </c>
      <c r="BH154" s="229">
        <v>-0.6341</v>
      </c>
      <c r="BI154" s="228">
        <v>843</v>
      </c>
      <c r="BJ154" s="228">
        <v>998</v>
      </c>
      <c r="BK154" s="228">
        <v>-155</v>
      </c>
      <c r="BL154" s="229">
        <v>-0.15540000000000001</v>
      </c>
      <c r="BM154" s="228">
        <v>238</v>
      </c>
      <c r="BN154" s="228">
        <v>588</v>
      </c>
      <c r="BO154" s="228">
        <v>-350</v>
      </c>
      <c r="BP154" s="229">
        <v>-0.59499999999999997</v>
      </c>
      <c r="BQ154" s="230">
        <v>1453</v>
      </c>
      <c r="BR154" s="230">
        <v>2034</v>
      </c>
      <c r="BS154" s="228">
        <v>-581</v>
      </c>
      <c r="BT154" s="229">
        <v>-0.2858</v>
      </c>
      <c r="BU154" s="230">
        <v>11153415</v>
      </c>
      <c r="BV154" s="230">
        <v>17319786</v>
      </c>
      <c r="BW154" s="230">
        <v>-6166371</v>
      </c>
      <c r="BX154" s="229">
        <v>-0.35599999999999998</v>
      </c>
      <c r="BY154" s="228">
        <v>986</v>
      </c>
      <c r="BZ154" s="230">
        <v>1007</v>
      </c>
      <c r="CA154" s="228">
        <v>-21</v>
      </c>
      <c r="CB154" s="229">
        <v>-2.0799999999999999E-2</v>
      </c>
      <c r="CC154" s="228">
        <v>961</v>
      </c>
      <c r="CD154" s="228">
        <v>980</v>
      </c>
      <c r="CE154" s="228">
        <v>-20</v>
      </c>
      <c r="CF154" s="229">
        <v>-2.01E-2</v>
      </c>
      <c r="CG154" s="228">
        <v>20</v>
      </c>
      <c r="CH154" s="228">
        <v>21</v>
      </c>
      <c r="CI154" s="228">
        <v>-1</v>
      </c>
      <c r="CJ154" s="229">
        <v>-4.3299999999999998E-2</v>
      </c>
      <c r="CK154" s="228">
        <v>5</v>
      </c>
      <c r="CL154" s="228">
        <v>5</v>
      </c>
      <c r="CM154" s="228">
        <v>0</v>
      </c>
      <c r="CN154" s="229">
        <v>-7.3200000000000001E-2</v>
      </c>
      <c r="CO154" s="228">
        <v>452</v>
      </c>
      <c r="CP154" s="228">
        <v>483</v>
      </c>
      <c r="CQ154" s="228">
        <v>-31</v>
      </c>
      <c r="CR154" s="229">
        <v>-6.3899999999999998E-2</v>
      </c>
      <c r="CS154" s="228">
        <v>212</v>
      </c>
      <c r="CT154" s="228">
        <v>208</v>
      </c>
      <c r="CU154" s="228">
        <v>4</v>
      </c>
      <c r="CV154" s="229">
        <v>2.0400000000000001E-2</v>
      </c>
      <c r="CW154" s="230">
        <v>1650</v>
      </c>
      <c r="CX154" s="230">
        <v>1698</v>
      </c>
      <c r="CY154" s="228">
        <v>-48</v>
      </c>
      <c r="CZ154" s="229">
        <v>-2.8000000000000001E-2</v>
      </c>
      <c r="DA154" s="228">
        <v>35.090000000000003</v>
      </c>
      <c r="DB154" s="228">
        <v>36.520000000000003</v>
      </c>
      <c r="DC154" s="228">
        <v>-1.43</v>
      </c>
      <c r="DD154" s="228">
        <v>-1.43</v>
      </c>
      <c r="DE154" s="228">
        <v>41.87</v>
      </c>
      <c r="DF154" s="228">
        <v>41.84</v>
      </c>
      <c r="DG154" s="228">
        <v>-6.78</v>
      </c>
      <c r="DH154" s="228">
        <v>0.03</v>
      </c>
      <c r="DI154" s="228">
        <v>34.83</v>
      </c>
      <c r="DJ154" s="228">
        <v>36.75</v>
      </c>
      <c r="DK154" s="228">
        <v>-1.92</v>
      </c>
      <c r="DL154" s="228">
        <v>-1.92</v>
      </c>
      <c r="DM154" s="228">
        <v>35.979999999999997</v>
      </c>
      <c r="DN154" s="228">
        <v>36.14</v>
      </c>
      <c r="DO154" s="228">
        <v>-0.16</v>
      </c>
      <c r="DP154" s="228">
        <v>-0.16</v>
      </c>
      <c r="DQ154" s="228">
        <v>0.47</v>
      </c>
      <c r="DR154" s="228">
        <v>0.43</v>
      </c>
      <c r="DS154" s="228">
        <v>0.04</v>
      </c>
      <c r="DT154" s="229">
        <v>9.2999999999999999E-2</v>
      </c>
      <c r="DU154" s="228">
        <v>500</v>
      </c>
      <c r="DV154" s="228">
        <v>470</v>
      </c>
      <c r="DW154" s="228">
        <v>0.28000000000000003</v>
      </c>
      <c r="DX154" s="228">
        <v>0.59</v>
      </c>
      <c r="DY154" s="228">
        <v>-0.31</v>
      </c>
      <c r="DZ154" s="229">
        <v>-0.52539999999999998</v>
      </c>
      <c r="EA154" s="229">
        <v>2.58E-2</v>
      </c>
      <c r="EB154" s="230">
        <v>567000</v>
      </c>
      <c r="EC154" s="229">
        <v>-3.8999999999999998E-3</v>
      </c>
      <c r="ED154" s="229">
        <v>2.58E-2</v>
      </c>
      <c r="EE154" s="228">
        <v>-1.36</v>
      </c>
      <c r="EF154" s="229">
        <v>-2.8999999999999998E-3</v>
      </c>
      <c r="EG154" s="230">
        <v>5453737</v>
      </c>
      <c r="EH154" s="230">
        <v>9382772</v>
      </c>
      <c r="EI154" s="229">
        <v>-0.41870000000000002</v>
      </c>
      <c r="EJ154" s="229">
        <v>0.48899999999999999</v>
      </c>
      <c r="EK154" s="228">
        <v>881.31</v>
      </c>
      <c r="EL154" s="228">
        <v>234.11</v>
      </c>
      <c r="EM154" s="228">
        <v>366.71</v>
      </c>
      <c r="EN154" s="228">
        <v>38.96</v>
      </c>
      <c r="EO154" s="231">
        <v>1482.13</v>
      </c>
      <c r="EP154" s="231">
        <v>2080.75</v>
      </c>
      <c r="EQ154" s="228">
        <v>-598.62</v>
      </c>
      <c r="ER154" s="229">
        <v>-0.28770000000000001</v>
      </c>
      <c r="ES154" s="228">
        <v>481.7</v>
      </c>
      <c r="ET154" s="228">
        <v>206.5</v>
      </c>
      <c r="EU154" s="228">
        <v>986.15</v>
      </c>
      <c r="EV154" s="231">
        <v>105756420</v>
      </c>
      <c r="EW154" s="231">
        <v>1674.35</v>
      </c>
      <c r="EX154" s="231">
        <v>1698.9</v>
      </c>
      <c r="EY154" s="228">
        <v>-24.55</v>
      </c>
      <c r="EZ154" s="229">
        <v>-1.4500000000000001E-2</v>
      </c>
      <c r="FA154" s="229">
        <v>0.33</v>
      </c>
      <c r="FB154" s="227" t="s">
        <v>694</v>
      </c>
      <c r="FC154">
        <f t="shared" si="3"/>
        <v>0</v>
      </c>
    </row>
    <row r="155" spans="1:159" ht="17.25" thickBot="1" x14ac:dyDescent="0.3">
      <c r="A155" s="226">
        <v>46121</v>
      </c>
      <c r="B155" s="227" t="s">
        <v>193</v>
      </c>
      <c r="C155" s="227" t="s">
        <v>269</v>
      </c>
      <c r="D155" s="228">
        <v>2250</v>
      </c>
      <c r="E155" s="228">
        <v>19</v>
      </c>
      <c r="F155" s="228">
        <v>289.89999999999998</v>
      </c>
      <c r="G155" s="228">
        <v>287.05</v>
      </c>
      <c r="H155" s="228">
        <v>2.85</v>
      </c>
      <c r="I155" s="229">
        <v>9.9000000000000008E-3</v>
      </c>
      <c r="J155" s="228">
        <v>288.60000000000002</v>
      </c>
      <c r="K155" s="228">
        <v>285.5</v>
      </c>
      <c r="L155" s="228">
        <v>3.1</v>
      </c>
      <c r="M155" s="229">
        <v>1.09E-2</v>
      </c>
      <c r="N155" s="228">
        <v>289.89999999999998</v>
      </c>
      <c r="O155" s="228">
        <v>287.05</v>
      </c>
      <c r="P155" s="228">
        <v>2.85</v>
      </c>
      <c r="Q155" s="229">
        <v>9.9000000000000008E-3</v>
      </c>
      <c r="R155" s="228">
        <v>291.5</v>
      </c>
      <c r="S155" s="228">
        <v>288.64999999999998</v>
      </c>
      <c r="T155" s="228">
        <v>2.85</v>
      </c>
      <c r="U155" s="229">
        <v>9.9000000000000008E-3</v>
      </c>
      <c r="V155" s="228">
        <v>293.55</v>
      </c>
      <c r="W155" s="228">
        <v>290.14999999999998</v>
      </c>
      <c r="X155" s="228">
        <v>3.4</v>
      </c>
      <c r="Y155" s="229">
        <v>1.17E-2</v>
      </c>
      <c r="Z155" s="228">
        <v>1.3</v>
      </c>
      <c r="AA155" s="228">
        <v>1.55</v>
      </c>
      <c r="AB155" s="228">
        <v>-0.25</v>
      </c>
      <c r="AC155" s="229">
        <v>4.4999999999999997E-3</v>
      </c>
      <c r="AD155" s="228">
        <v>1.3</v>
      </c>
      <c r="AE155" s="228">
        <v>1.55</v>
      </c>
      <c r="AF155" s="228">
        <v>-0.25</v>
      </c>
      <c r="AG155" s="229">
        <v>4.4999999999999997E-3</v>
      </c>
      <c r="AH155" s="228">
        <v>2.9</v>
      </c>
      <c r="AI155" s="228">
        <v>3.15</v>
      </c>
      <c r="AJ155" s="228">
        <v>-0.25</v>
      </c>
      <c r="AK155" s="229">
        <v>0.01</v>
      </c>
      <c r="AL155" s="228">
        <v>4.95</v>
      </c>
      <c r="AM155" s="228">
        <v>4.6500000000000004</v>
      </c>
      <c r="AN155" s="228">
        <v>0.3</v>
      </c>
      <c r="AO155" s="229">
        <v>1.72E-2</v>
      </c>
      <c r="AP155" s="228">
        <v>289.44</v>
      </c>
      <c r="AQ155" s="228">
        <v>290.69</v>
      </c>
      <c r="AR155" s="228">
        <v>0</v>
      </c>
      <c r="AS155" s="228">
        <v>288</v>
      </c>
      <c r="AT155" s="230">
        <v>1035</v>
      </c>
      <c r="AU155" s="228">
        <v>-747</v>
      </c>
      <c r="AV155" s="229">
        <v>-0.72170000000000001</v>
      </c>
      <c r="AW155" s="228">
        <v>262</v>
      </c>
      <c r="AX155" s="228">
        <v>987</v>
      </c>
      <c r="AY155" s="228">
        <v>-725</v>
      </c>
      <c r="AZ155" s="229">
        <v>-0.73460000000000003</v>
      </c>
      <c r="BA155" s="228">
        <v>24</v>
      </c>
      <c r="BB155" s="228">
        <v>41</v>
      </c>
      <c r="BC155" s="228">
        <v>-17</v>
      </c>
      <c r="BD155" s="229">
        <v>-0.42259999999999998</v>
      </c>
      <c r="BE155" s="228">
        <v>3</v>
      </c>
      <c r="BF155" s="228">
        <v>8</v>
      </c>
      <c r="BG155" s="228">
        <v>-5</v>
      </c>
      <c r="BH155" s="229">
        <v>-0.66100000000000003</v>
      </c>
      <c r="BI155" s="230">
        <v>1941</v>
      </c>
      <c r="BJ155" s="230">
        <v>3485</v>
      </c>
      <c r="BK155" s="230">
        <v>-1544</v>
      </c>
      <c r="BL155" s="229">
        <v>-0.44309999999999999</v>
      </c>
      <c r="BM155" s="228">
        <v>694</v>
      </c>
      <c r="BN155" s="230">
        <v>2201</v>
      </c>
      <c r="BO155" s="230">
        <v>-1506</v>
      </c>
      <c r="BP155" s="229">
        <v>-0.6845</v>
      </c>
      <c r="BQ155" s="230">
        <v>2923</v>
      </c>
      <c r="BR155" s="230">
        <v>6721</v>
      </c>
      <c r="BS155" s="230">
        <v>-3798</v>
      </c>
      <c r="BT155" s="229">
        <v>-0.56510000000000005</v>
      </c>
      <c r="BU155" s="230">
        <v>15213183</v>
      </c>
      <c r="BV155" s="230">
        <v>43849736</v>
      </c>
      <c r="BW155" s="230">
        <v>-28636553</v>
      </c>
      <c r="BX155" s="229">
        <v>-0.65310000000000001</v>
      </c>
      <c r="BY155" s="230">
        <v>2796</v>
      </c>
      <c r="BZ155" s="230">
        <v>2797</v>
      </c>
      <c r="CA155" s="228">
        <v>-1</v>
      </c>
      <c r="CB155" s="229">
        <v>-2.9999999999999997E-4</v>
      </c>
      <c r="CC155" s="230">
        <v>2732</v>
      </c>
      <c r="CD155" s="230">
        <v>2735</v>
      </c>
      <c r="CE155" s="228">
        <v>-3</v>
      </c>
      <c r="CF155" s="229">
        <v>-1.1999999999999999E-3</v>
      </c>
      <c r="CG155" s="228">
        <v>52</v>
      </c>
      <c r="CH155" s="228">
        <v>49</v>
      </c>
      <c r="CI155" s="228">
        <v>2</v>
      </c>
      <c r="CJ155" s="229">
        <v>4.6399999999999997E-2</v>
      </c>
      <c r="CK155" s="228">
        <v>13</v>
      </c>
      <c r="CL155" s="228">
        <v>12</v>
      </c>
      <c r="CM155" s="228">
        <v>0</v>
      </c>
      <c r="CN155" s="229">
        <v>1.0500000000000001E-2</v>
      </c>
      <c r="CO155" s="230">
        <v>1943</v>
      </c>
      <c r="CP155" s="230">
        <v>1960</v>
      </c>
      <c r="CQ155" s="228">
        <v>-17</v>
      </c>
      <c r="CR155" s="229">
        <v>-8.8999999999999999E-3</v>
      </c>
      <c r="CS155" s="230">
        <v>1046</v>
      </c>
      <c r="CT155" s="230">
        <v>1000</v>
      </c>
      <c r="CU155" s="228">
        <v>46</v>
      </c>
      <c r="CV155" s="229">
        <v>4.6199999999999998E-2</v>
      </c>
      <c r="CW155" s="230">
        <v>5785</v>
      </c>
      <c r="CX155" s="230">
        <v>5757</v>
      </c>
      <c r="CY155" s="228">
        <v>28</v>
      </c>
      <c r="CZ155" s="229">
        <v>4.7999999999999996E-3</v>
      </c>
      <c r="DA155" s="228">
        <v>29.14</v>
      </c>
      <c r="DB155" s="228">
        <v>29.39</v>
      </c>
      <c r="DC155" s="228">
        <v>-0.25</v>
      </c>
      <c r="DD155" s="228">
        <v>-0.25</v>
      </c>
      <c r="DE155" s="228">
        <v>32.03</v>
      </c>
      <c r="DF155" s="228">
        <v>32.07</v>
      </c>
      <c r="DG155" s="228">
        <v>-2.89</v>
      </c>
      <c r="DH155" s="228">
        <v>-0.04</v>
      </c>
      <c r="DI155" s="228">
        <v>28.77</v>
      </c>
      <c r="DJ155" s="228">
        <v>28.62</v>
      </c>
      <c r="DK155" s="228">
        <v>0.15</v>
      </c>
      <c r="DL155" s="228">
        <v>0.15</v>
      </c>
      <c r="DM155" s="228">
        <v>30.15</v>
      </c>
      <c r="DN155" s="228">
        <v>30.61</v>
      </c>
      <c r="DO155" s="228">
        <v>-0.46</v>
      </c>
      <c r="DP155" s="228">
        <v>-0.46</v>
      </c>
      <c r="DQ155" s="228">
        <v>0.54</v>
      </c>
      <c r="DR155" s="228">
        <v>0.51</v>
      </c>
      <c r="DS155" s="228">
        <v>0.03</v>
      </c>
      <c r="DT155" s="229">
        <v>5.8799999999999998E-2</v>
      </c>
      <c r="DU155" s="228">
        <v>293</v>
      </c>
      <c r="DV155" s="228">
        <v>270</v>
      </c>
      <c r="DW155" s="228">
        <v>0.36</v>
      </c>
      <c r="DX155" s="228">
        <v>0.63</v>
      </c>
      <c r="DY155" s="228">
        <v>-0.27</v>
      </c>
      <c r="DZ155" s="229">
        <v>-0.42859999999999998</v>
      </c>
      <c r="EA155" s="229">
        <v>2.29E-2</v>
      </c>
      <c r="EB155" s="230">
        <v>2126250</v>
      </c>
      <c r="EC155" s="229">
        <v>5.4999999999999997E-3</v>
      </c>
      <c r="ED155" s="229">
        <v>2.29E-2</v>
      </c>
      <c r="EE155" s="228">
        <v>1.25</v>
      </c>
      <c r="EF155" s="229">
        <v>4.3E-3</v>
      </c>
      <c r="EG155" s="230">
        <v>6882327</v>
      </c>
      <c r="EH155" s="230">
        <v>17355922</v>
      </c>
      <c r="EI155" s="229">
        <v>-0.60350000000000004</v>
      </c>
      <c r="EJ155" s="229">
        <v>0.45240000000000002</v>
      </c>
      <c r="EK155" s="231">
        <v>2038.06</v>
      </c>
      <c r="EL155" s="228">
        <v>680.16</v>
      </c>
      <c r="EM155" s="228">
        <v>287.83999999999997</v>
      </c>
      <c r="EN155" s="228">
        <v>89.54</v>
      </c>
      <c r="EO155" s="231">
        <v>3006.06</v>
      </c>
      <c r="EP155" s="231">
        <v>6735.46</v>
      </c>
      <c r="EQ155" s="231">
        <v>-3729.4</v>
      </c>
      <c r="ER155" s="229">
        <v>-0.55369999999999997</v>
      </c>
      <c r="ES155" s="231">
        <v>1988.01</v>
      </c>
      <c r="ET155" s="228">
        <v>983.96</v>
      </c>
      <c r="EU155" s="231">
        <v>2796.48</v>
      </c>
      <c r="EV155" s="231">
        <v>711370982</v>
      </c>
      <c r="EW155" s="231">
        <v>5768.45</v>
      </c>
      <c r="EX155" s="231">
        <v>5717.43</v>
      </c>
      <c r="EY155" s="228">
        <v>51.02</v>
      </c>
      <c r="EZ155" s="229">
        <v>8.8999999999999999E-3</v>
      </c>
      <c r="FA155" s="229">
        <v>0.28050000000000003</v>
      </c>
      <c r="FB155" s="227" t="s">
        <v>694</v>
      </c>
      <c r="FC155">
        <f t="shared" si="3"/>
        <v>0</v>
      </c>
    </row>
    <row r="156" spans="1:159" ht="17.25" thickBot="1" x14ac:dyDescent="0.3">
      <c r="A156" s="226">
        <v>46121</v>
      </c>
      <c r="B156" s="227" t="s">
        <v>197</v>
      </c>
      <c r="C156" s="227" t="s">
        <v>270</v>
      </c>
      <c r="D156" s="228">
        <v>15</v>
      </c>
      <c r="E156" s="228">
        <v>19</v>
      </c>
      <c r="F156" s="231">
        <v>35970</v>
      </c>
      <c r="G156" s="231">
        <v>35485</v>
      </c>
      <c r="H156" s="228">
        <v>485</v>
      </c>
      <c r="I156" s="229">
        <v>1.37E-2</v>
      </c>
      <c r="J156" s="231">
        <v>35950</v>
      </c>
      <c r="K156" s="231">
        <v>35325</v>
      </c>
      <c r="L156" s="228">
        <v>625</v>
      </c>
      <c r="M156" s="229">
        <v>1.77E-2</v>
      </c>
      <c r="N156" s="231">
        <v>35970</v>
      </c>
      <c r="O156" s="231">
        <v>35485</v>
      </c>
      <c r="P156" s="228">
        <v>485</v>
      </c>
      <c r="Q156" s="229">
        <v>1.37E-2</v>
      </c>
      <c r="R156" s="231">
        <v>35705</v>
      </c>
      <c r="S156" s="231">
        <v>35370</v>
      </c>
      <c r="T156" s="228">
        <v>335</v>
      </c>
      <c r="U156" s="229">
        <v>9.4999999999999998E-3</v>
      </c>
      <c r="V156" s="231">
        <v>35650</v>
      </c>
      <c r="W156" s="231">
        <v>35185</v>
      </c>
      <c r="X156" s="228">
        <v>465</v>
      </c>
      <c r="Y156" s="229">
        <v>1.32E-2</v>
      </c>
      <c r="Z156" s="228">
        <v>20</v>
      </c>
      <c r="AA156" s="228">
        <v>160</v>
      </c>
      <c r="AB156" s="228">
        <v>-140</v>
      </c>
      <c r="AC156" s="229">
        <v>5.9999999999999995E-4</v>
      </c>
      <c r="AD156" s="228">
        <v>20</v>
      </c>
      <c r="AE156" s="228">
        <v>160</v>
      </c>
      <c r="AF156" s="228">
        <v>-140</v>
      </c>
      <c r="AG156" s="229">
        <v>5.9999999999999995E-4</v>
      </c>
      <c r="AH156" s="228">
        <v>-245</v>
      </c>
      <c r="AI156" s="228">
        <v>45</v>
      </c>
      <c r="AJ156" s="228">
        <v>-290</v>
      </c>
      <c r="AK156" s="229">
        <v>-6.7999999999999996E-3</v>
      </c>
      <c r="AL156" s="228">
        <v>-300</v>
      </c>
      <c r="AM156" s="228">
        <v>-140</v>
      </c>
      <c r="AN156" s="228">
        <v>-160</v>
      </c>
      <c r="AO156" s="229">
        <v>-8.3000000000000001E-3</v>
      </c>
      <c r="AP156" s="231">
        <v>35952.17</v>
      </c>
      <c r="AQ156" s="231">
        <v>35721.86</v>
      </c>
      <c r="AR156" s="228">
        <v>0</v>
      </c>
      <c r="AS156" s="228">
        <v>183</v>
      </c>
      <c r="AT156" s="228">
        <v>100</v>
      </c>
      <c r="AU156" s="228">
        <v>84</v>
      </c>
      <c r="AV156" s="229">
        <v>0.84030000000000005</v>
      </c>
      <c r="AW156" s="228">
        <v>176</v>
      </c>
      <c r="AX156" s="228">
        <v>94</v>
      </c>
      <c r="AY156" s="228">
        <v>82</v>
      </c>
      <c r="AZ156" s="229">
        <v>0.87309999999999999</v>
      </c>
      <c r="BA156" s="228">
        <v>7</v>
      </c>
      <c r="BB156" s="228">
        <v>4</v>
      </c>
      <c r="BC156" s="228">
        <v>2</v>
      </c>
      <c r="BD156" s="229">
        <v>0.50619999999999998</v>
      </c>
      <c r="BE156" s="228">
        <v>1</v>
      </c>
      <c r="BF156" s="228">
        <v>1</v>
      </c>
      <c r="BG156" s="228">
        <v>-1</v>
      </c>
      <c r="BH156" s="229">
        <v>-0.41670000000000001</v>
      </c>
      <c r="BI156" s="228">
        <v>229</v>
      </c>
      <c r="BJ156" s="228">
        <v>233</v>
      </c>
      <c r="BK156" s="228">
        <v>-4</v>
      </c>
      <c r="BL156" s="229">
        <v>-1.6400000000000001E-2</v>
      </c>
      <c r="BM156" s="228">
        <v>147</v>
      </c>
      <c r="BN156" s="228">
        <v>129</v>
      </c>
      <c r="BO156" s="228">
        <v>18</v>
      </c>
      <c r="BP156" s="229">
        <v>0.14319999999999999</v>
      </c>
      <c r="BQ156" s="228">
        <v>560</v>
      </c>
      <c r="BR156" s="228">
        <v>462</v>
      </c>
      <c r="BS156" s="228">
        <v>98</v>
      </c>
      <c r="BT156" s="229">
        <v>0.21299999999999999</v>
      </c>
      <c r="BU156" s="230">
        <v>27217</v>
      </c>
      <c r="BV156" s="230">
        <v>18749</v>
      </c>
      <c r="BW156" s="230">
        <v>8468</v>
      </c>
      <c r="BX156" s="229">
        <v>0.45169999999999999</v>
      </c>
      <c r="BY156" s="230">
        <v>1307</v>
      </c>
      <c r="BZ156" s="230">
        <v>1290</v>
      </c>
      <c r="CA156" s="228">
        <v>18</v>
      </c>
      <c r="CB156" s="229">
        <v>1.38E-2</v>
      </c>
      <c r="CC156" s="230">
        <v>1286</v>
      </c>
      <c r="CD156" s="230">
        <v>1269</v>
      </c>
      <c r="CE156" s="228">
        <v>17</v>
      </c>
      <c r="CF156" s="229">
        <v>1.38E-2</v>
      </c>
      <c r="CG156" s="228">
        <v>19</v>
      </c>
      <c r="CH156" s="228">
        <v>19</v>
      </c>
      <c r="CI156" s="228">
        <v>0</v>
      </c>
      <c r="CJ156" s="229">
        <v>2.0299999999999999E-2</v>
      </c>
      <c r="CK156" s="228">
        <v>2</v>
      </c>
      <c r="CL156" s="228">
        <v>2</v>
      </c>
      <c r="CM156" s="228">
        <v>0</v>
      </c>
      <c r="CN156" s="229">
        <v>-4.3499999999999997E-2</v>
      </c>
      <c r="CO156" s="228">
        <v>215</v>
      </c>
      <c r="CP156" s="228">
        <v>209</v>
      </c>
      <c r="CQ156" s="228">
        <v>6</v>
      </c>
      <c r="CR156" s="229">
        <v>3.1E-2</v>
      </c>
      <c r="CS156" s="228">
        <v>192</v>
      </c>
      <c r="CT156" s="228">
        <v>171</v>
      </c>
      <c r="CU156" s="228">
        <v>21</v>
      </c>
      <c r="CV156" s="229">
        <v>0.1222</v>
      </c>
      <c r="CW156" s="230">
        <v>1715</v>
      </c>
      <c r="CX156" s="230">
        <v>1670</v>
      </c>
      <c r="CY156" s="228">
        <v>45</v>
      </c>
      <c r="CZ156" s="229">
        <v>2.7E-2</v>
      </c>
      <c r="DA156" s="228">
        <v>32.9</v>
      </c>
      <c r="DB156" s="228">
        <v>32.119999999999997</v>
      </c>
      <c r="DC156" s="228">
        <v>0.78</v>
      </c>
      <c r="DD156" s="228">
        <v>0.78</v>
      </c>
      <c r="DE156" s="228">
        <v>28.91</v>
      </c>
      <c r="DF156" s="228">
        <v>28.89</v>
      </c>
      <c r="DG156" s="228">
        <v>3.99</v>
      </c>
      <c r="DH156" s="228">
        <v>0.02</v>
      </c>
      <c r="DI156" s="228">
        <v>32.08</v>
      </c>
      <c r="DJ156" s="228">
        <v>31.27</v>
      </c>
      <c r="DK156" s="228">
        <v>0.81</v>
      </c>
      <c r="DL156" s="228">
        <v>0.81</v>
      </c>
      <c r="DM156" s="228">
        <v>34.17</v>
      </c>
      <c r="DN156" s="228">
        <v>33.659999999999997</v>
      </c>
      <c r="DO156" s="228">
        <v>0.51</v>
      </c>
      <c r="DP156" s="228">
        <v>0.51</v>
      </c>
      <c r="DQ156" s="228">
        <v>0.89</v>
      </c>
      <c r="DR156" s="228">
        <v>0.82</v>
      </c>
      <c r="DS156" s="228">
        <v>7.0000000000000007E-2</v>
      </c>
      <c r="DT156" s="229">
        <v>8.5400000000000004E-2</v>
      </c>
      <c r="DU156" s="231">
        <v>37000</v>
      </c>
      <c r="DV156" s="231">
        <v>33000</v>
      </c>
      <c r="DW156" s="228">
        <v>0.64</v>
      </c>
      <c r="DX156" s="228">
        <v>0.55000000000000004</v>
      </c>
      <c r="DY156" s="228">
        <v>0.09</v>
      </c>
      <c r="DZ156" s="229">
        <v>0.1636</v>
      </c>
      <c r="EA156" s="229">
        <v>1.6299999999999999E-2</v>
      </c>
      <c r="EB156" s="230">
        <v>5850</v>
      </c>
      <c r="EC156" s="229">
        <v>-7.4000000000000003E-3</v>
      </c>
      <c r="ED156" s="229">
        <v>1.6299999999999999E-2</v>
      </c>
      <c r="EE156" s="228">
        <v>-230.31</v>
      </c>
      <c r="EF156" s="229">
        <v>-6.4000000000000003E-3</v>
      </c>
      <c r="EG156" s="230">
        <v>12851</v>
      </c>
      <c r="EH156" s="230">
        <v>8036</v>
      </c>
      <c r="EI156" s="229">
        <v>0.59919999999999995</v>
      </c>
      <c r="EJ156" s="229">
        <v>0.47220000000000001</v>
      </c>
      <c r="EK156" s="228">
        <v>238.99</v>
      </c>
      <c r="EL156" s="228">
        <v>141.36000000000001</v>
      </c>
      <c r="EM156" s="228">
        <v>183.25</v>
      </c>
      <c r="EN156" s="228">
        <v>38.36</v>
      </c>
      <c r="EO156" s="228">
        <v>563.61</v>
      </c>
      <c r="EP156" s="228">
        <v>460.65</v>
      </c>
      <c r="EQ156" s="228">
        <v>102.96</v>
      </c>
      <c r="ER156" s="229">
        <v>0.2235</v>
      </c>
      <c r="ES156" s="228">
        <v>211.2</v>
      </c>
      <c r="ET156" s="228">
        <v>175.18</v>
      </c>
      <c r="EU156" s="231">
        <v>1307.22</v>
      </c>
      <c r="EV156" s="231">
        <v>955549</v>
      </c>
      <c r="EW156" s="231">
        <v>1693.6</v>
      </c>
      <c r="EX156" s="231">
        <v>1631.22</v>
      </c>
      <c r="EY156" s="228">
        <v>62.38</v>
      </c>
      <c r="EZ156" s="229">
        <v>3.8199999999999998E-2</v>
      </c>
      <c r="FA156" s="229">
        <v>0.49890000000000001</v>
      </c>
      <c r="FB156" s="227" t="s">
        <v>555</v>
      </c>
      <c r="FC156">
        <f t="shared" si="3"/>
        <v>0</v>
      </c>
    </row>
    <row r="157" spans="1:159" ht="17.25" thickBot="1" x14ac:dyDescent="0.3">
      <c r="A157" s="226">
        <v>46121</v>
      </c>
      <c r="B157" s="227" t="s">
        <v>168</v>
      </c>
      <c r="C157" s="227" t="s">
        <v>664</v>
      </c>
      <c r="D157" s="228">
        <v>900</v>
      </c>
      <c r="E157" s="228">
        <v>19</v>
      </c>
      <c r="F157" s="228">
        <v>459.75</v>
      </c>
      <c r="G157" s="228">
        <v>470.45</v>
      </c>
      <c r="H157" s="228">
        <v>-10.7</v>
      </c>
      <c r="I157" s="229">
        <v>-2.2700000000000001E-2</v>
      </c>
      <c r="J157" s="228">
        <v>459.7</v>
      </c>
      <c r="K157" s="228">
        <v>468.55</v>
      </c>
      <c r="L157" s="228">
        <v>-8.85</v>
      </c>
      <c r="M157" s="229">
        <v>-1.89E-2</v>
      </c>
      <c r="N157" s="228">
        <v>459.75</v>
      </c>
      <c r="O157" s="228">
        <v>470.45</v>
      </c>
      <c r="P157" s="228">
        <v>-10.7</v>
      </c>
      <c r="Q157" s="229">
        <v>-2.2700000000000001E-2</v>
      </c>
      <c r="R157" s="228">
        <v>462.45</v>
      </c>
      <c r="S157" s="228">
        <v>472.75</v>
      </c>
      <c r="T157" s="228">
        <v>-10.3</v>
      </c>
      <c r="U157" s="229">
        <v>-2.18E-2</v>
      </c>
      <c r="V157" s="228">
        <v>464.8</v>
      </c>
      <c r="W157" s="228">
        <v>475.2</v>
      </c>
      <c r="X157" s="228">
        <v>-10.4</v>
      </c>
      <c r="Y157" s="229">
        <v>-2.1899999999999999E-2</v>
      </c>
      <c r="Z157" s="228">
        <v>0.05</v>
      </c>
      <c r="AA157" s="228">
        <v>1.9</v>
      </c>
      <c r="AB157" s="228">
        <v>-1.85</v>
      </c>
      <c r="AC157" s="229">
        <v>1E-4</v>
      </c>
      <c r="AD157" s="228">
        <v>0.05</v>
      </c>
      <c r="AE157" s="228">
        <v>1.9</v>
      </c>
      <c r="AF157" s="228">
        <v>-1.85</v>
      </c>
      <c r="AG157" s="229">
        <v>1E-4</v>
      </c>
      <c r="AH157" s="228">
        <v>2.75</v>
      </c>
      <c r="AI157" s="228">
        <v>4.2</v>
      </c>
      <c r="AJ157" s="228">
        <v>-1.45</v>
      </c>
      <c r="AK157" s="229">
        <v>6.0000000000000001E-3</v>
      </c>
      <c r="AL157" s="228">
        <v>5.0999999999999996</v>
      </c>
      <c r="AM157" s="228">
        <v>6.65</v>
      </c>
      <c r="AN157" s="228">
        <v>-1.55</v>
      </c>
      <c r="AO157" s="229">
        <v>1.11E-2</v>
      </c>
      <c r="AP157" s="228">
        <v>461.29</v>
      </c>
      <c r="AQ157" s="228">
        <v>464.26</v>
      </c>
      <c r="AR157" s="228">
        <v>0</v>
      </c>
      <c r="AS157" s="228">
        <v>133</v>
      </c>
      <c r="AT157" s="228">
        <v>279</v>
      </c>
      <c r="AU157" s="228">
        <v>-146</v>
      </c>
      <c r="AV157" s="229">
        <v>-0.52180000000000004</v>
      </c>
      <c r="AW157" s="228">
        <v>131</v>
      </c>
      <c r="AX157" s="228">
        <v>274</v>
      </c>
      <c r="AY157" s="228">
        <v>-143</v>
      </c>
      <c r="AZ157" s="229">
        <v>-0.52170000000000005</v>
      </c>
      <c r="BA157" s="228">
        <v>2</v>
      </c>
      <c r="BB157" s="228">
        <v>4</v>
      </c>
      <c r="BC157" s="228">
        <v>-2</v>
      </c>
      <c r="BD157" s="229">
        <v>-0.56069999999999998</v>
      </c>
      <c r="BE157" s="228">
        <v>0</v>
      </c>
      <c r="BF157" s="228">
        <v>0</v>
      </c>
      <c r="BG157" s="228">
        <v>0</v>
      </c>
      <c r="BH157" s="229">
        <v>-0.18179999999999999</v>
      </c>
      <c r="BI157" s="228">
        <v>130</v>
      </c>
      <c r="BJ157" s="228">
        <v>208</v>
      </c>
      <c r="BK157" s="228">
        <v>-79</v>
      </c>
      <c r="BL157" s="229">
        <v>-0.3775</v>
      </c>
      <c r="BM157" s="228">
        <v>83</v>
      </c>
      <c r="BN157" s="228">
        <v>109</v>
      </c>
      <c r="BO157" s="228">
        <v>-26</v>
      </c>
      <c r="BP157" s="229">
        <v>-0.2354</v>
      </c>
      <c r="BQ157" s="228">
        <v>346</v>
      </c>
      <c r="BR157" s="228">
        <v>596</v>
      </c>
      <c r="BS157" s="228">
        <v>-250</v>
      </c>
      <c r="BT157" s="229">
        <v>-0.41920000000000002</v>
      </c>
      <c r="BU157" s="230">
        <v>1733058</v>
      </c>
      <c r="BV157" s="230">
        <v>6523070</v>
      </c>
      <c r="BW157" s="230">
        <v>-4790012</v>
      </c>
      <c r="BX157" s="229">
        <v>-0.73429999999999995</v>
      </c>
      <c r="BY157" s="230">
        <v>1582</v>
      </c>
      <c r="BZ157" s="230">
        <v>1574</v>
      </c>
      <c r="CA157" s="228">
        <v>7</v>
      </c>
      <c r="CB157" s="229">
        <v>4.5999999999999999E-3</v>
      </c>
      <c r="CC157" s="230">
        <v>1573</v>
      </c>
      <c r="CD157" s="230">
        <v>1567</v>
      </c>
      <c r="CE157" s="228">
        <v>6</v>
      </c>
      <c r="CF157" s="229">
        <v>3.8E-3</v>
      </c>
      <c r="CG157" s="228">
        <v>8</v>
      </c>
      <c r="CH157" s="228">
        <v>7</v>
      </c>
      <c r="CI157" s="228">
        <v>1</v>
      </c>
      <c r="CJ157" s="229">
        <v>0.15</v>
      </c>
      <c r="CK157" s="228">
        <v>1</v>
      </c>
      <c r="CL157" s="228">
        <v>0</v>
      </c>
      <c r="CM157" s="228">
        <v>0</v>
      </c>
      <c r="CN157" s="229">
        <v>0.72729999999999995</v>
      </c>
      <c r="CO157" s="228">
        <v>132</v>
      </c>
      <c r="CP157" s="228">
        <v>120</v>
      </c>
      <c r="CQ157" s="228">
        <v>12</v>
      </c>
      <c r="CR157" s="229">
        <v>0.1037</v>
      </c>
      <c r="CS157" s="228">
        <v>98</v>
      </c>
      <c r="CT157" s="228">
        <v>95</v>
      </c>
      <c r="CU157" s="228">
        <v>3</v>
      </c>
      <c r="CV157" s="229">
        <v>3.1E-2</v>
      </c>
      <c r="CW157" s="230">
        <v>1812</v>
      </c>
      <c r="CX157" s="230">
        <v>1789</v>
      </c>
      <c r="CY157" s="228">
        <v>23</v>
      </c>
      <c r="CZ157" s="229">
        <v>1.2699999999999999E-2</v>
      </c>
      <c r="DA157" s="228">
        <v>31.4</v>
      </c>
      <c r="DB157" s="228">
        <v>29.49</v>
      </c>
      <c r="DC157" s="228">
        <v>1.91</v>
      </c>
      <c r="DD157" s="228">
        <v>1.91</v>
      </c>
      <c r="DE157" s="228">
        <v>32.450000000000003</v>
      </c>
      <c r="DF157" s="228">
        <v>32.380000000000003</v>
      </c>
      <c r="DG157" s="228">
        <v>-1.05</v>
      </c>
      <c r="DH157" s="228">
        <v>7.0000000000000007E-2</v>
      </c>
      <c r="DI157" s="228">
        <v>30.38</v>
      </c>
      <c r="DJ157" s="228">
        <v>28.41</v>
      </c>
      <c r="DK157" s="228">
        <v>1.97</v>
      </c>
      <c r="DL157" s="228">
        <v>1.97</v>
      </c>
      <c r="DM157" s="228">
        <v>32.99</v>
      </c>
      <c r="DN157" s="228">
        <v>31.54</v>
      </c>
      <c r="DO157" s="228">
        <v>1.45</v>
      </c>
      <c r="DP157" s="228">
        <v>1.45</v>
      </c>
      <c r="DQ157" s="228">
        <v>0.74</v>
      </c>
      <c r="DR157" s="228">
        <v>0.79</v>
      </c>
      <c r="DS157" s="228">
        <v>-0.05</v>
      </c>
      <c r="DT157" s="229">
        <v>-6.3299999999999995E-2</v>
      </c>
      <c r="DU157" s="228">
        <v>500</v>
      </c>
      <c r="DV157" s="228">
        <v>490</v>
      </c>
      <c r="DW157" s="228">
        <v>0.64</v>
      </c>
      <c r="DX157" s="228">
        <v>0.52</v>
      </c>
      <c r="DY157" s="228">
        <v>0.12</v>
      </c>
      <c r="DZ157" s="229">
        <v>0.23080000000000001</v>
      </c>
      <c r="EA157" s="229">
        <v>5.3E-3</v>
      </c>
      <c r="EB157" s="230">
        <v>153900</v>
      </c>
      <c r="EC157" s="229">
        <v>5.8999999999999999E-3</v>
      </c>
      <c r="ED157" s="229">
        <v>5.3E-3</v>
      </c>
      <c r="EE157" s="228">
        <v>2.97</v>
      </c>
      <c r="EF157" s="229">
        <v>6.4000000000000003E-3</v>
      </c>
      <c r="EG157" s="230">
        <v>586329</v>
      </c>
      <c r="EH157" s="230">
        <v>3158537</v>
      </c>
      <c r="EI157" s="229">
        <v>-0.81440000000000001</v>
      </c>
      <c r="EJ157" s="229">
        <v>0.33829999999999999</v>
      </c>
      <c r="EK157" s="228">
        <v>138.4</v>
      </c>
      <c r="EL157" s="228">
        <v>83.1</v>
      </c>
      <c r="EM157" s="228">
        <v>133.9</v>
      </c>
      <c r="EN157" s="228">
        <v>58.4</v>
      </c>
      <c r="EO157" s="228">
        <v>355.41</v>
      </c>
      <c r="EP157" s="228">
        <v>628.24</v>
      </c>
      <c r="EQ157" s="228">
        <v>-272.83</v>
      </c>
      <c r="ER157" s="229">
        <v>-0.43430000000000002</v>
      </c>
      <c r="ES157" s="228">
        <v>141.38</v>
      </c>
      <c r="ET157" s="228">
        <v>103.51</v>
      </c>
      <c r="EU157" s="231">
        <v>1581.83</v>
      </c>
      <c r="EV157" s="231">
        <v>51786533</v>
      </c>
      <c r="EW157" s="231">
        <v>1826.73</v>
      </c>
      <c r="EX157" s="231">
        <v>1840.46</v>
      </c>
      <c r="EY157" s="228">
        <v>-13.73</v>
      </c>
      <c r="EZ157" s="229">
        <v>-7.4999999999999997E-3</v>
      </c>
      <c r="FA157" s="229">
        <v>0.76090000000000002</v>
      </c>
      <c r="FB157" s="227" t="s">
        <v>566</v>
      </c>
      <c r="FC157">
        <f t="shared" si="3"/>
        <v>0</v>
      </c>
    </row>
    <row r="158" spans="1:159" ht="17.25" thickBot="1" x14ac:dyDescent="0.3">
      <c r="A158" s="226">
        <v>46121</v>
      </c>
      <c r="B158" s="227" t="s">
        <v>614</v>
      </c>
      <c r="C158" s="227" t="s">
        <v>574</v>
      </c>
      <c r="D158" s="228">
        <v>725</v>
      </c>
      <c r="E158" s="228">
        <v>19</v>
      </c>
      <c r="F158" s="231">
        <v>1102.55</v>
      </c>
      <c r="G158" s="231">
        <v>1115.3499999999999</v>
      </c>
      <c r="H158" s="228">
        <v>-12.8</v>
      </c>
      <c r="I158" s="229">
        <v>-1.15E-2</v>
      </c>
      <c r="J158" s="231">
        <v>1097.95</v>
      </c>
      <c r="K158" s="231">
        <v>1112.95</v>
      </c>
      <c r="L158" s="228">
        <v>-15</v>
      </c>
      <c r="M158" s="229">
        <v>-1.35E-2</v>
      </c>
      <c r="N158" s="231">
        <v>1102.55</v>
      </c>
      <c r="O158" s="231">
        <v>1115.3499999999999</v>
      </c>
      <c r="P158" s="228">
        <v>-12.8</v>
      </c>
      <c r="Q158" s="229">
        <v>-1.15E-2</v>
      </c>
      <c r="R158" s="231">
        <v>1108.05</v>
      </c>
      <c r="S158" s="231">
        <v>1122.25</v>
      </c>
      <c r="T158" s="228">
        <v>-14.2</v>
      </c>
      <c r="U158" s="229">
        <v>-1.2699999999999999E-2</v>
      </c>
      <c r="V158" s="231">
        <v>1113.5999999999999</v>
      </c>
      <c r="W158" s="231">
        <v>1127.8</v>
      </c>
      <c r="X158" s="228">
        <v>-14.2</v>
      </c>
      <c r="Y158" s="229">
        <v>-1.26E-2</v>
      </c>
      <c r="Z158" s="228">
        <v>4.5999999999999996</v>
      </c>
      <c r="AA158" s="228">
        <v>2.4</v>
      </c>
      <c r="AB158" s="228">
        <v>2.2000000000000002</v>
      </c>
      <c r="AC158" s="229">
        <v>4.1999999999999997E-3</v>
      </c>
      <c r="AD158" s="228">
        <v>4.5999999999999996</v>
      </c>
      <c r="AE158" s="228">
        <v>2.4</v>
      </c>
      <c r="AF158" s="228">
        <v>2.2000000000000002</v>
      </c>
      <c r="AG158" s="229">
        <v>4.1999999999999997E-3</v>
      </c>
      <c r="AH158" s="228">
        <v>10.1</v>
      </c>
      <c r="AI158" s="228">
        <v>9.3000000000000007</v>
      </c>
      <c r="AJ158" s="228">
        <v>0.8</v>
      </c>
      <c r="AK158" s="229">
        <v>9.1999999999999998E-3</v>
      </c>
      <c r="AL158" s="228">
        <v>15.65</v>
      </c>
      <c r="AM158" s="228">
        <v>14.85</v>
      </c>
      <c r="AN158" s="228">
        <v>0.8</v>
      </c>
      <c r="AO158" s="229">
        <v>1.43E-2</v>
      </c>
      <c r="AP158" s="231">
        <v>1112.73</v>
      </c>
      <c r="AQ158" s="231">
        <v>1119.83</v>
      </c>
      <c r="AR158" s="228">
        <v>0</v>
      </c>
      <c r="AS158" s="228">
        <v>471</v>
      </c>
      <c r="AT158" s="228">
        <v>564</v>
      </c>
      <c r="AU158" s="228">
        <v>-93</v>
      </c>
      <c r="AV158" s="229">
        <v>-0.1643</v>
      </c>
      <c r="AW158" s="228">
        <v>453</v>
      </c>
      <c r="AX158" s="228">
        <v>546</v>
      </c>
      <c r="AY158" s="228">
        <v>-94</v>
      </c>
      <c r="AZ158" s="229">
        <v>-0.17130000000000001</v>
      </c>
      <c r="BA158" s="228">
        <v>18</v>
      </c>
      <c r="BB158" s="228">
        <v>16</v>
      </c>
      <c r="BC158" s="228">
        <v>2</v>
      </c>
      <c r="BD158" s="229">
        <v>9.8000000000000004E-2</v>
      </c>
      <c r="BE158" s="228">
        <v>1</v>
      </c>
      <c r="BF158" s="228">
        <v>1</v>
      </c>
      <c r="BG158" s="228">
        <v>-1</v>
      </c>
      <c r="BH158" s="229">
        <v>-0.47060000000000002</v>
      </c>
      <c r="BI158" s="230">
        <v>1251</v>
      </c>
      <c r="BJ158" s="230">
        <v>1555</v>
      </c>
      <c r="BK158" s="228">
        <v>-305</v>
      </c>
      <c r="BL158" s="229">
        <v>-0.19600000000000001</v>
      </c>
      <c r="BM158" s="228">
        <v>793</v>
      </c>
      <c r="BN158" s="228">
        <v>842</v>
      </c>
      <c r="BO158" s="228">
        <v>-49</v>
      </c>
      <c r="BP158" s="229">
        <v>-5.7799999999999997E-2</v>
      </c>
      <c r="BQ158" s="230">
        <v>2515</v>
      </c>
      <c r="BR158" s="230">
        <v>2961</v>
      </c>
      <c r="BS158" s="228">
        <v>-446</v>
      </c>
      <c r="BT158" s="229">
        <v>-0.1507</v>
      </c>
      <c r="BU158" s="230">
        <v>4653186</v>
      </c>
      <c r="BV158" s="230">
        <v>4445705</v>
      </c>
      <c r="BW158" s="230">
        <v>207481</v>
      </c>
      <c r="BX158" s="229">
        <v>4.6699999999999998E-2</v>
      </c>
      <c r="BY158" s="230">
        <v>1877</v>
      </c>
      <c r="BZ158" s="230">
        <v>1951</v>
      </c>
      <c r="CA158" s="228">
        <v>-74</v>
      </c>
      <c r="CB158" s="229">
        <v>-3.8100000000000002E-2</v>
      </c>
      <c r="CC158" s="230">
        <v>1805</v>
      </c>
      <c r="CD158" s="230">
        <v>1884</v>
      </c>
      <c r="CE158" s="228">
        <v>-79</v>
      </c>
      <c r="CF158" s="229">
        <v>-4.2000000000000003E-2</v>
      </c>
      <c r="CG158" s="228">
        <v>71</v>
      </c>
      <c r="CH158" s="228">
        <v>66</v>
      </c>
      <c r="CI158" s="228">
        <v>5</v>
      </c>
      <c r="CJ158" s="229">
        <v>6.9099999999999995E-2</v>
      </c>
      <c r="CK158" s="228">
        <v>2</v>
      </c>
      <c r="CL158" s="228">
        <v>2</v>
      </c>
      <c r="CM158" s="228">
        <v>0</v>
      </c>
      <c r="CN158" s="229">
        <v>0.2</v>
      </c>
      <c r="CO158" s="228">
        <v>638</v>
      </c>
      <c r="CP158" s="228">
        <v>482</v>
      </c>
      <c r="CQ158" s="228">
        <v>155</v>
      </c>
      <c r="CR158" s="229">
        <v>0.3221</v>
      </c>
      <c r="CS158" s="228">
        <v>512</v>
      </c>
      <c r="CT158" s="228">
        <v>416</v>
      </c>
      <c r="CU158" s="228">
        <v>96</v>
      </c>
      <c r="CV158" s="229">
        <v>0.2296</v>
      </c>
      <c r="CW158" s="230">
        <v>3027</v>
      </c>
      <c r="CX158" s="230">
        <v>2850</v>
      </c>
      <c r="CY158" s="228">
        <v>177</v>
      </c>
      <c r="CZ158" s="229">
        <v>6.2E-2</v>
      </c>
      <c r="DA158" s="228">
        <v>39.46</v>
      </c>
      <c r="DB158" s="228">
        <v>39.67</v>
      </c>
      <c r="DC158" s="228">
        <v>-0.21</v>
      </c>
      <c r="DD158" s="228">
        <v>-0.21</v>
      </c>
      <c r="DE158" s="228">
        <v>53.13</v>
      </c>
      <c r="DF158" s="228">
        <v>53.24</v>
      </c>
      <c r="DG158" s="228">
        <v>-13.67</v>
      </c>
      <c r="DH158" s="228">
        <v>-0.11</v>
      </c>
      <c r="DI158" s="228">
        <v>38.590000000000003</v>
      </c>
      <c r="DJ158" s="228">
        <v>38.200000000000003</v>
      </c>
      <c r="DK158" s="228">
        <v>0.39</v>
      </c>
      <c r="DL158" s="228">
        <v>0.39</v>
      </c>
      <c r="DM158" s="228">
        <v>40.840000000000003</v>
      </c>
      <c r="DN158" s="228">
        <v>42.37</v>
      </c>
      <c r="DO158" s="228">
        <v>-1.53</v>
      </c>
      <c r="DP158" s="228">
        <v>-1.53</v>
      </c>
      <c r="DQ158" s="228">
        <v>0.8</v>
      </c>
      <c r="DR158" s="228">
        <v>0.86</v>
      </c>
      <c r="DS158" s="228">
        <v>-0.06</v>
      </c>
      <c r="DT158" s="229">
        <v>-6.9800000000000001E-2</v>
      </c>
      <c r="DU158" s="231">
        <v>1100</v>
      </c>
      <c r="DV158" s="231">
        <v>1000</v>
      </c>
      <c r="DW158" s="228">
        <v>0.63</v>
      </c>
      <c r="DX158" s="228">
        <v>0.54</v>
      </c>
      <c r="DY158" s="228">
        <v>0.09</v>
      </c>
      <c r="DZ158" s="229">
        <v>0.16669999999999999</v>
      </c>
      <c r="EA158" s="229">
        <v>3.8600000000000002E-2</v>
      </c>
      <c r="EB158" s="230">
        <v>612625</v>
      </c>
      <c r="EC158" s="229">
        <v>5.0000000000000001E-3</v>
      </c>
      <c r="ED158" s="229">
        <v>3.8600000000000002E-2</v>
      </c>
      <c r="EE158" s="228">
        <v>7.1</v>
      </c>
      <c r="EF158" s="229">
        <v>6.4000000000000003E-3</v>
      </c>
      <c r="EG158" s="230">
        <v>1897146</v>
      </c>
      <c r="EH158" s="230">
        <v>1777437</v>
      </c>
      <c r="EI158" s="229">
        <v>6.7299999999999999E-2</v>
      </c>
      <c r="EJ158" s="229">
        <v>0.40770000000000001</v>
      </c>
      <c r="EK158" s="231">
        <v>1328.53</v>
      </c>
      <c r="EL158" s="228">
        <v>786.78</v>
      </c>
      <c r="EM158" s="228">
        <v>475.77</v>
      </c>
      <c r="EN158" s="228">
        <v>42.14</v>
      </c>
      <c r="EO158" s="231">
        <v>2591.09</v>
      </c>
      <c r="EP158" s="231">
        <v>2988.75</v>
      </c>
      <c r="EQ158" s="228">
        <v>-397.66</v>
      </c>
      <c r="ER158" s="229">
        <v>-0.1331</v>
      </c>
      <c r="ES158" s="228">
        <v>642.77</v>
      </c>
      <c r="ET158" s="228">
        <v>482.41</v>
      </c>
      <c r="EU158" s="231">
        <v>1877.48</v>
      </c>
      <c r="EV158" s="231">
        <v>95930888</v>
      </c>
      <c r="EW158" s="231">
        <v>3002.66</v>
      </c>
      <c r="EX158" s="231">
        <v>2840.21</v>
      </c>
      <c r="EY158" s="228">
        <v>162.44999999999999</v>
      </c>
      <c r="EZ158" s="229">
        <v>5.7200000000000001E-2</v>
      </c>
      <c r="FA158" s="229">
        <v>0.28620000000000001</v>
      </c>
      <c r="FB158" s="227" t="s">
        <v>567</v>
      </c>
      <c r="FC158">
        <f t="shared" si="3"/>
        <v>0</v>
      </c>
    </row>
    <row r="159" spans="1:159" ht="17.25" thickBot="1" x14ac:dyDescent="0.3">
      <c r="A159" s="226">
        <v>46121</v>
      </c>
      <c r="B159" s="227" t="s">
        <v>221</v>
      </c>
      <c r="C159" s="227" t="s">
        <v>529</v>
      </c>
      <c r="D159" s="228">
        <v>100</v>
      </c>
      <c r="E159" s="228">
        <v>19</v>
      </c>
      <c r="F159" s="231">
        <v>5468.9</v>
      </c>
      <c r="G159" s="231">
        <v>5363.2</v>
      </c>
      <c r="H159" s="228">
        <v>105.7</v>
      </c>
      <c r="I159" s="229">
        <v>1.9699999999999999E-2</v>
      </c>
      <c r="J159" s="231">
        <v>5471.1</v>
      </c>
      <c r="K159" s="231">
        <v>5373.9</v>
      </c>
      <c r="L159" s="228">
        <v>97.2</v>
      </c>
      <c r="M159" s="229">
        <v>1.8100000000000002E-2</v>
      </c>
      <c r="N159" s="231">
        <v>5468.9</v>
      </c>
      <c r="O159" s="231">
        <v>5363.2</v>
      </c>
      <c r="P159" s="228">
        <v>105.7</v>
      </c>
      <c r="Q159" s="229">
        <v>1.9699999999999999E-2</v>
      </c>
      <c r="R159" s="231">
        <v>5418.9</v>
      </c>
      <c r="S159" s="231">
        <v>5293.9</v>
      </c>
      <c r="T159" s="228">
        <v>125</v>
      </c>
      <c r="U159" s="229">
        <v>2.3599999999999999E-2</v>
      </c>
      <c r="V159" s="231">
        <v>5380</v>
      </c>
      <c r="W159" s="231">
        <v>5269.9</v>
      </c>
      <c r="X159" s="228">
        <v>110.1</v>
      </c>
      <c r="Y159" s="229">
        <v>2.0899999999999998E-2</v>
      </c>
      <c r="Z159" s="228">
        <v>-2.2000000000000002</v>
      </c>
      <c r="AA159" s="228">
        <v>-10.7</v>
      </c>
      <c r="AB159" s="228">
        <v>8.5</v>
      </c>
      <c r="AC159" s="229">
        <v>-4.0000000000000002E-4</v>
      </c>
      <c r="AD159" s="228">
        <v>-2.2000000000000002</v>
      </c>
      <c r="AE159" s="228">
        <v>-10.7</v>
      </c>
      <c r="AF159" s="228">
        <v>8.5</v>
      </c>
      <c r="AG159" s="229">
        <v>-4.0000000000000002E-4</v>
      </c>
      <c r="AH159" s="228">
        <v>-52.2</v>
      </c>
      <c r="AI159" s="228">
        <v>-80</v>
      </c>
      <c r="AJ159" s="228">
        <v>27.8</v>
      </c>
      <c r="AK159" s="229">
        <v>-9.4999999999999998E-3</v>
      </c>
      <c r="AL159" s="228">
        <v>-91.1</v>
      </c>
      <c r="AM159" s="228">
        <v>-104</v>
      </c>
      <c r="AN159" s="228">
        <v>12.9</v>
      </c>
      <c r="AO159" s="229">
        <v>-1.67E-2</v>
      </c>
      <c r="AP159" s="231">
        <v>5380.41</v>
      </c>
      <c r="AQ159" s="231">
        <v>5346.77</v>
      </c>
      <c r="AR159" s="228">
        <v>0</v>
      </c>
      <c r="AS159" s="228">
        <v>579</v>
      </c>
      <c r="AT159" s="228">
        <v>631</v>
      </c>
      <c r="AU159" s="228">
        <v>-52</v>
      </c>
      <c r="AV159" s="229">
        <v>-8.1900000000000001E-2</v>
      </c>
      <c r="AW159" s="228">
        <v>520</v>
      </c>
      <c r="AX159" s="228">
        <v>530</v>
      </c>
      <c r="AY159" s="228">
        <v>-10</v>
      </c>
      <c r="AZ159" s="229">
        <v>-1.9199999999999998E-2</v>
      </c>
      <c r="BA159" s="228">
        <v>53</v>
      </c>
      <c r="BB159" s="228">
        <v>93</v>
      </c>
      <c r="BC159" s="228">
        <v>-40</v>
      </c>
      <c r="BD159" s="229">
        <v>-0.42499999999999999</v>
      </c>
      <c r="BE159" s="228">
        <v>5</v>
      </c>
      <c r="BF159" s="228">
        <v>7</v>
      </c>
      <c r="BG159" s="228">
        <v>-2</v>
      </c>
      <c r="BH159" s="229">
        <v>-0.25929999999999997</v>
      </c>
      <c r="BI159" s="228">
        <v>820</v>
      </c>
      <c r="BJ159" s="230">
        <v>1077</v>
      </c>
      <c r="BK159" s="228">
        <v>-257</v>
      </c>
      <c r="BL159" s="229">
        <v>-0.2387</v>
      </c>
      <c r="BM159" s="228">
        <v>494</v>
      </c>
      <c r="BN159" s="228">
        <v>515</v>
      </c>
      <c r="BO159" s="228">
        <v>-21</v>
      </c>
      <c r="BP159" s="229">
        <v>-4.0800000000000003E-2</v>
      </c>
      <c r="BQ159" s="230">
        <v>1893</v>
      </c>
      <c r="BR159" s="230">
        <v>2223</v>
      </c>
      <c r="BS159" s="228">
        <v>-330</v>
      </c>
      <c r="BT159" s="229">
        <v>-0.1484</v>
      </c>
      <c r="BU159" s="230">
        <v>612607</v>
      </c>
      <c r="BV159" s="230">
        <v>943718</v>
      </c>
      <c r="BW159" s="230">
        <v>-331111</v>
      </c>
      <c r="BX159" s="229">
        <v>-0.35089999999999999</v>
      </c>
      <c r="BY159" s="230">
        <v>3068</v>
      </c>
      <c r="BZ159" s="230">
        <v>3074</v>
      </c>
      <c r="CA159" s="228">
        <v>-6</v>
      </c>
      <c r="CB159" s="229">
        <v>-1.9E-3</v>
      </c>
      <c r="CC159" s="230">
        <v>2944</v>
      </c>
      <c r="CD159" s="230">
        <v>2972</v>
      </c>
      <c r="CE159" s="228">
        <v>-28</v>
      </c>
      <c r="CF159" s="229">
        <v>-9.2999999999999992E-3</v>
      </c>
      <c r="CG159" s="228">
        <v>114</v>
      </c>
      <c r="CH159" s="228">
        <v>92</v>
      </c>
      <c r="CI159" s="228">
        <v>22</v>
      </c>
      <c r="CJ159" s="229">
        <v>0.23980000000000001</v>
      </c>
      <c r="CK159" s="228">
        <v>10</v>
      </c>
      <c r="CL159" s="228">
        <v>10</v>
      </c>
      <c r="CM159" s="228">
        <v>0</v>
      </c>
      <c r="CN159" s="229">
        <v>-1.66E-2</v>
      </c>
      <c r="CO159" s="228">
        <v>480</v>
      </c>
      <c r="CP159" s="228">
        <v>457</v>
      </c>
      <c r="CQ159" s="228">
        <v>23</v>
      </c>
      <c r="CR159" s="229">
        <v>5.0299999999999997E-2</v>
      </c>
      <c r="CS159" s="228">
        <v>458</v>
      </c>
      <c r="CT159" s="228">
        <v>415</v>
      </c>
      <c r="CU159" s="228">
        <v>43</v>
      </c>
      <c r="CV159" s="229">
        <v>0.104</v>
      </c>
      <c r="CW159" s="230">
        <v>4006</v>
      </c>
      <c r="CX159" s="230">
        <v>3946</v>
      </c>
      <c r="CY159" s="228">
        <v>60</v>
      </c>
      <c r="CZ159" s="229">
        <v>1.5299999999999999E-2</v>
      </c>
      <c r="DA159" s="228">
        <v>45.68</v>
      </c>
      <c r="DB159" s="228">
        <v>44.61</v>
      </c>
      <c r="DC159" s="228">
        <v>1.07</v>
      </c>
      <c r="DD159" s="228">
        <v>1.07</v>
      </c>
      <c r="DE159" s="228">
        <v>40.450000000000003</v>
      </c>
      <c r="DF159" s="228">
        <v>40.46</v>
      </c>
      <c r="DG159" s="228">
        <v>5.23</v>
      </c>
      <c r="DH159" s="228">
        <v>-0.01</v>
      </c>
      <c r="DI159" s="228">
        <v>43.78</v>
      </c>
      <c r="DJ159" s="228">
        <v>43.11</v>
      </c>
      <c r="DK159" s="228">
        <v>0.67</v>
      </c>
      <c r="DL159" s="228">
        <v>0.67</v>
      </c>
      <c r="DM159" s="228">
        <v>48.84</v>
      </c>
      <c r="DN159" s="228">
        <v>47.75</v>
      </c>
      <c r="DO159" s="228">
        <v>1.0900000000000001</v>
      </c>
      <c r="DP159" s="228">
        <v>1.0900000000000001</v>
      </c>
      <c r="DQ159" s="228">
        <v>0.95</v>
      </c>
      <c r="DR159" s="228">
        <v>0.91</v>
      </c>
      <c r="DS159" s="228">
        <v>0.04</v>
      </c>
      <c r="DT159" s="229">
        <v>4.3999999999999997E-2</v>
      </c>
      <c r="DU159" s="231">
        <v>6000</v>
      </c>
      <c r="DV159" s="231">
        <v>5000</v>
      </c>
      <c r="DW159" s="228">
        <v>0.6</v>
      </c>
      <c r="DX159" s="228">
        <v>0.48</v>
      </c>
      <c r="DY159" s="228">
        <v>0.12</v>
      </c>
      <c r="DZ159" s="229">
        <v>0.25</v>
      </c>
      <c r="EA159" s="229">
        <v>4.0399999999999998E-2</v>
      </c>
      <c r="EB159" s="230">
        <v>186600</v>
      </c>
      <c r="EC159" s="229">
        <v>-9.1000000000000004E-3</v>
      </c>
      <c r="ED159" s="229">
        <v>4.0399999999999998E-2</v>
      </c>
      <c r="EE159" s="228">
        <v>-33.64</v>
      </c>
      <c r="EF159" s="229">
        <v>-6.3E-3</v>
      </c>
      <c r="EG159" s="230">
        <v>217737</v>
      </c>
      <c r="EH159" s="230">
        <v>373928</v>
      </c>
      <c r="EI159" s="229">
        <v>-0.41770000000000002</v>
      </c>
      <c r="EJ159" s="229">
        <v>0.35539999999999999</v>
      </c>
      <c r="EK159" s="228">
        <v>856.58</v>
      </c>
      <c r="EL159" s="228">
        <v>468.91</v>
      </c>
      <c r="EM159" s="228">
        <v>569.34</v>
      </c>
      <c r="EN159" s="228">
        <v>85.18</v>
      </c>
      <c r="EO159" s="231">
        <v>1894.83</v>
      </c>
      <c r="EP159" s="231">
        <v>2209.33</v>
      </c>
      <c r="EQ159" s="228">
        <v>-314.5</v>
      </c>
      <c r="ER159" s="229">
        <v>-0.1424</v>
      </c>
      <c r="ES159" s="228">
        <v>468.23</v>
      </c>
      <c r="ET159" s="228">
        <v>412.13</v>
      </c>
      <c r="EU159" s="231">
        <v>3066.9</v>
      </c>
      <c r="EV159" s="231">
        <v>16286398</v>
      </c>
      <c r="EW159" s="231">
        <v>3947.27</v>
      </c>
      <c r="EX159" s="231">
        <v>3829.63</v>
      </c>
      <c r="EY159" s="228">
        <v>117.64</v>
      </c>
      <c r="EZ159" s="229">
        <v>3.0700000000000002E-2</v>
      </c>
      <c r="FA159" s="229">
        <v>0.44979999999999998</v>
      </c>
      <c r="FB159" s="227" t="s">
        <v>694</v>
      </c>
      <c r="FC159">
        <f t="shared" si="3"/>
        <v>0</v>
      </c>
    </row>
    <row r="160" spans="1:159" ht="17.25" thickBot="1" x14ac:dyDescent="0.3">
      <c r="A160" s="226">
        <v>46121</v>
      </c>
      <c r="B160" s="227" t="s">
        <v>193</v>
      </c>
      <c r="C160" s="227" t="s">
        <v>272</v>
      </c>
      <c r="D160" s="228">
        <v>1900</v>
      </c>
      <c r="E160" s="228">
        <v>19</v>
      </c>
      <c r="F160" s="228">
        <v>272.05</v>
      </c>
      <c r="G160" s="228">
        <v>270.72000000000003</v>
      </c>
      <c r="H160" s="228">
        <v>1.33</v>
      </c>
      <c r="I160" s="229">
        <v>4.8999999999999998E-3</v>
      </c>
      <c r="J160" s="228">
        <v>271.37</v>
      </c>
      <c r="K160" s="228">
        <v>270.41000000000003</v>
      </c>
      <c r="L160" s="228">
        <v>0.96</v>
      </c>
      <c r="M160" s="229">
        <v>3.5999999999999999E-3</v>
      </c>
      <c r="N160" s="228">
        <v>272.05</v>
      </c>
      <c r="O160" s="228">
        <v>270.72000000000003</v>
      </c>
      <c r="P160" s="228">
        <v>1.33</v>
      </c>
      <c r="Q160" s="229">
        <v>4.8999999999999998E-3</v>
      </c>
      <c r="R160" s="228">
        <v>271.64999999999998</v>
      </c>
      <c r="S160" s="228">
        <v>269.63</v>
      </c>
      <c r="T160" s="228">
        <v>2.02</v>
      </c>
      <c r="U160" s="229">
        <v>7.4999999999999997E-3</v>
      </c>
      <c r="V160" s="228">
        <v>272.39</v>
      </c>
      <c r="W160" s="228">
        <v>270.44</v>
      </c>
      <c r="X160" s="228">
        <v>1.95</v>
      </c>
      <c r="Y160" s="229">
        <v>7.1999999999999998E-3</v>
      </c>
      <c r="Z160" s="228">
        <v>0.68</v>
      </c>
      <c r="AA160" s="228">
        <v>0.31</v>
      </c>
      <c r="AB160" s="228">
        <v>0.37</v>
      </c>
      <c r="AC160" s="229">
        <v>2.5000000000000001E-3</v>
      </c>
      <c r="AD160" s="228">
        <v>0.68</v>
      </c>
      <c r="AE160" s="228">
        <v>0.31</v>
      </c>
      <c r="AF160" s="228">
        <v>0.37</v>
      </c>
      <c r="AG160" s="229">
        <v>2.5000000000000001E-3</v>
      </c>
      <c r="AH160" s="228">
        <v>0.28000000000000003</v>
      </c>
      <c r="AI160" s="228">
        <v>-0.78</v>
      </c>
      <c r="AJ160" s="228">
        <v>1.06</v>
      </c>
      <c r="AK160" s="229">
        <v>1E-3</v>
      </c>
      <c r="AL160" s="228">
        <v>1.02</v>
      </c>
      <c r="AM160" s="228">
        <v>0.03</v>
      </c>
      <c r="AN160" s="228">
        <v>0.99</v>
      </c>
      <c r="AO160" s="229">
        <v>3.8E-3</v>
      </c>
      <c r="AP160" s="228">
        <v>269.13</v>
      </c>
      <c r="AQ160" s="228">
        <v>269.35000000000002</v>
      </c>
      <c r="AR160" s="228">
        <v>0</v>
      </c>
      <c r="AS160" s="228">
        <v>265</v>
      </c>
      <c r="AT160" s="228">
        <v>338</v>
      </c>
      <c r="AU160" s="228">
        <v>-73</v>
      </c>
      <c r="AV160" s="229">
        <v>-0.21679999999999999</v>
      </c>
      <c r="AW160" s="228">
        <v>246</v>
      </c>
      <c r="AX160" s="228">
        <v>326</v>
      </c>
      <c r="AY160" s="228">
        <v>-80</v>
      </c>
      <c r="AZ160" s="229">
        <v>-0.24590000000000001</v>
      </c>
      <c r="BA160" s="228">
        <v>18</v>
      </c>
      <c r="BB160" s="228">
        <v>11</v>
      </c>
      <c r="BC160" s="228">
        <v>7</v>
      </c>
      <c r="BD160" s="229">
        <v>0.64149999999999996</v>
      </c>
      <c r="BE160" s="228">
        <v>1</v>
      </c>
      <c r="BF160" s="228">
        <v>1</v>
      </c>
      <c r="BG160" s="228">
        <v>0</v>
      </c>
      <c r="BH160" s="229">
        <v>-0.13639999999999999</v>
      </c>
      <c r="BI160" s="228">
        <v>849</v>
      </c>
      <c r="BJ160" s="228">
        <v>465</v>
      </c>
      <c r="BK160" s="228">
        <v>383</v>
      </c>
      <c r="BL160" s="229">
        <v>0.82320000000000004</v>
      </c>
      <c r="BM160" s="228">
        <v>208</v>
      </c>
      <c r="BN160" s="228">
        <v>251</v>
      </c>
      <c r="BO160" s="228">
        <v>-43</v>
      </c>
      <c r="BP160" s="229">
        <v>-0.17249999999999999</v>
      </c>
      <c r="BQ160" s="230">
        <v>1321</v>
      </c>
      <c r="BR160" s="230">
        <v>1055</v>
      </c>
      <c r="BS160" s="228">
        <v>266</v>
      </c>
      <c r="BT160" s="229">
        <v>0.25259999999999999</v>
      </c>
      <c r="BU160" s="230">
        <v>10210441</v>
      </c>
      <c r="BV160" s="230">
        <v>9255799</v>
      </c>
      <c r="BW160" s="230">
        <v>954642</v>
      </c>
      <c r="BX160" s="229">
        <v>0.1031</v>
      </c>
      <c r="BY160" s="228">
        <v>999</v>
      </c>
      <c r="BZ160" s="228">
        <v>974</v>
      </c>
      <c r="CA160" s="228">
        <v>25</v>
      </c>
      <c r="CB160" s="229">
        <v>2.5700000000000001E-2</v>
      </c>
      <c r="CC160" s="228">
        <v>971</v>
      </c>
      <c r="CD160" s="228">
        <v>947</v>
      </c>
      <c r="CE160" s="228">
        <v>23</v>
      </c>
      <c r="CF160" s="229">
        <v>2.4500000000000001E-2</v>
      </c>
      <c r="CG160" s="228">
        <v>26</v>
      </c>
      <c r="CH160" s="228">
        <v>25</v>
      </c>
      <c r="CI160" s="228">
        <v>1</v>
      </c>
      <c r="CJ160" s="229">
        <v>5.4600000000000003E-2</v>
      </c>
      <c r="CK160" s="228">
        <v>2</v>
      </c>
      <c r="CL160" s="228">
        <v>2</v>
      </c>
      <c r="CM160" s="228">
        <v>0</v>
      </c>
      <c r="CN160" s="229">
        <v>0.2903</v>
      </c>
      <c r="CO160" s="228">
        <v>389</v>
      </c>
      <c r="CP160" s="228">
        <v>295</v>
      </c>
      <c r="CQ160" s="228">
        <v>93</v>
      </c>
      <c r="CR160" s="229">
        <v>0.31630000000000003</v>
      </c>
      <c r="CS160" s="228">
        <v>240</v>
      </c>
      <c r="CT160" s="228">
        <v>220</v>
      </c>
      <c r="CU160" s="228">
        <v>20</v>
      </c>
      <c r="CV160" s="229">
        <v>9.0399999999999994E-2</v>
      </c>
      <c r="CW160" s="230">
        <v>1627</v>
      </c>
      <c r="CX160" s="230">
        <v>1489</v>
      </c>
      <c r="CY160" s="228">
        <v>138</v>
      </c>
      <c r="CZ160" s="229">
        <v>9.2899999999999996E-2</v>
      </c>
      <c r="DA160" s="228">
        <v>42.85</v>
      </c>
      <c r="DB160" s="228">
        <v>43.37</v>
      </c>
      <c r="DC160" s="228">
        <v>-0.52</v>
      </c>
      <c r="DD160" s="228">
        <v>-0.52</v>
      </c>
      <c r="DE160" s="228">
        <v>39.409999999999997</v>
      </c>
      <c r="DF160" s="228">
        <v>39.5</v>
      </c>
      <c r="DG160" s="228">
        <v>3.44</v>
      </c>
      <c r="DH160" s="228">
        <v>-0.09</v>
      </c>
      <c r="DI160" s="228">
        <v>42.27</v>
      </c>
      <c r="DJ160" s="228">
        <v>41.49</v>
      </c>
      <c r="DK160" s="228">
        <v>0.78</v>
      </c>
      <c r="DL160" s="228">
        <v>0.78</v>
      </c>
      <c r="DM160" s="228">
        <v>45.22</v>
      </c>
      <c r="DN160" s="228">
        <v>46.84</v>
      </c>
      <c r="DO160" s="228">
        <v>-1.62</v>
      </c>
      <c r="DP160" s="228">
        <v>-1.62</v>
      </c>
      <c r="DQ160" s="228">
        <v>0.62</v>
      </c>
      <c r="DR160" s="228">
        <v>0.75</v>
      </c>
      <c r="DS160" s="228">
        <v>-0.13</v>
      </c>
      <c r="DT160" s="229">
        <v>-0.17330000000000001</v>
      </c>
      <c r="DU160" s="228">
        <v>300</v>
      </c>
      <c r="DV160" s="228">
        <v>250</v>
      </c>
      <c r="DW160" s="228">
        <v>0.25</v>
      </c>
      <c r="DX160" s="228">
        <v>0.54</v>
      </c>
      <c r="DY160" s="228">
        <v>-0.28999999999999998</v>
      </c>
      <c r="DZ160" s="229">
        <v>-0.53700000000000003</v>
      </c>
      <c r="EA160" s="229">
        <v>2.81E-2</v>
      </c>
      <c r="EB160" s="230">
        <v>963300</v>
      </c>
      <c r="EC160" s="229">
        <v>-1.5E-3</v>
      </c>
      <c r="ED160" s="229">
        <v>2.81E-2</v>
      </c>
      <c r="EE160" s="228">
        <v>0.22</v>
      </c>
      <c r="EF160" s="229">
        <v>8.0000000000000004E-4</v>
      </c>
      <c r="EG160" s="230">
        <v>5051600</v>
      </c>
      <c r="EH160" s="230">
        <v>4441510</v>
      </c>
      <c r="EI160" s="229">
        <v>0.13739999999999999</v>
      </c>
      <c r="EJ160" s="229">
        <v>0.49469999999999997</v>
      </c>
      <c r="EK160" s="228">
        <v>911.71</v>
      </c>
      <c r="EL160" s="228">
        <v>200.25</v>
      </c>
      <c r="EM160" s="228">
        <v>261.97000000000003</v>
      </c>
      <c r="EN160" s="228">
        <v>38.44</v>
      </c>
      <c r="EO160" s="231">
        <v>1373.94</v>
      </c>
      <c r="EP160" s="231">
        <v>1065.07</v>
      </c>
      <c r="EQ160" s="228">
        <v>308.87</v>
      </c>
      <c r="ER160" s="229">
        <v>0.28999999999999998</v>
      </c>
      <c r="ES160" s="228">
        <v>400.43</v>
      </c>
      <c r="ET160" s="228">
        <v>226.45</v>
      </c>
      <c r="EU160" s="228">
        <v>998.5</v>
      </c>
      <c r="EV160" s="231">
        <v>112500013</v>
      </c>
      <c r="EW160" s="231">
        <v>1625.38</v>
      </c>
      <c r="EX160" s="231">
        <v>1470.71</v>
      </c>
      <c r="EY160" s="228">
        <v>154.66999999999999</v>
      </c>
      <c r="EZ160" s="229">
        <v>0.1052</v>
      </c>
      <c r="FA160" s="229">
        <v>0.53180000000000005</v>
      </c>
      <c r="FB160" s="227" t="s">
        <v>555</v>
      </c>
      <c r="FC160">
        <f t="shared" si="3"/>
        <v>0</v>
      </c>
    </row>
    <row r="161" spans="1:159" ht="17.25" thickBot="1" x14ac:dyDescent="0.3">
      <c r="A161" s="226">
        <v>46121</v>
      </c>
      <c r="B161" s="227" t="s">
        <v>175</v>
      </c>
      <c r="C161" s="227" t="s">
        <v>273</v>
      </c>
      <c r="D161" s="228">
        <v>1300</v>
      </c>
      <c r="E161" s="228">
        <v>19</v>
      </c>
      <c r="F161" s="228">
        <v>429.8</v>
      </c>
      <c r="G161" s="228">
        <v>419.7</v>
      </c>
      <c r="H161" s="228">
        <v>10.1</v>
      </c>
      <c r="I161" s="229">
        <v>2.41E-2</v>
      </c>
      <c r="J161" s="228">
        <v>428.05</v>
      </c>
      <c r="K161" s="228">
        <v>417.65</v>
      </c>
      <c r="L161" s="228">
        <v>10.4</v>
      </c>
      <c r="M161" s="229">
        <v>2.4899999999999999E-2</v>
      </c>
      <c r="N161" s="228">
        <v>429.8</v>
      </c>
      <c r="O161" s="228">
        <v>419.7</v>
      </c>
      <c r="P161" s="228">
        <v>10.1</v>
      </c>
      <c r="Q161" s="229">
        <v>2.41E-2</v>
      </c>
      <c r="R161" s="228">
        <v>432.15</v>
      </c>
      <c r="S161" s="228">
        <v>422.1</v>
      </c>
      <c r="T161" s="228">
        <v>10.050000000000001</v>
      </c>
      <c r="U161" s="229">
        <v>2.3800000000000002E-2</v>
      </c>
      <c r="V161" s="228">
        <v>433.05</v>
      </c>
      <c r="W161" s="228">
        <v>423</v>
      </c>
      <c r="X161" s="228">
        <v>10.050000000000001</v>
      </c>
      <c r="Y161" s="229">
        <v>2.3800000000000002E-2</v>
      </c>
      <c r="Z161" s="228">
        <v>1.75</v>
      </c>
      <c r="AA161" s="228">
        <v>2.0499999999999998</v>
      </c>
      <c r="AB161" s="228">
        <v>-0.3</v>
      </c>
      <c r="AC161" s="229">
        <v>4.1000000000000003E-3</v>
      </c>
      <c r="AD161" s="228">
        <v>1.75</v>
      </c>
      <c r="AE161" s="228">
        <v>2.0499999999999998</v>
      </c>
      <c r="AF161" s="228">
        <v>-0.3</v>
      </c>
      <c r="AG161" s="229">
        <v>4.1000000000000003E-3</v>
      </c>
      <c r="AH161" s="228">
        <v>4.0999999999999996</v>
      </c>
      <c r="AI161" s="228">
        <v>4.45</v>
      </c>
      <c r="AJ161" s="228">
        <v>-0.35</v>
      </c>
      <c r="AK161" s="229">
        <v>9.5999999999999992E-3</v>
      </c>
      <c r="AL161" s="228">
        <v>5</v>
      </c>
      <c r="AM161" s="228">
        <v>5.35</v>
      </c>
      <c r="AN161" s="228">
        <v>-0.35</v>
      </c>
      <c r="AO161" s="229">
        <v>1.17E-2</v>
      </c>
      <c r="AP161" s="228">
        <v>428.47</v>
      </c>
      <c r="AQ161" s="228">
        <v>431.14</v>
      </c>
      <c r="AR161" s="228">
        <v>0</v>
      </c>
      <c r="AS161" s="228">
        <v>648</v>
      </c>
      <c r="AT161" s="228">
        <v>576</v>
      </c>
      <c r="AU161" s="228">
        <v>73</v>
      </c>
      <c r="AV161" s="229">
        <v>0.12670000000000001</v>
      </c>
      <c r="AW161" s="228">
        <v>590</v>
      </c>
      <c r="AX161" s="228">
        <v>513</v>
      </c>
      <c r="AY161" s="228">
        <v>76</v>
      </c>
      <c r="AZ161" s="229">
        <v>0.14899999999999999</v>
      </c>
      <c r="BA161" s="228">
        <v>51</v>
      </c>
      <c r="BB161" s="228">
        <v>58</v>
      </c>
      <c r="BC161" s="228">
        <v>-7</v>
      </c>
      <c r="BD161" s="229">
        <v>-0.11899999999999999</v>
      </c>
      <c r="BE161" s="228">
        <v>8</v>
      </c>
      <c r="BF161" s="228">
        <v>4</v>
      </c>
      <c r="BG161" s="228">
        <v>3</v>
      </c>
      <c r="BH161" s="229">
        <v>0.77629999999999999</v>
      </c>
      <c r="BI161" s="230">
        <v>2169</v>
      </c>
      <c r="BJ161" s="230">
        <v>1086</v>
      </c>
      <c r="BK161" s="230">
        <v>1083</v>
      </c>
      <c r="BL161" s="229">
        <v>0.99709999999999999</v>
      </c>
      <c r="BM161" s="230">
        <v>1051</v>
      </c>
      <c r="BN161" s="228">
        <v>637</v>
      </c>
      <c r="BO161" s="228">
        <v>415</v>
      </c>
      <c r="BP161" s="229">
        <v>0.65110000000000001</v>
      </c>
      <c r="BQ161" s="230">
        <v>3868</v>
      </c>
      <c r="BR161" s="230">
        <v>2298</v>
      </c>
      <c r="BS161" s="230">
        <v>1570</v>
      </c>
      <c r="BT161" s="229">
        <v>0.68330000000000002</v>
      </c>
      <c r="BU161" s="230">
        <v>12365707</v>
      </c>
      <c r="BV161" s="230">
        <v>14959698</v>
      </c>
      <c r="BW161" s="230">
        <v>-2593991</v>
      </c>
      <c r="BX161" s="229">
        <v>-0.1734</v>
      </c>
      <c r="BY161" s="230">
        <v>2422</v>
      </c>
      <c r="BZ161" s="230">
        <v>2353</v>
      </c>
      <c r="CA161" s="228">
        <v>70</v>
      </c>
      <c r="CB161" s="229">
        <v>2.9600000000000001E-2</v>
      </c>
      <c r="CC161" s="230">
        <v>2165</v>
      </c>
      <c r="CD161" s="230">
        <v>2113</v>
      </c>
      <c r="CE161" s="228">
        <v>52</v>
      </c>
      <c r="CF161" s="229">
        <v>2.4400000000000002E-2</v>
      </c>
      <c r="CG161" s="228">
        <v>250</v>
      </c>
      <c r="CH161" s="228">
        <v>235</v>
      </c>
      <c r="CI161" s="228">
        <v>15</v>
      </c>
      <c r="CJ161" s="229">
        <v>6.5600000000000006E-2</v>
      </c>
      <c r="CK161" s="228">
        <v>7</v>
      </c>
      <c r="CL161" s="228">
        <v>4</v>
      </c>
      <c r="CM161" s="228">
        <v>3</v>
      </c>
      <c r="CN161" s="229">
        <v>0.61639999999999995</v>
      </c>
      <c r="CO161" s="228">
        <v>816</v>
      </c>
      <c r="CP161" s="228">
        <v>677</v>
      </c>
      <c r="CQ161" s="228">
        <v>139</v>
      </c>
      <c r="CR161" s="229">
        <v>0.20499999999999999</v>
      </c>
      <c r="CS161" s="228">
        <v>609</v>
      </c>
      <c r="CT161" s="228">
        <v>510</v>
      </c>
      <c r="CU161" s="228">
        <v>99</v>
      </c>
      <c r="CV161" s="229">
        <v>0.1933</v>
      </c>
      <c r="CW161" s="230">
        <v>3847</v>
      </c>
      <c r="CX161" s="230">
        <v>3540</v>
      </c>
      <c r="CY161" s="228">
        <v>307</v>
      </c>
      <c r="CZ161" s="229">
        <v>8.6699999999999999E-2</v>
      </c>
      <c r="DA161" s="228">
        <v>35.479999999999997</v>
      </c>
      <c r="DB161" s="228">
        <v>35.04</v>
      </c>
      <c r="DC161" s="228">
        <v>0.44</v>
      </c>
      <c r="DD161" s="228">
        <v>0.44</v>
      </c>
      <c r="DE161" s="228">
        <v>42.44</v>
      </c>
      <c r="DF161" s="228">
        <v>42.43</v>
      </c>
      <c r="DG161" s="228">
        <v>-6.96</v>
      </c>
      <c r="DH161" s="228">
        <v>0.01</v>
      </c>
      <c r="DI161" s="228">
        <v>34.979999999999997</v>
      </c>
      <c r="DJ161" s="228">
        <v>34.270000000000003</v>
      </c>
      <c r="DK161" s="228">
        <v>0.71</v>
      </c>
      <c r="DL161" s="228">
        <v>0.71</v>
      </c>
      <c r="DM161" s="228">
        <v>36.5</v>
      </c>
      <c r="DN161" s="228">
        <v>36.340000000000003</v>
      </c>
      <c r="DO161" s="228">
        <v>0.16</v>
      </c>
      <c r="DP161" s="228">
        <v>0.16</v>
      </c>
      <c r="DQ161" s="228">
        <v>0.75</v>
      </c>
      <c r="DR161" s="228">
        <v>0.75</v>
      </c>
      <c r="DS161" s="228">
        <v>0</v>
      </c>
      <c r="DT161" s="229">
        <v>0</v>
      </c>
      <c r="DU161" s="228">
        <v>400</v>
      </c>
      <c r="DV161" s="228">
        <v>400</v>
      </c>
      <c r="DW161" s="228">
        <v>0.48</v>
      </c>
      <c r="DX161" s="228">
        <v>0.59</v>
      </c>
      <c r="DY161" s="228">
        <v>-0.11</v>
      </c>
      <c r="DZ161" s="229">
        <v>-0.18640000000000001</v>
      </c>
      <c r="EA161" s="229">
        <v>0.1061</v>
      </c>
      <c r="EB161" s="230">
        <v>5564000</v>
      </c>
      <c r="EC161" s="229">
        <v>5.4999999999999997E-3</v>
      </c>
      <c r="ED161" s="229">
        <v>0.1061</v>
      </c>
      <c r="EE161" s="228">
        <v>2.67</v>
      </c>
      <c r="EF161" s="229">
        <v>6.1999999999999998E-3</v>
      </c>
      <c r="EG161" s="230">
        <v>4894524</v>
      </c>
      <c r="EH161" s="230">
        <v>9066932</v>
      </c>
      <c r="EI161" s="229">
        <v>-0.4602</v>
      </c>
      <c r="EJ161" s="229">
        <v>0.39579999999999999</v>
      </c>
      <c r="EK161" s="231">
        <v>2257.5500000000002</v>
      </c>
      <c r="EL161" s="231">
        <v>1033.01</v>
      </c>
      <c r="EM161" s="228">
        <v>646.77</v>
      </c>
      <c r="EN161" s="228">
        <v>67.66</v>
      </c>
      <c r="EO161" s="231">
        <v>3937.33</v>
      </c>
      <c r="EP161" s="231">
        <v>2283.6999999999998</v>
      </c>
      <c r="EQ161" s="231">
        <v>1653.63</v>
      </c>
      <c r="ER161" s="229">
        <v>0.72409999999999997</v>
      </c>
      <c r="ES161" s="228">
        <v>808.65</v>
      </c>
      <c r="ET161" s="228">
        <v>566.66</v>
      </c>
      <c r="EU161" s="231">
        <v>2423.56</v>
      </c>
      <c r="EV161" s="231">
        <v>217835555</v>
      </c>
      <c r="EW161" s="231">
        <v>3798.87</v>
      </c>
      <c r="EX161" s="231">
        <v>3429.29</v>
      </c>
      <c r="EY161" s="228">
        <v>369.58</v>
      </c>
      <c r="EZ161" s="229">
        <v>0.10780000000000001</v>
      </c>
      <c r="FA161" s="229">
        <v>0.41089999999999999</v>
      </c>
      <c r="FB161" s="227" t="s">
        <v>555</v>
      </c>
      <c r="FC161">
        <f t="shared" si="3"/>
        <v>0</v>
      </c>
    </row>
    <row r="162" spans="1:159" ht="17.25" thickBot="1" x14ac:dyDescent="0.3">
      <c r="A162" s="226">
        <v>46121</v>
      </c>
      <c r="B162" s="227" t="s">
        <v>184</v>
      </c>
      <c r="C162" s="227" t="s">
        <v>678</v>
      </c>
      <c r="D162" s="228">
        <v>950</v>
      </c>
      <c r="E162" s="228">
        <v>19</v>
      </c>
      <c r="F162" s="228">
        <v>479.85</v>
      </c>
      <c r="G162" s="228">
        <v>482.3</v>
      </c>
      <c r="H162" s="228">
        <v>-2.4500000000000002</v>
      </c>
      <c r="I162" s="229">
        <v>-5.1000000000000004E-3</v>
      </c>
      <c r="J162" s="228">
        <v>479.8</v>
      </c>
      <c r="K162" s="228">
        <v>482.35</v>
      </c>
      <c r="L162" s="228">
        <v>-2.5499999999999998</v>
      </c>
      <c r="M162" s="229">
        <v>-5.3E-3</v>
      </c>
      <c r="N162" s="228">
        <v>479.85</v>
      </c>
      <c r="O162" s="228">
        <v>482.3</v>
      </c>
      <c r="P162" s="228">
        <v>-2.4500000000000002</v>
      </c>
      <c r="Q162" s="229">
        <v>-5.1000000000000004E-3</v>
      </c>
      <c r="R162" s="228">
        <v>470.4</v>
      </c>
      <c r="S162" s="228">
        <v>472.4</v>
      </c>
      <c r="T162" s="228">
        <v>-2</v>
      </c>
      <c r="U162" s="229">
        <v>-4.1999999999999997E-3</v>
      </c>
      <c r="V162" s="228">
        <v>464.15</v>
      </c>
      <c r="W162" s="228">
        <v>467.3</v>
      </c>
      <c r="X162" s="228">
        <v>-3.15</v>
      </c>
      <c r="Y162" s="229">
        <v>-6.7000000000000002E-3</v>
      </c>
      <c r="Z162" s="228">
        <v>0.05</v>
      </c>
      <c r="AA162" s="228">
        <v>-0.05</v>
      </c>
      <c r="AB162" s="228">
        <v>0.1</v>
      </c>
      <c r="AC162" s="229">
        <v>1E-4</v>
      </c>
      <c r="AD162" s="228">
        <v>0.05</v>
      </c>
      <c r="AE162" s="228">
        <v>-0.05</v>
      </c>
      <c r="AF162" s="228">
        <v>0.1</v>
      </c>
      <c r="AG162" s="229">
        <v>1E-4</v>
      </c>
      <c r="AH162" s="228">
        <v>-9.4</v>
      </c>
      <c r="AI162" s="228">
        <v>-9.9499999999999993</v>
      </c>
      <c r="AJ162" s="228">
        <v>0.55000000000000004</v>
      </c>
      <c r="AK162" s="229">
        <v>-1.9599999999999999E-2</v>
      </c>
      <c r="AL162" s="228">
        <v>-15.65</v>
      </c>
      <c r="AM162" s="228">
        <v>-15.05</v>
      </c>
      <c r="AN162" s="228">
        <v>-0.6</v>
      </c>
      <c r="AO162" s="229">
        <v>-3.2599999999999997E-2</v>
      </c>
      <c r="AP162" s="228">
        <v>472.24</v>
      </c>
      <c r="AQ162" s="228">
        <v>461.25</v>
      </c>
      <c r="AR162" s="228">
        <v>0</v>
      </c>
      <c r="AS162" s="228">
        <v>314</v>
      </c>
      <c r="AT162" s="228">
        <v>433</v>
      </c>
      <c r="AU162" s="228">
        <v>-119</v>
      </c>
      <c r="AV162" s="229">
        <v>-0.27429999999999999</v>
      </c>
      <c r="AW162" s="228">
        <v>269</v>
      </c>
      <c r="AX162" s="228">
        <v>387</v>
      </c>
      <c r="AY162" s="228">
        <v>-117</v>
      </c>
      <c r="AZ162" s="229">
        <v>-0.30299999999999999</v>
      </c>
      <c r="BA162" s="228">
        <v>39</v>
      </c>
      <c r="BB162" s="228">
        <v>38</v>
      </c>
      <c r="BC162" s="228">
        <v>1</v>
      </c>
      <c r="BD162" s="229">
        <v>2.0299999999999999E-2</v>
      </c>
      <c r="BE162" s="228">
        <v>6</v>
      </c>
      <c r="BF162" s="228">
        <v>8</v>
      </c>
      <c r="BG162" s="228">
        <v>-2</v>
      </c>
      <c r="BH162" s="229">
        <v>-0.29480000000000001</v>
      </c>
      <c r="BI162" s="228">
        <v>669</v>
      </c>
      <c r="BJ162" s="230">
        <v>1193</v>
      </c>
      <c r="BK162" s="228">
        <v>-524</v>
      </c>
      <c r="BL162" s="229">
        <v>-0.43919999999999998</v>
      </c>
      <c r="BM162" s="228">
        <v>409</v>
      </c>
      <c r="BN162" s="228">
        <v>433</v>
      </c>
      <c r="BO162" s="228">
        <v>-24</v>
      </c>
      <c r="BP162" s="229">
        <v>-5.4600000000000003E-2</v>
      </c>
      <c r="BQ162" s="230">
        <v>1393</v>
      </c>
      <c r="BR162" s="230">
        <v>2059</v>
      </c>
      <c r="BS162" s="228">
        <v>-666</v>
      </c>
      <c r="BT162" s="229">
        <v>-0.32369999999999999</v>
      </c>
      <c r="BU162" s="230">
        <v>6523914</v>
      </c>
      <c r="BV162" s="230">
        <v>9113556</v>
      </c>
      <c r="BW162" s="230">
        <v>-2589642</v>
      </c>
      <c r="BX162" s="229">
        <v>-0.28420000000000001</v>
      </c>
      <c r="BY162" s="228">
        <v>845</v>
      </c>
      <c r="BZ162" s="228">
        <v>841</v>
      </c>
      <c r="CA162" s="228">
        <v>4</v>
      </c>
      <c r="CB162" s="229">
        <v>5.3E-3</v>
      </c>
      <c r="CC162" s="228">
        <v>759</v>
      </c>
      <c r="CD162" s="228">
        <v>763</v>
      </c>
      <c r="CE162" s="228">
        <v>-4</v>
      </c>
      <c r="CF162" s="229">
        <v>-5.7000000000000002E-3</v>
      </c>
      <c r="CG162" s="228">
        <v>76</v>
      </c>
      <c r="CH162" s="228">
        <v>67</v>
      </c>
      <c r="CI162" s="228">
        <v>9</v>
      </c>
      <c r="CJ162" s="229">
        <v>0.13639999999999999</v>
      </c>
      <c r="CK162" s="228">
        <v>10</v>
      </c>
      <c r="CL162" s="228">
        <v>11</v>
      </c>
      <c r="CM162" s="228">
        <v>0</v>
      </c>
      <c r="CN162" s="229">
        <v>-2.5399999999999999E-2</v>
      </c>
      <c r="CO162" s="228">
        <v>437</v>
      </c>
      <c r="CP162" s="228">
        <v>458</v>
      </c>
      <c r="CQ162" s="228">
        <v>-21</v>
      </c>
      <c r="CR162" s="229">
        <v>-4.5900000000000003E-2</v>
      </c>
      <c r="CS162" s="228">
        <v>271</v>
      </c>
      <c r="CT162" s="228">
        <v>259</v>
      </c>
      <c r="CU162" s="228">
        <v>12</v>
      </c>
      <c r="CV162" s="229">
        <v>4.7199999999999999E-2</v>
      </c>
      <c r="CW162" s="230">
        <v>1554</v>
      </c>
      <c r="CX162" s="230">
        <v>1558</v>
      </c>
      <c r="CY162" s="228">
        <v>-4</v>
      </c>
      <c r="CZ162" s="229">
        <v>-2.8E-3</v>
      </c>
      <c r="DA162" s="228">
        <v>57.12</v>
      </c>
      <c r="DB162" s="228">
        <v>58.13</v>
      </c>
      <c r="DC162" s="228">
        <v>-1.01</v>
      </c>
      <c r="DD162" s="228">
        <v>-1.01</v>
      </c>
      <c r="DE162" s="228">
        <v>67.510000000000005</v>
      </c>
      <c r="DF162" s="228">
        <v>67.680000000000007</v>
      </c>
      <c r="DG162" s="228">
        <v>-10.39</v>
      </c>
      <c r="DH162" s="228">
        <v>-0.17</v>
      </c>
      <c r="DI162" s="228">
        <v>55.97</v>
      </c>
      <c r="DJ162" s="228">
        <v>57.02</v>
      </c>
      <c r="DK162" s="228">
        <v>-1.05</v>
      </c>
      <c r="DL162" s="228">
        <v>-1.05</v>
      </c>
      <c r="DM162" s="228">
        <v>59</v>
      </c>
      <c r="DN162" s="228">
        <v>61.2</v>
      </c>
      <c r="DO162" s="228">
        <v>-2.2000000000000002</v>
      </c>
      <c r="DP162" s="228">
        <v>-2.2000000000000002</v>
      </c>
      <c r="DQ162" s="228">
        <v>0.62</v>
      </c>
      <c r="DR162" s="228">
        <v>0.56000000000000005</v>
      </c>
      <c r="DS162" s="228">
        <v>0.06</v>
      </c>
      <c r="DT162" s="229">
        <v>0.1071</v>
      </c>
      <c r="DU162" s="228">
        <v>500</v>
      </c>
      <c r="DV162" s="228">
        <v>400</v>
      </c>
      <c r="DW162" s="228">
        <v>0.61</v>
      </c>
      <c r="DX162" s="228">
        <v>0.36</v>
      </c>
      <c r="DY162" s="228">
        <v>0.25</v>
      </c>
      <c r="DZ162" s="229">
        <v>0.69440000000000002</v>
      </c>
      <c r="EA162" s="229">
        <v>0.1022</v>
      </c>
      <c r="EB162" s="230">
        <v>1616900</v>
      </c>
      <c r="EC162" s="229">
        <v>-1.9699999999999999E-2</v>
      </c>
      <c r="ED162" s="229">
        <v>0.1022</v>
      </c>
      <c r="EE162" s="228">
        <v>-10.99</v>
      </c>
      <c r="EF162" s="229">
        <v>-2.3300000000000001E-2</v>
      </c>
      <c r="EG162" s="230">
        <v>1004564</v>
      </c>
      <c r="EH162" s="230">
        <v>2609452</v>
      </c>
      <c r="EI162" s="229">
        <v>-0.61499999999999999</v>
      </c>
      <c r="EJ162" s="229">
        <v>0.154</v>
      </c>
      <c r="EK162" s="228">
        <v>720.78</v>
      </c>
      <c r="EL162" s="228">
        <v>399.15</v>
      </c>
      <c r="EM162" s="228">
        <v>307.89999999999998</v>
      </c>
      <c r="EN162" s="228">
        <v>76.45</v>
      </c>
      <c r="EO162" s="231">
        <v>1427.83</v>
      </c>
      <c r="EP162" s="231">
        <v>2134.48</v>
      </c>
      <c r="EQ162" s="228">
        <v>-706.65</v>
      </c>
      <c r="ER162" s="229">
        <v>-0.33110000000000001</v>
      </c>
      <c r="ES162" s="228">
        <v>478.33</v>
      </c>
      <c r="ET162" s="228">
        <v>252.83</v>
      </c>
      <c r="EU162" s="228">
        <v>843.64</v>
      </c>
      <c r="EV162" s="231">
        <v>24101986</v>
      </c>
      <c r="EW162" s="231">
        <v>1574.8</v>
      </c>
      <c r="EX162" s="231">
        <v>1585.11</v>
      </c>
      <c r="EY162" s="228">
        <v>-10.31</v>
      </c>
      <c r="EZ162" s="229">
        <v>-6.4999999999999997E-3</v>
      </c>
      <c r="FA162" s="229">
        <v>1.3432999999999999</v>
      </c>
      <c r="FB162" s="227" t="s">
        <v>566</v>
      </c>
      <c r="FC162">
        <f t="shared" si="3"/>
        <v>0</v>
      </c>
    </row>
    <row r="163" spans="1:159" ht="17.25" thickBot="1" x14ac:dyDescent="0.3">
      <c r="A163" s="226">
        <v>46121</v>
      </c>
      <c r="B163" s="227" t="s">
        <v>206</v>
      </c>
      <c r="C163" s="227" t="s">
        <v>644</v>
      </c>
      <c r="D163" s="228">
        <v>350</v>
      </c>
      <c r="E163" s="228">
        <v>19</v>
      </c>
      <c r="F163" s="231">
        <v>1710.3</v>
      </c>
      <c r="G163" s="231">
        <v>1715.5</v>
      </c>
      <c r="H163" s="228">
        <v>-5.2</v>
      </c>
      <c r="I163" s="229">
        <v>-3.0000000000000001E-3</v>
      </c>
      <c r="J163" s="231">
        <v>1709.9</v>
      </c>
      <c r="K163" s="231">
        <v>1713.1</v>
      </c>
      <c r="L163" s="228">
        <v>-3.2</v>
      </c>
      <c r="M163" s="229">
        <v>-1.9E-3</v>
      </c>
      <c r="N163" s="231">
        <v>1710.3</v>
      </c>
      <c r="O163" s="231">
        <v>1715.5</v>
      </c>
      <c r="P163" s="228">
        <v>-5.2</v>
      </c>
      <c r="Q163" s="229">
        <v>-3.0000000000000001E-3</v>
      </c>
      <c r="R163" s="231">
        <v>1715.8</v>
      </c>
      <c r="S163" s="231">
        <v>1723.5</v>
      </c>
      <c r="T163" s="228">
        <v>-7.7</v>
      </c>
      <c r="U163" s="229">
        <v>-4.4999999999999997E-3</v>
      </c>
      <c r="V163" s="231">
        <v>1726.5</v>
      </c>
      <c r="W163" s="228">
        <v>0</v>
      </c>
      <c r="X163" s="231">
        <v>1726.5</v>
      </c>
      <c r="Y163" s="229">
        <v>0</v>
      </c>
      <c r="Z163" s="228">
        <v>0.4</v>
      </c>
      <c r="AA163" s="228">
        <v>2.4</v>
      </c>
      <c r="AB163" s="228">
        <v>-2</v>
      </c>
      <c r="AC163" s="229">
        <v>2.0000000000000001E-4</v>
      </c>
      <c r="AD163" s="228">
        <v>0.4</v>
      </c>
      <c r="AE163" s="228">
        <v>2.4</v>
      </c>
      <c r="AF163" s="228">
        <v>-2</v>
      </c>
      <c r="AG163" s="229">
        <v>2.0000000000000001E-4</v>
      </c>
      <c r="AH163" s="228">
        <v>5.9</v>
      </c>
      <c r="AI163" s="228">
        <v>10.4</v>
      </c>
      <c r="AJ163" s="228">
        <v>-4.5</v>
      </c>
      <c r="AK163" s="229">
        <v>3.5000000000000001E-3</v>
      </c>
      <c r="AL163" s="228">
        <v>16.600000000000001</v>
      </c>
      <c r="AM163" s="228">
        <v>0</v>
      </c>
      <c r="AN163" s="228">
        <v>16.600000000000001</v>
      </c>
      <c r="AO163" s="229">
        <v>9.7000000000000003E-3</v>
      </c>
      <c r="AP163" s="231">
        <v>1711.89</v>
      </c>
      <c r="AQ163" s="231">
        <v>1718.89</v>
      </c>
      <c r="AR163" s="228">
        <v>0</v>
      </c>
      <c r="AS163" s="228">
        <v>96</v>
      </c>
      <c r="AT163" s="228">
        <v>175</v>
      </c>
      <c r="AU163" s="228">
        <v>-79</v>
      </c>
      <c r="AV163" s="229">
        <v>-0.45219999999999999</v>
      </c>
      <c r="AW163" s="228">
        <v>95</v>
      </c>
      <c r="AX163" s="228">
        <v>173</v>
      </c>
      <c r="AY163" s="228">
        <v>-78</v>
      </c>
      <c r="AZ163" s="229">
        <v>-0.4521</v>
      </c>
      <c r="BA163" s="228">
        <v>1</v>
      </c>
      <c r="BB163" s="228">
        <v>2</v>
      </c>
      <c r="BC163" s="228">
        <v>-1</v>
      </c>
      <c r="BD163" s="229">
        <v>-0.51349999999999996</v>
      </c>
      <c r="BE163" s="228">
        <v>0</v>
      </c>
      <c r="BF163" s="228">
        <v>0</v>
      </c>
      <c r="BG163" s="228">
        <v>0</v>
      </c>
      <c r="BH163" s="229">
        <v>0</v>
      </c>
      <c r="BI163" s="228">
        <v>50</v>
      </c>
      <c r="BJ163" s="228">
        <v>246</v>
      </c>
      <c r="BK163" s="228">
        <v>-196</v>
      </c>
      <c r="BL163" s="229">
        <v>-0.79649999999999999</v>
      </c>
      <c r="BM163" s="228">
        <v>59</v>
      </c>
      <c r="BN163" s="228">
        <v>154</v>
      </c>
      <c r="BO163" s="228">
        <v>-95</v>
      </c>
      <c r="BP163" s="229">
        <v>-0.61539999999999995</v>
      </c>
      <c r="BQ163" s="228">
        <v>205</v>
      </c>
      <c r="BR163" s="228">
        <v>575</v>
      </c>
      <c r="BS163" s="228">
        <v>-370</v>
      </c>
      <c r="BT163" s="229">
        <v>-0.64339999999999997</v>
      </c>
      <c r="BU163" s="230">
        <v>833516</v>
      </c>
      <c r="BV163" s="230">
        <v>1638950</v>
      </c>
      <c r="BW163" s="230">
        <v>-805434</v>
      </c>
      <c r="BX163" s="229">
        <v>-0.4914</v>
      </c>
      <c r="BY163" s="228">
        <v>655</v>
      </c>
      <c r="BZ163" s="228">
        <v>665</v>
      </c>
      <c r="CA163" s="228">
        <v>-10</v>
      </c>
      <c r="CB163" s="229">
        <v>-1.4999999999999999E-2</v>
      </c>
      <c r="CC163" s="228">
        <v>652</v>
      </c>
      <c r="CD163" s="228">
        <v>663</v>
      </c>
      <c r="CE163" s="228">
        <v>-10</v>
      </c>
      <c r="CF163" s="229">
        <v>-1.55E-2</v>
      </c>
      <c r="CG163" s="228">
        <v>3</v>
      </c>
      <c r="CH163" s="228">
        <v>3</v>
      </c>
      <c r="CI163" s="228">
        <v>0</v>
      </c>
      <c r="CJ163" s="229">
        <v>6.9800000000000001E-2</v>
      </c>
      <c r="CK163" s="228">
        <v>0</v>
      </c>
      <c r="CL163" s="228">
        <v>0</v>
      </c>
      <c r="CM163" s="228">
        <v>0</v>
      </c>
      <c r="CN163" s="229">
        <v>0</v>
      </c>
      <c r="CO163" s="228">
        <v>73</v>
      </c>
      <c r="CP163" s="228">
        <v>72</v>
      </c>
      <c r="CQ163" s="228">
        <v>1</v>
      </c>
      <c r="CR163" s="229">
        <v>1.1599999999999999E-2</v>
      </c>
      <c r="CS163" s="228">
        <v>95</v>
      </c>
      <c r="CT163" s="228">
        <v>96</v>
      </c>
      <c r="CU163" s="228">
        <v>-2</v>
      </c>
      <c r="CV163" s="229">
        <v>-1.8599999999999998E-2</v>
      </c>
      <c r="CW163" s="228">
        <v>823</v>
      </c>
      <c r="CX163" s="228">
        <v>834</v>
      </c>
      <c r="CY163" s="228">
        <v>-11</v>
      </c>
      <c r="CZ163" s="229">
        <v>-1.3100000000000001E-2</v>
      </c>
      <c r="DA163" s="228">
        <v>35.96</v>
      </c>
      <c r="DB163" s="228">
        <v>34.35</v>
      </c>
      <c r="DC163" s="228">
        <v>1.61</v>
      </c>
      <c r="DD163" s="228">
        <v>1.61</v>
      </c>
      <c r="DE163" s="228">
        <v>40.21</v>
      </c>
      <c r="DF163" s="228">
        <v>40.32</v>
      </c>
      <c r="DG163" s="228">
        <v>-4.25</v>
      </c>
      <c r="DH163" s="228">
        <v>-0.11</v>
      </c>
      <c r="DI163" s="228">
        <v>31.68</v>
      </c>
      <c r="DJ163" s="228">
        <v>32.31</v>
      </c>
      <c r="DK163" s="228">
        <v>-0.63</v>
      </c>
      <c r="DL163" s="228">
        <v>-0.63</v>
      </c>
      <c r="DM163" s="228">
        <v>39.58</v>
      </c>
      <c r="DN163" s="228">
        <v>37.619999999999997</v>
      </c>
      <c r="DO163" s="228">
        <v>1.96</v>
      </c>
      <c r="DP163" s="228">
        <v>1.96</v>
      </c>
      <c r="DQ163" s="228">
        <v>1.29</v>
      </c>
      <c r="DR163" s="228">
        <v>1.33</v>
      </c>
      <c r="DS163" s="228">
        <v>-0.04</v>
      </c>
      <c r="DT163" s="229">
        <v>-3.0099999999999998E-2</v>
      </c>
      <c r="DU163" s="231">
        <v>1700</v>
      </c>
      <c r="DV163" s="231">
        <v>1500</v>
      </c>
      <c r="DW163" s="228">
        <v>1.18</v>
      </c>
      <c r="DX163" s="228">
        <v>0.63</v>
      </c>
      <c r="DY163" s="228">
        <v>0.55000000000000004</v>
      </c>
      <c r="DZ163" s="229">
        <v>0.873</v>
      </c>
      <c r="EA163" s="229">
        <v>4.4000000000000003E-3</v>
      </c>
      <c r="EB163" s="230">
        <v>15050</v>
      </c>
      <c r="EC163" s="229">
        <v>3.2000000000000002E-3</v>
      </c>
      <c r="ED163" s="229">
        <v>4.4000000000000003E-3</v>
      </c>
      <c r="EE163" s="228">
        <v>7</v>
      </c>
      <c r="EF163" s="229">
        <v>4.1000000000000003E-3</v>
      </c>
      <c r="EG163" s="230">
        <v>489089</v>
      </c>
      <c r="EH163" s="230">
        <v>994226</v>
      </c>
      <c r="EI163" s="229">
        <v>-0.5081</v>
      </c>
      <c r="EJ163" s="229">
        <v>0.58679999999999999</v>
      </c>
      <c r="EK163" s="228">
        <v>52.01</v>
      </c>
      <c r="EL163" s="228">
        <v>54.84</v>
      </c>
      <c r="EM163" s="228">
        <v>95.81</v>
      </c>
      <c r="EN163" s="228">
        <v>16.12</v>
      </c>
      <c r="EO163" s="228">
        <v>202.67</v>
      </c>
      <c r="EP163" s="228">
        <v>574.34</v>
      </c>
      <c r="EQ163" s="228">
        <v>-371.67</v>
      </c>
      <c r="ER163" s="229">
        <v>-0.64710000000000001</v>
      </c>
      <c r="ES163" s="228">
        <v>70.930000000000007</v>
      </c>
      <c r="ET163" s="228">
        <v>85.74</v>
      </c>
      <c r="EU163" s="228">
        <v>655.36</v>
      </c>
      <c r="EV163" s="231">
        <v>21502901</v>
      </c>
      <c r="EW163" s="228">
        <v>812.04</v>
      </c>
      <c r="EX163" s="228">
        <v>824.47</v>
      </c>
      <c r="EY163" s="228">
        <v>-12.43</v>
      </c>
      <c r="EZ163" s="229">
        <v>-1.5100000000000001E-2</v>
      </c>
      <c r="FA163" s="229">
        <v>0.2238</v>
      </c>
      <c r="FB163" s="227" t="s">
        <v>567</v>
      </c>
      <c r="FC163">
        <f t="shared" si="3"/>
        <v>0</v>
      </c>
    </row>
    <row r="164" spans="1:159" ht="17.25" thickBot="1" x14ac:dyDescent="0.3">
      <c r="A164" s="226">
        <v>46121</v>
      </c>
      <c r="B164" s="227" t="s">
        <v>168</v>
      </c>
      <c r="C164" s="227" t="s">
        <v>274</v>
      </c>
      <c r="D164" s="228">
        <v>500</v>
      </c>
      <c r="E164" s="228">
        <v>19</v>
      </c>
      <c r="F164" s="231">
        <v>1350.4</v>
      </c>
      <c r="G164" s="231">
        <v>1357</v>
      </c>
      <c r="H164" s="228">
        <v>-6.6</v>
      </c>
      <c r="I164" s="229">
        <v>-4.8999999999999998E-3</v>
      </c>
      <c r="J164" s="231">
        <v>1347.4</v>
      </c>
      <c r="K164" s="231">
        <v>1355</v>
      </c>
      <c r="L164" s="228">
        <v>-7.6</v>
      </c>
      <c r="M164" s="229">
        <v>-5.5999999999999999E-3</v>
      </c>
      <c r="N164" s="231">
        <v>1350.4</v>
      </c>
      <c r="O164" s="231">
        <v>1357</v>
      </c>
      <c r="P164" s="228">
        <v>-6.6</v>
      </c>
      <c r="Q164" s="229">
        <v>-4.8999999999999998E-3</v>
      </c>
      <c r="R164" s="231">
        <v>1354.7</v>
      </c>
      <c r="S164" s="231">
        <v>1363.2</v>
      </c>
      <c r="T164" s="228">
        <v>-8.5</v>
      </c>
      <c r="U164" s="229">
        <v>-6.1999999999999998E-3</v>
      </c>
      <c r="V164" s="231">
        <v>1356</v>
      </c>
      <c r="W164" s="231">
        <v>1366.4</v>
      </c>
      <c r="X164" s="228">
        <v>-10.4</v>
      </c>
      <c r="Y164" s="229">
        <v>-7.6E-3</v>
      </c>
      <c r="Z164" s="228">
        <v>3</v>
      </c>
      <c r="AA164" s="228">
        <v>2</v>
      </c>
      <c r="AB164" s="228">
        <v>1</v>
      </c>
      <c r="AC164" s="229">
        <v>2.2000000000000001E-3</v>
      </c>
      <c r="AD164" s="228">
        <v>3</v>
      </c>
      <c r="AE164" s="228">
        <v>2</v>
      </c>
      <c r="AF164" s="228">
        <v>1</v>
      </c>
      <c r="AG164" s="229">
        <v>2.2000000000000001E-3</v>
      </c>
      <c r="AH164" s="228">
        <v>7.3</v>
      </c>
      <c r="AI164" s="228">
        <v>8.1999999999999993</v>
      </c>
      <c r="AJ164" s="228">
        <v>-0.9</v>
      </c>
      <c r="AK164" s="229">
        <v>5.4000000000000003E-3</v>
      </c>
      <c r="AL164" s="228">
        <v>8.6</v>
      </c>
      <c r="AM164" s="228">
        <v>11.4</v>
      </c>
      <c r="AN164" s="228">
        <v>-2.8</v>
      </c>
      <c r="AO164" s="229">
        <v>6.4000000000000003E-3</v>
      </c>
      <c r="AP164" s="231">
        <v>1348.26</v>
      </c>
      <c r="AQ164" s="231">
        <v>1355.28</v>
      </c>
      <c r="AR164" s="228">
        <v>0</v>
      </c>
      <c r="AS164" s="228">
        <v>105</v>
      </c>
      <c r="AT164" s="228">
        <v>201</v>
      </c>
      <c r="AU164" s="228">
        <v>-96</v>
      </c>
      <c r="AV164" s="229">
        <v>-0.47820000000000001</v>
      </c>
      <c r="AW164" s="228">
        <v>101</v>
      </c>
      <c r="AX164" s="228">
        <v>193</v>
      </c>
      <c r="AY164" s="228">
        <v>-92</v>
      </c>
      <c r="AZ164" s="229">
        <v>-0.47770000000000001</v>
      </c>
      <c r="BA164" s="228">
        <v>4</v>
      </c>
      <c r="BB164" s="228">
        <v>8</v>
      </c>
      <c r="BC164" s="228">
        <v>-3</v>
      </c>
      <c r="BD164" s="229">
        <v>-0.44350000000000001</v>
      </c>
      <c r="BE164" s="228">
        <v>0</v>
      </c>
      <c r="BF164" s="228">
        <v>1</v>
      </c>
      <c r="BG164" s="228">
        <v>-1</v>
      </c>
      <c r="BH164" s="229">
        <v>-0.91669999999999996</v>
      </c>
      <c r="BI164" s="228">
        <v>101</v>
      </c>
      <c r="BJ164" s="228">
        <v>317</v>
      </c>
      <c r="BK164" s="228">
        <v>-216</v>
      </c>
      <c r="BL164" s="229">
        <v>-0.68259999999999998</v>
      </c>
      <c r="BM164" s="228">
        <v>104</v>
      </c>
      <c r="BN164" s="228">
        <v>140</v>
      </c>
      <c r="BO164" s="228">
        <v>-35</v>
      </c>
      <c r="BP164" s="229">
        <v>-0.25240000000000001</v>
      </c>
      <c r="BQ164" s="228">
        <v>310</v>
      </c>
      <c r="BR164" s="228">
        <v>658</v>
      </c>
      <c r="BS164" s="228">
        <v>-348</v>
      </c>
      <c r="BT164" s="229">
        <v>-0.52869999999999995</v>
      </c>
      <c r="BU164" s="230">
        <v>1117586</v>
      </c>
      <c r="BV164" s="230">
        <v>2921463</v>
      </c>
      <c r="BW164" s="230">
        <v>-1803877</v>
      </c>
      <c r="BX164" s="229">
        <v>-0.61750000000000005</v>
      </c>
      <c r="BY164" s="230">
        <v>1058</v>
      </c>
      <c r="BZ164" s="230">
        <v>1058</v>
      </c>
      <c r="CA164" s="228">
        <v>0</v>
      </c>
      <c r="CB164" s="229">
        <v>4.0000000000000002E-4</v>
      </c>
      <c r="CC164" s="230">
        <v>1046</v>
      </c>
      <c r="CD164" s="230">
        <v>1046</v>
      </c>
      <c r="CE164" s="228">
        <v>0</v>
      </c>
      <c r="CF164" s="229">
        <v>-4.0000000000000002E-4</v>
      </c>
      <c r="CG164" s="228">
        <v>12</v>
      </c>
      <c r="CH164" s="228">
        <v>11</v>
      </c>
      <c r="CI164" s="228">
        <v>1</v>
      </c>
      <c r="CJ164" s="229">
        <v>7.1900000000000006E-2</v>
      </c>
      <c r="CK164" s="228">
        <v>1</v>
      </c>
      <c r="CL164" s="228">
        <v>1</v>
      </c>
      <c r="CM164" s="228">
        <v>0</v>
      </c>
      <c r="CN164" s="229">
        <v>0.1111</v>
      </c>
      <c r="CO164" s="228">
        <v>130</v>
      </c>
      <c r="CP164" s="228">
        <v>128</v>
      </c>
      <c r="CQ164" s="228">
        <v>1</v>
      </c>
      <c r="CR164" s="229">
        <v>1.11E-2</v>
      </c>
      <c r="CS164" s="228">
        <v>109</v>
      </c>
      <c r="CT164" s="228">
        <v>110</v>
      </c>
      <c r="CU164" s="228">
        <v>-1</v>
      </c>
      <c r="CV164" s="229">
        <v>-9.7999999999999997E-3</v>
      </c>
      <c r="CW164" s="230">
        <v>1297</v>
      </c>
      <c r="CX164" s="230">
        <v>1296</v>
      </c>
      <c r="CY164" s="228">
        <v>1</v>
      </c>
      <c r="CZ164" s="229">
        <v>5.9999999999999995E-4</v>
      </c>
      <c r="DA164" s="228">
        <v>29.59</v>
      </c>
      <c r="DB164" s="228">
        <v>28.34</v>
      </c>
      <c r="DC164" s="228">
        <v>1.25</v>
      </c>
      <c r="DD164" s="228">
        <v>1.25</v>
      </c>
      <c r="DE164" s="228">
        <v>25.53</v>
      </c>
      <c r="DF164" s="228">
        <v>25.58</v>
      </c>
      <c r="DG164" s="228">
        <v>4.0599999999999996</v>
      </c>
      <c r="DH164" s="228">
        <v>-0.05</v>
      </c>
      <c r="DI164" s="228">
        <v>28.02</v>
      </c>
      <c r="DJ164" s="228">
        <v>27.82</v>
      </c>
      <c r="DK164" s="228">
        <v>0.2</v>
      </c>
      <c r="DL164" s="228">
        <v>0.2</v>
      </c>
      <c r="DM164" s="228">
        <v>31.1</v>
      </c>
      <c r="DN164" s="228">
        <v>29.55</v>
      </c>
      <c r="DO164" s="228">
        <v>1.55</v>
      </c>
      <c r="DP164" s="228">
        <v>1.55</v>
      </c>
      <c r="DQ164" s="228">
        <v>0.84</v>
      </c>
      <c r="DR164" s="228">
        <v>0.86</v>
      </c>
      <c r="DS164" s="228">
        <v>-0.02</v>
      </c>
      <c r="DT164" s="229">
        <v>-2.3300000000000001E-2</v>
      </c>
      <c r="DU164" s="231">
        <v>1400</v>
      </c>
      <c r="DV164" s="231">
        <v>1360</v>
      </c>
      <c r="DW164" s="228">
        <v>1.04</v>
      </c>
      <c r="DX164" s="228">
        <v>0.44</v>
      </c>
      <c r="DY164" s="228">
        <v>0.6</v>
      </c>
      <c r="DZ164" s="229">
        <v>1.3635999999999999</v>
      </c>
      <c r="EA164" s="229">
        <v>1.21E-2</v>
      </c>
      <c r="EB164" s="230">
        <v>88000</v>
      </c>
      <c r="EC164" s="229">
        <v>3.2000000000000002E-3</v>
      </c>
      <c r="ED164" s="229">
        <v>1.21E-2</v>
      </c>
      <c r="EE164" s="228">
        <v>7.02</v>
      </c>
      <c r="EF164" s="229">
        <v>5.1999999999999998E-3</v>
      </c>
      <c r="EG164" s="230">
        <v>713238</v>
      </c>
      <c r="EH164" s="230">
        <v>1917333</v>
      </c>
      <c r="EI164" s="229">
        <v>-0.628</v>
      </c>
      <c r="EJ164" s="229">
        <v>0.63819999999999999</v>
      </c>
      <c r="EK164" s="228">
        <v>105.68</v>
      </c>
      <c r="EL164" s="228">
        <v>101.88</v>
      </c>
      <c r="EM164" s="228">
        <v>104.85</v>
      </c>
      <c r="EN164" s="228">
        <v>18.62</v>
      </c>
      <c r="EO164" s="228">
        <v>312.41000000000003</v>
      </c>
      <c r="EP164" s="228">
        <v>677.08</v>
      </c>
      <c r="EQ164" s="228">
        <v>-364.67</v>
      </c>
      <c r="ER164" s="229">
        <v>-0.53859999999999997</v>
      </c>
      <c r="ES164" s="228">
        <v>132.36000000000001</v>
      </c>
      <c r="ET164" s="228">
        <v>104.45</v>
      </c>
      <c r="EU164" s="231">
        <v>1058.3499999999999</v>
      </c>
      <c r="EV164" s="231">
        <v>31214205</v>
      </c>
      <c r="EW164" s="231">
        <v>1295.17</v>
      </c>
      <c r="EX164" s="231">
        <v>1299.44</v>
      </c>
      <c r="EY164" s="228">
        <v>-4.2699999999999996</v>
      </c>
      <c r="EZ164" s="229">
        <v>-3.3E-3</v>
      </c>
      <c r="FA164" s="229">
        <v>0.30759999999999998</v>
      </c>
      <c r="FB164" s="227" t="s">
        <v>566</v>
      </c>
      <c r="FC164">
        <f t="shared" si="3"/>
        <v>0</v>
      </c>
    </row>
    <row r="165" spans="1:159" ht="17.25" thickBot="1" x14ac:dyDescent="0.3">
      <c r="A165" s="226">
        <v>46121</v>
      </c>
      <c r="B165" s="227" t="s">
        <v>498</v>
      </c>
      <c r="C165" s="227" t="s">
        <v>483</v>
      </c>
      <c r="D165" s="228">
        <v>175</v>
      </c>
      <c r="E165" s="228">
        <v>19</v>
      </c>
      <c r="F165" s="231">
        <v>2893.3</v>
      </c>
      <c r="G165" s="231">
        <v>2885.3</v>
      </c>
      <c r="H165" s="228">
        <v>8</v>
      </c>
      <c r="I165" s="229">
        <v>2.8E-3</v>
      </c>
      <c r="J165" s="231">
        <v>2880.7</v>
      </c>
      <c r="K165" s="231">
        <v>2877</v>
      </c>
      <c r="L165" s="228">
        <v>3.7</v>
      </c>
      <c r="M165" s="229">
        <v>1.2999999999999999E-3</v>
      </c>
      <c r="N165" s="231">
        <v>2893.3</v>
      </c>
      <c r="O165" s="231">
        <v>2885.3</v>
      </c>
      <c r="P165" s="228">
        <v>8</v>
      </c>
      <c r="Q165" s="229">
        <v>2.8E-3</v>
      </c>
      <c r="R165" s="231">
        <v>2885.5</v>
      </c>
      <c r="S165" s="231">
        <v>2879.1</v>
      </c>
      <c r="T165" s="228">
        <v>6.4</v>
      </c>
      <c r="U165" s="229">
        <v>2.2000000000000001E-3</v>
      </c>
      <c r="V165" s="231">
        <v>2856.3</v>
      </c>
      <c r="W165" s="231">
        <v>2864.8</v>
      </c>
      <c r="X165" s="228">
        <v>-8.5</v>
      </c>
      <c r="Y165" s="229">
        <v>-3.0000000000000001E-3</v>
      </c>
      <c r="Z165" s="228">
        <v>12.6</v>
      </c>
      <c r="AA165" s="228">
        <v>8.3000000000000007</v>
      </c>
      <c r="AB165" s="228">
        <v>4.3</v>
      </c>
      <c r="AC165" s="229">
        <v>4.4000000000000003E-3</v>
      </c>
      <c r="AD165" s="228">
        <v>12.6</v>
      </c>
      <c r="AE165" s="228">
        <v>8.3000000000000007</v>
      </c>
      <c r="AF165" s="228">
        <v>4.3</v>
      </c>
      <c r="AG165" s="229">
        <v>4.4000000000000003E-3</v>
      </c>
      <c r="AH165" s="228">
        <v>4.8</v>
      </c>
      <c r="AI165" s="228">
        <v>2.1</v>
      </c>
      <c r="AJ165" s="228">
        <v>2.7</v>
      </c>
      <c r="AK165" s="229">
        <v>1.6999999999999999E-3</v>
      </c>
      <c r="AL165" s="228">
        <v>-24.4</v>
      </c>
      <c r="AM165" s="228">
        <v>-12.2</v>
      </c>
      <c r="AN165" s="228">
        <v>-12.2</v>
      </c>
      <c r="AO165" s="229">
        <v>-8.5000000000000006E-3</v>
      </c>
      <c r="AP165" s="231">
        <v>2867.44</v>
      </c>
      <c r="AQ165" s="231">
        <v>2863.26</v>
      </c>
      <c r="AR165" s="228">
        <v>0</v>
      </c>
      <c r="AS165" s="228">
        <v>125</v>
      </c>
      <c r="AT165" s="228">
        <v>91</v>
      </c>
      <c r="AU165" s="228">
        <v>34</v>
      </c>
      <c r="AV165" s="229">
        <v>0.37759999999999999</v>
      </c>
      <c r="AW165" s="228">
        <v>119</v>
      </c>
      <c r="AX165" s="228">
        <v>84</v>
      </c>
      <c r="AY165" s="228">
        <v>35</v>
      </c>
      <c r="AZ165" s="229">
        <v>0.42220000000000002</v>
      </c>
      <c r="BA165" s="228">
        <v>6</v>
      </c>
      <c r="BB165" s="228">
        <v>7</v>
      </c>
      <c r="BC165" s="228">
        <v>-1</v>
      </c>
      <c r="BD165" s="229">
        <v>-0.1618</v>
      </c>
      <c r="BE165" s="228">
        <v>1</v>
      </c>
      <c r="BF165" s="228">
        <v>1</v>
      </c>
      <c r="BG165" s="228">
        <v>0</v>
      </c>
      <c r="BH165" s="229">
        <v>0.36359999999999998</v>
      </c>
      <c r="BI165" s="228">
        <v>130</v>
      </c>
      <c r="BJ165" s="228">
        <v>114</v>
      </c>
      <c r="BK165" s="228">
        <v>16</v>
      </c>
      <c r="BL165" s="229">
        <v>0.14219999999999999</v>
      </c>
      <c r="BM165" s="228">
        <v>114</v>
      </c>
      <c r="BN165" s="228">
        <v>66</v>
      </c>
      <c r="BO165" s="228">
        <v>49</v>
      </c>
      <c r="BP165" s="229">
        <v>0.74109999999999998</v>
      </c>
      <c r="BQ165" s="228">
        <v>369</v>
      </c>
      <c r="BR165" s="228">
        <v>270</v>
      </c>
      <c r="BS165" s="228">
        <v>99</v>
      </c>
      <c r="BT165" s="229">
        <v>0.36680000000000001</v>
      </c>
      <c r="BU165" s="230">
        <v>446613</v>
      </c>
      <c r="BV165" s="230">
        <v>311873</v>
      </c>
      <c r="BW165" s="230">
        <v>134740</v>
      </c>
      <c r="BX165" s="229">
        <v>0.432</v>
      </c>
      <c r="BY165" s="228">
        <v>754</v>
      </c>
      <c r="BZ165" s="228">
        <v>773</v>
      </c>
      <c r="CA165" s="228">
        <v>-19</v>
      </c>
      <c r="CB165" s="229">
        <v>-2.4400000000000002E-2</v>
      </c>
      <c r="CC165" s="228">
        <v>731</v>
      </c>
      <c r="CD165" s="228">
        <v>752</v>
      </c>
      <c r="CE165" s="228">
        <v>-21</v>
      </c>
      <c r="CF165" s="229">
        <v>-2.7799999999999998E-2</v>
      </c>
      <c r="CG165" s="228">
        <v>22</v>
      </c>
      <c r="CH165" s="228">
        <v>20</v>
      </c>
      <c r="CI165" s="228">
        <v>2</v>
      </c>
      <c r="CJ165" s="229">
        <v>7.7899999999999997E-2</v>
      </c>
      <c r="CK165" s="228">
        <v>1</v>
      </c>
      <c r="CL165" s="228">
        <v>1</v>
      </c>
      <c r="CM165" s="228">
        <v>0</v>
      </c>
      <c r="CN165" s="229">
        <v>0.75</v>
      </c>
      <c r="CO165" s="228">
        <v>143</v>
      </c>
      <c r="CP165" s="228">
        <v>123</v>
      </c>
      <c r="CQ165" s="228">
        <v>20</v>
      </c>
      <c r="CR165" s="229">
        <v>0.1648</v>
      </c>
      <c r="CS165" s="228">
        <v>139</v>
      </c>
      <c r="CT165" s="228">
        <v>110</v>
      </c>
      <c r="CU165" s="228">
        <v>29</v>
      </c>
      <c r="CV165" s="229">
        <v>0.2626</v>
      </c>
      <c r="CW165" s="230">
        <v>1036</v>
      </c>
      <c r="CX165" s="230">
        <v>1006</v>
      </c>
      <c r="CY165" s="228">
        <v>30</v>
      </c>
      <c r="CZ165" s="229">
        <v>3.0099999999999998E-2</v>
      </c>
      <c r="DA165" s="228">
        <v>31.06</v>
      </c>
      <c r="DB165" s="228">
        <v>30.86</v>
      </c>
      <c r="DC165" s="228">
        <v>0.2</v>
      </c>
      <c r="DD165" s="228">
        <v>0.2</v>
      </c>
      <c r="DE165" s="228">
        <v>31.17</v>
      </c>
      <c r="DF165" s="228">
        <v>31.25</v>
      </c>
      <c r="DG165" s="228">
        <v>-0.11</v>
      </c>
      <c r="DH165" s="228">
        <v>-0.08</v>
      </c>
      <c r="DI165" s="228">
        <v>29.57</v>
      </c>
      <c r="DJ165" s="228">
        <v>30.95</v>
      </c>
      <c r="DK165" s="228">
        <v>-1.38</v>
      </c>
      <c r="DL165" s="228">
        <v>-1.38</v>
      </c>
      <c r="DM165" s="228">
        <v>32.76</v>
      </c>
      <c r="DN165" s="228">
        <v>30.72</v>
      </c>
      <c r="DO165" s="228">
        <v>2.04</v>
      </c>
      <c r="DP165" s="228">
        <v>2.04</v>
      </c>
      <c r="DQ165" s="228">
        <v>0.97</v>
      </c>
      <c r="DR165" s="228">
        <v>0.89</v>
      </c>
      <c r="DS165" s="228">
        <v>0.08</v>
      </c>
      <c r="DT165" s="229">
        <v>8.9899999999999994E-2</v>
      </c>
      <c r="DU165" s="231">
        <v>3000</v>
      </c>
      <c r="DV165" s="231">
        <v>2700</v>
      </c>
      <c r="DW165" s="228">
        <v>0.88</v>
      </c>
      <c r="DX165" s="228">
        <v>0.57999999999999996</v>
      </c>
      <c r="DY165" s="228">
        <v>0.3</v>
      </c>
      <c r="DZ165" s="229">
        <v>0.51719999999999999</v>
      </c>
      <c r="EA165" s="229">
        <v>3.0200000000000001E-2</v>
      </c>
      <c r="EB165" s="230">
        <v>71750</v>
      </c>
      <c r="EC165" s="229">
        <v>-2.7000000000000001E-3</v>
      </c>
      <c r="ED165" s="229">
        <v>3.0200000000000001E-2</v>
      </c>
      <c r="EE165" s="228">
        <v>-4.18</v>
      </c>
      <c r="EF165" s="229">
        <v>-1.5E-3</v>
      </c>
      <c r="EG165" s="230">
        <v>233178</v>
      </c>
      <c r="EH165" s="230">
        <v>201340</v>
      </c>
      <c r="EI165" s="229">
        <v>0.15809999999999999</v>
      </c>
      <c r="EJ165" s="229">
        <v>0.52210000000000001</v>
      </c>
      <c r="EK165" s="228">
        <v>135.72999999999999</v>
      </c>
      <c r="EL165" s="228">
        <v>109.99</v>
      </c>
      <c r="EM165" s="228">
        <v>124.28</v>
      </c>
      <c r="EN165" s="228">
        <v>16.600000000000001</v>
      </c>
      <c r="EO165" s="228">
        <v>370</v>
      </c>
      <c r="EP165" s="228">
        <v>277.64</v>
      </c>
      <c r="EQ165" s="228">
        <v>92.36</v>
      </c>
      <c r="ER165" s="229">
        <v>0.33260000000000001</v>
      </c>
      <c r="ES165" s="228">
        <v>148.33000000000001</v>
      </c>
      <c r="ET165" s="228">
        <v>134.15</v>
      </c>
      <c r="EU165" s="228">
        <v>753.75</v>
      </c>
      <c r="EV165" s="231">
        <v>8178275</v>
      </c>
      <c r="EW165" s="231">
        <v>1036.24</v>
      </c>
      <c r="EX165" s="231">
        <v>1004.52</v>
      </c>
      <c r="EY165" s="228">
        <v>31.72</v>
      </c>
      <c r="EZ165" s="229">
        <v>3.1600000000000003E-2</v>
      </c>
      <c r="FA165" s="229">
        <v>0.43780000000000002</v>
      </c>
      <c r="FB165" s="227" t="s">
        <v>694</v>
      </c>
      <c r="FC165">
        <f t="shared" si="3"/>
        <v>0</v>
      </c>
    </row>
    <row r="166" spans="1:159" ht="17.25" thickBot="1" x14ac:dyDescent="0.3">
      <c r="A166" s="226">
        <v>46121</v>
      </c>
      <c r="B166" s="227" t="s">
        <v>172</v>
      </c>
      <c r="C166" s="227" t="s">
        <v>275</v>
      </c>
      <c r="D166" s="228">
        <v>8000</v>
      </c>
      <c r="E166" s="228">
        <v>19</v>
      </c>
      <c r="F166" s="228">
        <v>109.84</v>
      </c>
      <c r="G166" s="228">
        <v>111.73</v>
      </c>
      <c r="H166" s="228">
        <v>-1.89</v>
      </c>
      <c r="I166" s="229">
        <v>-1.6899999999999998E-2</v>
      </c>
      <c r="J166" s="228">
        <v>109.59</v>
      </c>
      <c r="K166" s="228">
        <v>111.14</v>
      </c>
      <c r="L166" s="228">
        <v>-1.55</v>
      </c>
      <c r="M166" s="229">
        <v>-1.3899999999999999E-2</v>
      </c>
      <c r="N166" s="228">
        <v>109.84</v>
      </c>
      <c r="O166" s="228">
        <v>111.73</v>
      </c>
      <c r="P166" s="228">
        <v>-1.89</v>
      </c>
      <c r="Q166" s="229">
        <v>-1.6899999999999998E-2</v>
      </c>
      <c r="R166" s="228">
        <v>110.5</v>
      </c>
      <c r="S166" s="228">
        <v>112.36</v>
      </c>
      <c r="T166" s="228">
        <v>-1.86</v>
      </c>
      <c r="U166" s="229">
        <v>-1.66E-2</v>
      </c>
      <c r="V166" s="228">
        <v>110.99</v>
      </c>
      <c r="W166" s="228">
        <v>112.82</v>
      </c>
      <c r="X166" s="228">
        <v>-1.83</v>
      </c>
      <c r="Y166" s="229">
        <v>-1.6199999999999999E-2</v>
      </c>
      <c r="Z166" s="228">
        <v>0.25</v>
      </c>
      <c r="AA166" s="228">
        <v>0.59</v>
      </c>
      <c r="AB166" s="228">
        <v>-0.34</v>
      </c>
      <c r="AC166" s="229">
        <v>2.3E-3</v>
      </c>
      <c r="AD166" s="228">
        <v>0.25</v>
      </c>
      <c r="AE166" s="228">
        <v>0.59</v>
      </c>
      <c r="AF166" s="228">
        <v>-0.34</v>
      </c>
      <c r="AG166" s="229">
        <v>2.3E-3</v>
      </c>
      <c r="AH166" s="228">
        <v>0.91</v>
      </c>
      <c r="AI166" s="228">
        <v>1.22</v>
      </c>
      <c r="AJ166" s="228">
        <v>-0.31</v>
      </c>
      <c r="AK166" s="229">
        <v>8.3000000000000001E-3</v>
      </c>
      <c r="AL166" s="228">
        <v>1.4</v>
      </c>
      <c r="AM166" s="228">
        <v>1.68</v>
      </c>
      <c r="AN166" s="228">
        <v>-0.28000000000000003</v>
      </c>
      <c r="AO166" s="229">
        <v>1.2800000000000001E-2</v>
      </c>
      <c r="AP166" s="228">
        <v>110.55</v>
      </c>
      <c r="AQ166" s="228">
        <v>111.23</v>
      </c>
      <c r="AR166" s="228">
        <v>0</v>
      </c>
      <c r="AS166" s="228">
        <v>536</v>
      </c>
      <c r="AT166" s="228">
        <v>794</v>
      </c>
      <c r="AU166" s="228">
        <v>-259</v>
      </c>
      <c r="AV166" s="229">
        <v>-0.3256</v>
      </c>
      <c r="AW166" s="228">
        <v>475</v>
      </c>
      <c r="AX166" s="228">
        <v>705</v>
      </c>
      <c r="AY166" s="228">
        <v>-230</v>
      </c>
      <c r="AZ166" s="229">
        <v>-0.3256</v>
      </c>
      <c r="BA166" s="228">
        <v>51</v>
      </c>
      <c r="BB166" s="228">
        <v>78</v>
      </c>
      <c r="BC166" s="228">
        <v>-28</v>
      </c>
      <c r="BD166" s="229">
        <v>-0.35389999999999999</v>
      </c>
      <c r="BE166" s="228">
        <v>9</v>
      </c>
      <c r="BF166" s="228">
        <v>11</v>
      </c>
      <c r="BG166" s="228">
        <v>-1</v>
      </c>
      <c r="BH166" s="229">
        <v>-0.1148</v>
      </c>
      <c r="BI166" s="228">
        <v>915</v>
      </c>
      <c r="BJ166" s="230">
        <v>1316</v>
      </c>
      <c r="BK166" s="228">
        <v>-401</v>
      </c>
      <c r="BL166" s="229">
        <v>-0.3044</v>
      </c>
      <c r="BM166" s="228">
        <v>581</v>
      </c>
      <c r="BN166" s="228">
        <v>673</v>
      </c>
      <c r="BO166" s="228">
        <v>-91</v>
      </c>
      <c r="BP166" s="229">
        <v>-0.13569999999999999</v>
      </c>
      <c r="BQ166" s="230">
        <v>2032</v>
      </c>
      <c r="BR166" s="230">
        <v>2782</v>
      </c>
      <c r="BS166" s="228">
        <v>-750</v>
      </c>
      <c r="BT166" s="229">
        <v>-0.2697</v>
      </c>
      <c r="BU166" s="230">
        <v>23100490</v>
      </c>
      <c r="BV166" s="230">
        <v>32357816</v>
      </c>
      <c r="BW166" s="230">
        <v>-9257326</v>
      </c>
      <c r="BX166" s="229">
        <v>-0.28610000000000002</v>
      </c>
      <c r="BY166" s="230">
        <v>3137</v>
      </c>
      <c r="BZ166" s="230">
        <v>3072</v>
      </c>
      <c r="CA166" s="228">
        <v>65</v>
      </c>
      <c r="CB166" s="229">
        <v>2.12E-2</v>
      </c>
      <c r="CC166" s="230">
        <v>2956</v>
      </c>
      <c r="CD166" s="230">
        <v>2914</v>
      </c>
      <c r="CE166" s="228">
        <v>42</v>
      </c>
      <c r="CF166" s="229">
        <v>1.44E-2</v>
      </c>
      <c r="CG166" s="228">
        <v>165</v>
      </c>
      <c r="CH166" s="228">
        <v>146</v>
      </c>
      <c r="CI166" s="228">
        <v>19</v>
      </c>
      <c r="CJ166" s="229">
        <v>0.12670000000000001</v>
      </c>
      <c r="CK166" s="228">
        <v>17</v>
      </c>
      <c r="CL166" s="228">
        <v>12</v>
      </c>
      <c r="CM166" s="228">
        <v>5</v>
      </c>
      <c r="CN166" s="229">
        <v>0.3926</v>
      </c>
      <c r="CO166" s="228">
        <v>911</v>
      </c>
      <c r="CP166" s="228">
        <v>838</v>
      </c>
      <c r="CQ166" s="228">
        <v>73</v>
      </c>
      <c r="CR166" s="229">
        <v>8.7300000000000003E-2</v>
      </c>
      <c r="CS166" s="228">
        <v>696</v>
      </c>
      <c r="CT166" s="228">
        <v>662</v>
      </c>
      <c r="CU166" s="228">
        <v>34</v>
      </c>
      <c r="CV166" s="229">
        <v>5.0999999999999997E-2</v>
      </c>
      <c r="CW166" s="230">
        <v>4744</v>
      </c>
      <c r="CX166" s="230">
        <v>4572</v>
      </c>
      <c r="CY166" s="228">
        <v>172</v>
      </c>
      <c r="CZ166" s="229">
        <v>3.7600000000000001E-2</v>
      </c>
      <c r="DA166" s="228">
        <v>38.619999999999997</v>
      </c>
      <c r="DB166" s="228">
        <v>38.409999999999997</v>
      </c>
      <c r="DC166" s="228">
        <v>0.21</v>
      </c>
      <c r="DD166" s="228">
        <v>0.21</v>
      </c>
      <c r="DE166" s="228">
        <v>38.25</v>
      </c>
      <c r="DF166" s="228">
        <v>38.28</v>
      </c>
      <c r="DG166" s="228">
        <v>0.37</v>
      </c>
      <c r="DH166" s="228">
        <v>-0.03</v>
      </c>
      <c r="DI166" s="228">
        <v>38.06</v>
      </c>
      <c r="DJ166" s="228">
        <v>37</v>
      </c>
      <c r="DK166" s="228">
        <v>1.06</v>
      </c>
      <c r="DL166" s="228">
        <v>1.06</v>
      </c>
      <c r="DM166" s="228">
        <v>39.5</v>
      </c>
      <c r="DN166" s="228">
        <v>41.15</v>
      </c>
      <c r="DO166" s="228">
        <v>-1.65</v>
      </c>
      <c r="DP166" s="228">
        <v>-1.65</v>
      </c>
      <c r="DQ166" s="228">
        <v>0.76</v>
      </c>
      <c r="DR166" s="228">
        <v>0.79</v>
      </c>
      <c r="DS166" s="228">
        <v>-0.03</v>
      </c>
      <c r="DT166" s="229">
        <v>-3.7999999999999999E-2</v>
      </c>
      <c r="DU166" s="228">
        <v>120</v>
      </c>
      <c r="DV166" s="228">
        <v>110</v>
      </c>
      <c r="DW166" s="228">
        <v>0.64</v>
      </c>
      <c r="DX166" s="228">
        <v>0.51</v>
      </c>
      <c r="DY166" s="228">
        <v>0.13</v>
      </c>
      <c r="DZ166" s="229">
        <v>0.25490000000000002</v>
      </c>
      <c r="EA166" s="229">
        <v>5.7799999999999997E-2</v>
      </c>
      <c r="EB166" s="230">
        <v>14408000</v>
      </c>
      <c r="EC166" s="229">
        <v>6.0000000000000001E-3</v>
      </c>
      <c r="ED166" s="229">
        <v>5.7799999999999997E-2</v>
      </c>
      <c r="EE166" s="228">
        <v>0.68</v>
      </c>
      <c r="EF166" s="229">
        <v>6.1999999999999998E-3</v>
      </c>
      <c r="EG166" s="230">
        <v>7942032</v>
      </c>
      <c r="EH166" s="230">
        <v>15831750</v>
      </c>
      <c r="EI166" s="229">
        <v>-0.49830000000000002</v>
      </c>
      <c r="EJ166" s="229">
        <v>0.34379999999999999</v>
      </c>
      <c r="EK166" s="228">
        <v>981.27</v>
      </c>
      <c r="EL166" s="228">
        <v>576.65</v>
      </c>
      <c r="EM166" s="228">
        <v>539.47</v>
      </c>
      <c r="EN166" s="228">
        <v>73.41</v>
      </c>
      <c r="EO166" s="231">
        <v>2097.39</v>
      </c>
      <c r="EP166" s="231">
        <v>2864.73</v>
      </c>
      <c r="EQ166" s="228">
        <v>-767.34</v>
      </c>
      <c r="ER166" s="229">
        <v>-0.26790000000000003</v>
      </c>
      <c r="ES166" s="228">
        <v>959.31</v>
      </c>
      <c r="ET166" s="228">
        <v>678.86</v>
      </c>
      <c r="EU166" s="231">
        <v>3138.37</v>
      </c>
      <c r="EV166" s="231">
        <v>515822637</v>
      </c>
      <c r="EW166" s="231">
        <v>4776.54</v>
      </c>
      <c r="EX166" s="231">
        <v>4653.3999999999996</v>
      </c>
      <c r="EY166" s="228">
        <v>123.14</v>
      </c>
      <c r="EZ166" s="229">
        <v>2.6499999999999999E-2</v>
      </c>
      <c r="FA166" s="229">
        <v>0.83740000000000003</v>
      </c>
      <c r="FB166" s="227" t="s">
        <v>566</v>
      </c>
      <c r="FC166">
        <f t="shared" si="3"/>
        <v>0</v>
      </c>
    </row>
    <row r="167" spans="1:159" ht="17.25" thickBot="1" x14ac:dyDescent="0.3">
      <c r="A167" s="226">
        <v>46121</v>
      </c>
      <c r="B167" s="227" t="s">
        <v>175</v>
      </c>
      <c r="C167" s="227" t="s">
        <v>668</v>
      </c>
      <c r="D167" s="228">
        <v>650</v>
      </c>
      <c r="E167" s="228">
        <v>19</v>
      </c>
      <c r="F167" s="228">
        <v>867.55</v>
      </c>
      <c r="G167" s="228">
        <v>877.1</v>
      </c>
      <c r="H167" s="228">
        <v>-9.5500000000000007</v>
      </c>
      <c r="I167" s="229">
        <v>-1.09E-2</v>
      </c>
      <c r="J167" s="228">
        <v>862.95</v>
      </c>
      <c r="K167" s="228">
        <v>873.3</v>
      </c>
      <c r="L167" s="228">
        <v>-10.35</v>
      </c>
      <c r="M167" s="229">
        <v>-1.1900000000000001E-2</v>
      </c>
      <c r="N167" s="228">
        <v>867.55</v>
      </c>
      <c r="O167" s="228">
        <v>877.1</v>
      </c>
      <c r="P167" s="228">
        <v>-9.5500000000000007</v>
      </c>
      <c r="Q167" s="229">
        <v>-1.09E-2</v>
      </c>
      <c r="R167" s="228">
        <v>871.5</v>
      </c>
      <c r="S167" s="228">
        <v>881.6</v>
      </c>
      <c r="T167" s="228">
        <v>-10.1</v>
      </c>
      <c r="U167" s="229">
        <v>-1.15E-2</v>
      </c>
      <c r="V167" s="228">
        <v>879</v>
      </c>
      <c r="W167" s="228">
        <v>889.35</v>
      </c>
      <c r="X167" s="228">
        <v>-10.35</v>
      </c>
      <c r="Y167" s="229">
        <v>-1.1599999999999999E-2</v>
      </c>
      <c r="Z167" s="228">
        <v>4.5999999999999996</v>
      </c>
      <c r="AA167" s="228">
        <v>3.8</v>
      </c>
      <c r="AB167" s="228">
        <v>0.8</v>
      </c>
      <c r="AC167" s="229">
        <v>5.3E-3</v>
      </c>
      <c r="AD167" s="228">
        <v>4.5999999999999996</v>
      </c>
      <c r="AE167" s="228">
        <v>3.8</v>
      </c>
      <c r="AF167" s="228">
        <v>0.8</v>
      </c>
      <c r="AG167" s="229">
        <v>5.3E-3</v>
      </c>
      <c r="AH167" s="228">
        <v>8.5500000000000007</v>
      </c>
      <c r="AI167" s="228">
        <v>8.3000000000000007</v>
      </c>
      <c r="AJ167" s="228">
        <v>0.25</v>
      </c>
      <c r="AK167" s="229">
        <v>9.9000000000000008E-3</v>
      </c>
      <c r="AL167" s="228">
        <v>16.05</v>
      </c>
      <c r="AM167" s="228">
        <v>16.05</v>
      </c>
      <c r="AN167" s="228">
        <v>0</v>
      </c>
      <c r="AO167" s="229">
        <v>1.8599999999999998E-2</v>
      </c>
      <c r="AP167" s="228">
        <v>864.77</v>
      </c>
      <c r="AQ167" s="228">
        <v>867.31</v>
      </c>
      <c r="AR167" s="228">
        <v>0</v>
      </c>
      <c r="AS167" s="228">
        <v>110</v>
      </c>
      <c r="AT167" s="228">
        <v>283</v>
      </c>
      <c r="AU167" s="228">
        <v>-173</v>
      </c>
      <c r="AV167" s="229">
        <v>-0.6109</v>
      </c>
      <c r="AW167" s="228">
        <v>108</v>
      </c>
      <c r="AX167" s="228">
        <v>276</v>
      </c>
      <c r="AY167" s="228">
        <v>-168</v>
      </c>
      <c r="AZ167" s="229">
        <v>-0.60970000000000002</v>
      </c>
      <c r="BA167" s="228">
        <v>2</v>
      </c>
      <c r="BB167" s="228">
        <v>6</v>
      </c>
      <c r="BC167" s="228">
        <v>-4</v>
      </c>
      <c r="BD167" s="229">
        <v>-0.63639999999999997</v>
      </c>
      <c r="BE167" s="228">
        <v>0</v>
      </c>
      <c r="BF167" s="228">
        <v>1</v>
      </c>
      <c r="BG167" s="228">
        <v>-1</v>
      </c>
      <c r="BH167" s="229">
        <v>-0.8125</v>
      </c>
      <c r="BI167" s="228">
        <v>61</v>
      </c>
      <c r="BJ167" s="228">
        <v>254</v>
      </c>
      <c r="BK167" s="228">
        <v>-193</v>
      </c>
      <c r="BL167" s="229">
        <v>-0.75819999999999999</v>
      </c>
      <c r="BM167" s="228">
        <v>222</v>
      </c>
      <c r="BN167" s="228">
        <v>107</v>
      </c>
      <c r="BO167" s="228">
        <v>115</v>
      </c>
      <c r="BP167" s="229">
        <v>1.0761000000000001</v>
      </c>
      <c r="BQ167" s="228">
        <v>393</v>
      </c>
      <c r="BR167" s="228">
        <v>644</v>
      </c>
      <c r="BS167" s="228">
        <v>-251</v>
      </c>
      <c r="BT167" s="229">
        <v>-0.38940000000000002</v>
      </c>
      <c r="BU167" s="230">
        <v>725576</v>
      </c>
      <c r="BV167" s="230">
        <v>1089207</v>
      </c>
      <c r="BW167" s="230">
        <v>-363631</v>
      </c>
      <c r="BX167" s="229">
        <v>-0.33379999999999999</v>
      </c>
      <c r="BY167" s="230">
        <v>1171</v>
      </c>
      <c r="BZ167" s="230">
        <v>1178</v>
      </c>
      <c r="CA167" s="228">
        <v>-7</v>
      </c>
      <c r="CB167" s="229">
        <v>-6.0000000000000001E-3</v>
      </c>
      <c r="CC167" s="230">
        <v>1151</v>
      </c>
      <c r="CD167" s="230">
        <v>1159</v>
      </c>
      <c r="CE167" s="228">
        <v>-8</v>
      </c>
      <c r="CF167" s="229">
        <v>-6.6E-3</v>
      </c>
      <c r="CG167" s="228">
        <v>19</v>
      </c>
      <c r="CH167" s="228">
        <v>19</v>
      </c>
      <c r="CI167" s="228">
        <v>1</v>
      </c>
      <c r="CJ167" s="229">
        <v>2.9899999999999999E-2</v>
      </c>
      <c r="CK167" s="228">
        <v>1</v>
      </c>
      <c r="CL167" s="228">
        <v>0</v>
      </c>
      <c r="CM167" s="228">
        <v>0</v>
      </c>
      <c r="CN167" s="229">
        <v>0.125</v>
      </c>
      <c r="CO167" s="228">
        <v>107</v>
      </c>
      <c r="CP167" s="228">
        <v>110</v>
      </c>
      <c r="CQ167" s="228">
        <v>-4</v>
      </c>
      <c r="CR167" s="229">
        <v>-3.2199999999999999E-2</v>
      </c>
      <c r="CS167" s="228">
        <v>92</v>
      </c>
      <c r="CT167" s="228">
        <v>86</v>
      </c>
      <c r="CU167" s="228">
        <v>6</v>
      </c>
      <c r="CV167" s="229">
        <v>6.9900000000000004E-2</v>
      </c>
      <c r="CW167" s="230">
        <v>1370</v>
      </c>
      <c r="CX167" s="230">
        <v>1375</v>
      </c>
      <c r="CY167" s="228">
        <v>-5</v>
      </c>
      <c r="CZ167" s="229">
        <v>-3.3E-3</v>
      </c>
      <c r="DA167" s="228">
        <v>56.19</v>
      </c>
      <c r="DB167" s="228">
        <v>43.36</v>
      </c>
      <c r="DC167" s="228">
        <v>12.83</v>
      </c>
      <c r="DD167" s="228">
        <v>12.83</v>
      </c>
      <c r="DE167" s="228">
        <v>47.29</v>
      </c>
      <c r="DF167" s="228">
        <v>47.38</v>
      </c>
      <c r="DG167" s="228">
        <v>8.9</v>
      </c>
      <c r="DH167" s="228">
        <v>-0.09</v>
      </c>
      <c r="DI167" s="228">
        <v>43.32</v>
      </c>
      <c r="DJ167" s="228">
        <v>41.6</v>
      </c>
      <c r="DK167" s="228">
        <v>1.72</v>
      </c>
      <c r="DL167" s="228">
        <v>1.72</v>
      </c>
      <c r="DM167" s="228">
        <v>59.76</v>
      </c>
      <c r="DN167" s="228">
        <v>47.56</v>
      </c>
      <c r="DO167" s="228">
        <v>12.2</v>
      </c>
      <c r="DP167" s="228">
        <v>12.2</v>
      </c>
      <c r="DQ167" s="228">
        <v>0.87</v>
      </c>
      <c r="DR167" s="228">
        <v>0.78</v>
      </c>
      <c r="DS167" s="228">
        <v>0.09</v>
      </c>
      <c r="DT167" s="229">
        <v>0.1154</v>
      </c>
      <c r="DU167" s="228">
        <v>900</v>
      </c>
      <c r="DV167" s="228">
        <v>700</v>
      </c>
      <c r="DW167" s="228">
        <v>3.6</v>
      </c>
      <c r="DX167" s="228">
        <v>0.42</v>
      </c>
      <c r="DY167" s="228">
        <v>3.18</v>
      </c>
      <c r="DZ167" s="229">
        <v>7.5713999999999997</v>
      </c>
      <c r="EA167" s="229">
        <v>1.7000000000000001E-2</v>
      </c>
      <c r="EB167" s="230">
        <v>222950</v>
      </c>
      <c r="EC167" s="229">
        <v>4.5999999999999999E-3</v>
      </c>
      <c r="ED167" s="229">
        <v>1.7000000000000001E-2</v>
      </c>
      <c r="EE167" s="228">
        <v>2.54</v>
      </c>
      <c r="EF167" s="229">
        <v>2.8999999999999998E-3</v>
      </c>
      <c r="EG167" s="230">
        <v>309143</v>
      </c>
      <c r="EH167" s="230">
        <v>436249</v>
      </c>
      <c r="EI167" s="229">
        <v>-0.29139999999999999</v>
      </c>
      <c r="EJ167" s="229">
        <v>0.42609999999999998</v>
      </c>
      <c r="EK167" s="228">
        <v>65.08</v>
      </c>
      <c r="EL167" s="228">
        <v>180.36</v>
      </c>
      <c r="EM167" s="228">
        <v>109.67</v>
      </c>
      <c r="EN167" s="228">
        <v>25.54</v>
      </c>
      <c r="EO167" s="228">
        <v>355.11</v>
      </c>
      <c r="EP167" s="228">
        <v>653.97</v>
      </c>
      <c r="EQ167" s="228">
        <v>-298.86</v>
      </c>
      <c r="ER167" s="229">
        <v>-0.45700000000000002</v>
      </c>
      <c r="ES167" s="228">
        <v>106.67</v>
      </c>
      <c r="ET167" s="228">
        <v>82.38</v>
      </c>
      <c r="EU167" s="231">
        <v>1171.22</v>
      </c>
      <c r="EV167" s="231">
        <v>28118603</v>
      </c>
      <c r="EW167" s="231">
        <v>1360.26</v>
      </c>
      <c r="EX167" s="231">
        <v>1378.64</v>
      </c>
      <c r="EY167" s="228">
        <v>-18.38</v>
      </c>
      <c r="EZ167" s="229">
        <v>-1.3299999999999999E-2</v>
      </c>
      <c r="FA167" s="229">
        <v>0.56169999999999998</v>
      </c>
      <c r="FB167" s="227" t="s">
        <v>567</v>
      </c>
      <c r="FC167">
        <f t="shared" si="3"/>
        <v>0</v>
      </c>
    </row>
    <row r="168" spans="1:159" ht="17.25" thickBot="1" x14ac:dyDescent="0.3">
      <c r="A168" s="226">
        <v>46121</v>
      </c>
      <c r="B168" s="227" t="s">
        <v>614</v>
      </c>
      <c r="C168" s="227" t="s">
        <v>572</v>
      </c>
      <c r="D168" s="228">
        <v>350</v>
      </c>
      <c r="E168" s="228">
        <v>19</v>
      </c>
      <c r="F168" s="231">
        <v>1500</v>
      </c>
      <c r="G168" s="231">
        <v>1505.6</v>
      </c>
      <c r="H168" s="228">
        <v>-5.6</v>
      </c>
      <c r="I168" s="229">
        <v>-3.7000000000000002E-3</v>
      </c>
      <c r="J168" s="231">
        <v>1493.3</v>
      </c>
      <c r="K168" s="231">
        <v>1498.5</v>
      </c>
      <c r="L168" s="228">
        <v>-5.2</v>
      </c>
      <c r="M168" s="229">
        <v>-3.5000000000000001E-3</v>
      </c>
      <c r="N168" s="231">
        <v>1500</v>
      </c>
      <c r="O168" s="231">
        <v>1505.6</v>
      </c>
      <c r="P168" s="228">
        <v>-5.6</v>
      </c>
      <c r="Q168" s="229">
        <v>-3.7000000000000002E-3</v>
      </c>
      <c r="R168" s="231">
        <v>1507.5</v>
      </c>
      <c r="S168" s="231">
        <v>1514.7</v>
      </c>
      <c r="T168" s="228">
        <v>-7.2</v>
      </c>
      <c r="U168" s="229">
        <v>-4.7999999999999996E-3</v>
      </c>
      <c r="V168" s="231">
        <v>1509</v>
      </c>
      <c r="W168" s="231">
        <v>1515</v>
      </c>
      <c r="X168" s="228">
        <v>-6</v>
      </c>
      <c r="Y168" s="229">
        <v>-4.0000000000000001E-3</v>
      </c>
      <c r="Z168" s="228">
        <v>6.7</v>
      </c>
      <c r="AA168" s="228">
        <v>7.1</v>
      </c>
      <c r="AB168" s="228">
        <v>-0.4</v>
      </c>
      <c r="AC168" s="229">
        <v>4.4999999999999997E-3</v>
      </c>
      <c r="AD168" s="228">
        <v>6.7</v>
      </c>
      <c r="AE168" s="228">
        <v>7.1</v>
      </c>
      <c r="AF168" s="228">
        <v>-0.4</v>
      </c>
      <c r="AG168" s="229">
        <v>4.4999999999999997E-3</v>
      </c>
      <c r="AH168" s="228">
        <v>14.2</v>
      </c>
      <c r="AI168" s="228">
        <v>16.2</v>
      </c>
      <c r="AJ168" s="228">
        <v>-2</v>
      </c>
      <c r="AK168" s="229">
        <v>9.4999999999999998E-3</v>
      </c>
      <c r="AL168" s="228">
        <v>15.7</v>
      </c>
      <c r="AM168" s="228">
        <v>16.5</v>
      </c>
      <c r="AN168" s="228">
        <v>-0.8</v>
      </c>
      <c r="AO168" s="229">
        <v>1.0500000000000001E-2</v>
      </c>
      <c r="AP168" s="231">
        <v>1498.49</v>
      </c>
      <c r="AQ168" s="231">
        <v>1509.21</v>
      </c>
      <c r="AR168" s="228">
        <v>0</v>
      </c>
      <c r="AS168" s="228">
        <v>119</v>
      </c>
      <c r="AT168" s="228">
        <v>125</v>
      </c>
      <c r="AU168" s="228">
        <v>-5</v>
      </c>
      <c r="AV168" s="229">
        <v>-4.3799999999999999E-2</v>
      </c>
      <c r="AW168" s="228">
        <v>116</v>
      </c>
      <c r="AX168" s="228">
        <v>120</v>
      </c>
      <c r="AY168" s="228">
        <v>-4</v>
      </c>
      <c r="AZ168" s="229">
        <v>-3.3700000000000001E-2</v>
      </c>
      <c r="BA168" s="228">
        <v>3</v>
      </c>
      <c r="BB168" s="228">
        <v>4</v>
      </c>
      <c r="BC168" s="228">
        <v>-2</v>
      </c>
      <c r="BD168" s="229">
        <v>-0.34939999999999999</v>
      </c>
      <c r="BE168" s="228">
        <v>0</v>
      </c>
      <c r="BF168" s="228">
        <v>0</v>
      </c>
      <c r="BG168" s="228">
        <v>0</v>
      </c>
      <c r="BH168" s="229">
        <v>0.66669999999999996</v>
      </c>
      <c r="BI168" s="228">
        <v>134</v>
      </c>
      <c r="BJ168" s="228">
        <v>145</v>
      </c>
      <c r="BK168" s="228">
        <v>-11</v>
      </c>
      <c r="BL168" s="229">
        <v>-7.7600000000000002E-2</v>
      </c>
      <c r="BM168" s="228">
        <v>57</v>
      </c>
      <c r="BN168" s="228">
        <v>72</v>
      </c>
      <c r="BO168" s="228">
        <v>-15</v>
      </c>
      <c r="BP168" s="229">
        <v>-0.2039</v>
      </c>
      <c r="BQ168" s="228">
        <v>310</v>
      </c>
      <c r="BR168" s="228">
        <v>342</v>
      </c>
      <c r="BS168" s="228">
        <v>-31</v>
      </c>
      <c r="BT168" s="229">
        <v>-9.1899999999999996E-2</v>
      </c>
      <c r="BU168" s="230">
        <v>919167</v>
      </c>
      <c r="BV168" s="230">
        <v>1285749</v>
      </c>
      <c r="BW168" s="230">
        <v>-366582</v>
      </c>
      <c r="BX168" s="229">
        <v>-0.28510000000000002</v>
      </c>
      <c r="BY168" s="230">
        <v>1180</v>
      </c>
      <c r="BZ168" s="230">
        <v>1155</v>
      </c>
      <c r="CA168" s="228">
        <v>26</v>
      </c>
      <c r="CB168" s="229">
        <v>2.2200000000000001E-2</v>
      </c>
      <c r="CC168" s="230">
        <v>1172</v>
      </c>
      <c r="CD168" s="230">
        <v>1147</v>
      </c>
      <c r="CE168" s="228">
        <v>25</v>
      </c>
      <c r="CF168" s="229">
        <v>2.1999999999999999E-2</v>
      </c>
      <c r="CG168" s="228">
        <v>7</v>
      </c>
      <c r="CH168" s="228">
        <v>7</v>
      </c>
      <c r="CI168" s="228">
        <v>0</v>
      </c>
      <c r="CJ168" s="229">
        <v>5.3800000000000001E-2</v>
      </c>
      <c r="CK168" s="228">
        <v>1</v>
      </c>
      <c r="CL168" s="228">
        <v>1</v>
      </c>
      <c r="CM168" s="228">
        <v>0</v>
      </c>
      <c r="CN168" s="229">
        <v>0.16669999999999999</v>
      </c>
      <c r="CO168" s="228">
        <v>151</v>
      </c>
      <c r="CP168" s="228">
        <v>146</v>
      </c>
      <c r="CQ168" s="228">
        <v>5</v>
      </c>
      <c r="CR168" s="229">
        <v>3.3799999999999997E-2</v>
      </c>
      <c r="CS168" s="228">
        <v>137</v>
      </c>
      <c r="CT168" s="228">
        <v>131</v>
      </c>
      <c r="CU168" s="228">
        <v>5</v>
      </c>
      <c r="CV168" s="229">
        <v>4.07E-2</v>
      </c>
      <c r="CW168" s="230">
        <v>1468</v>
      </c>
      <c r="CX168" s="230">
        <v>1432</v>
      </c>
      <c r="CY168" s="228">
        <v>36</v>
      </c>
      <c r="CZ168" s="229">
        <v>2.5100000000000001E-2</v>
      </c>
      <c r="DA168" s="228">
        <v>39.94</v>
      </c>
      <c r="DB168" s="228">
        <v>40.03</v>
      </c>
      <c r="DC168" s="228">
        <v>-0.09</v>
      </c>
      <c r="DD168" s="228">
        <v>-0.09</v>
      </c>
      <c r="DE168" s="228">
        <v>45.44</v>
      </c>
      <c r="DF168" s="228">
        <v>45.55</v>
      </c>
      <c r="DG168" s="228">
        <v>-5.5</v>
      </c>
      <c r="DH168" s="228">
        <v>-0.11</v>
      </c>
      <c r="DI168" s="228">
        <v>39.020000000000003</v>
      </c>
      <c r="DJ168" s="228">
        <v>39.06</v>
      </c>
      <c r="DK168" s="228">
        <v>-0.04</v>
      </c>
      <c r="DL168" s="228">
        <v>-0.04</v>
      </c>
      <c r="DM168" s="228">
        <v>42.11</v>
      </c>
      <c r="DN168" s="228">
        <v>41.98</v>
      </c>
      <c r="DO168" s="228">
        <v>0.13</v>
      </c>
      <c r="DP168" s="228">
        <v>0.13</v>
      </c>
      <c r="DQ168" s="228">
        <v>0.91</v>
      </c>
      <c r="DR168" s="228">
        <v>0.9</v>
      </c>
      <c r="DS168" s="228">
        <v>0.01</v>
      </c>
      <c r="DT168" s="229">
        <v>1.11E-2</v>
      </c>
      <c r="DU168" s="231">
        <v>1500</v>
      </c>
      <c r="DV168" s="231">
        <v>1500</v>
      </c>
      <c r="DW168" s="228">
        <v>0.43</v>
      </c>
      <c r="DX168" s="228">
        <v>0.49</v>
      </c>
      <c r="DY168" s="228">
        <v>-0.06</v>
      </c>
      <c r="DZ168" s="229">
        <v>-0.12239999999999999</v>
      </c>
      <c r="EA168" s="229">
        <v>6.7000000000000002E-3</v>
      </c>
      <c r="EB168" s="230">
        <v>49700</v>
      </c>
      <c r="EC168" s="229">
        <v>5.0000000000000001E-3</v>
      </c>
      <c r="ED168" s="229">
        <v>6.7000000000000002E-3</v>
      </c>
      <c r="EE168" s="228">
        <v>10.72</v>
      </c>
      <c r="EF168" s="229">
        <v>7.1999999999999998E-3</v>
      </c>
      <c r="EG168" s="230">
        <v>390181</v>
      </c>
      <c r="EH168" s="230">
        <v>723343</v>
      </c>
      <c r="EI168" s="229">
        <v>-0.46060000000000001</v>
      </c>
      <c r="EJ168" s="229">
        <v>0.42449999999999999</v>
      </c>
      <c r="EK168" s="228">
        <v>143.43</v>
      </c>
      <c r="EL168" s="228">
        <v>56.59</v>
      </c>
      <c r="EM168" s="228">
        <v>118.97</v>
      </c>
      <c r="EN168" s="228">
        <v>22.06</v>
      </c>
      <c r="EO168" s="228">
        <v>319</v>
      </c>
      <c r="EP168" s="228">
        <v>351.29</v>
      </c>
      <c r="EQ168" s="228">
        <v>-32.29</v>
      </c>
      <c r="ER168" s="229">
        <v>-9.1899999999999996E-2</v>
      </c>
      <c r="ES168" s="228">
        <v>155.01</v>
      </c>
      <c r="ET168" s="228">
        <v>132.18</v>
      </c>
      <c r="EU168" s="231">
        <v>1180.24</v>
      </c>
      <c r="EV168" s="231">
        <v>69300607</v>
      </c>
      <c r="EW168" s="231">
        <v>1467.43</v>
      </c>
      <c r="EX168" s="231">
        <v>1435.09</v>
      </c>
      <c r="EY168" s="228">
        <v>32.340000000000003</v>
      </c>
      <c r="EZ168" s="229">
        <v>2.2499999999999999E-2</v>
      </c>
      <c r="FA168" s="229">
        <v>0.14119999999999999</v>
      </c>
      <c r="FB168" s="227" t="s">
        <v>566</v>
      </c>
      <c r="FC168">
        <f t="shared" si="3"/>
        <v>0</v>
      </c>
    </row>
    <row r="169" spans="1:159" ht="17.25" thickBot="1" x14ac:dyDescent="0.3">
      <c r="A169" s="226">
        <v>46121</v>
      </c>
      <c r="B169" s="227" t="s">
        <v>184</v>
      </c>
      <c r="C169" s="227" t="s">
        <v>519</v>
      </c>
      <c r="D169" s="228">
        <v>125</v>
      </c>
      <c r="E169" s="228">
        <v>19</v>
      </c>
      <c r="F169" s="231">
        <v>7595</v>
      </c>
      <c r="G169" s="231">
        <v>7617.5</v>
      </c>
      <c r="H169" s="228">
        <v>-22.5</v>
      </c>
      <c r="I169" s="229">
        <v>-3.0000000000000001E-3</v>
      </c>
      <c r="J169" s="231">
        <v>7607</v>
      </c>
      <c r="K169" s="231">
        <v>7600.5</v>
      </c>
      <c r="L169" s="228">
        <v>6.5</v>
      </c>
      <c r="M169" s="229">
        <v>8.9999999999999998E-4</v>
      </c>
      <c r="N169" s="231">
        <v>7595</v>
      </c>
      <c r="O169" s="231">
        <v>7617.5</v>
      </c>
      <c r="P169" s="228">
        <v>-22.5</v>
      </c>
      <c r="Q169" s="229">
        <v>-3.0000000000000001E-3</v>
      </c>
      <c r="R169" s="231">
        <v>7572</v>
      </c>
      <c r="S169" s="231">
        <v>7601.5</v>
      </c>
      <c r="T169" s="228">
        <v>-29.5</v>
      </c>
      <c r="U169" s="229">
        <v>-3.8999999999999998E-3</v>
      </c>
      <c r="V169" s="231">
        <v>7540</v>
      </c>
      <c r="W169" s="231">
        <v>7555</v>
      </c>
      <c r="X169" s="228">
        <v>-15</v>
      </c>
      <c r="Y169" s="229">
        <v>-2E-3</v>
      </c>
      <c r="Z169" s="228">
        <v>-12</v>
      </c>
      <c r="AA169" s="228">
        <v>17</v>
      </c>
      <c r="AB169" s="228">
        <v>-29</v>
      </c>
      <c r="AC169" s="229">
        <v>-1.6000000000000001E-3</v>
      </c>
      <c r="AD169" s="228">
        <v>-12</v>
      </c>
      <c r="AE169" s="228">
        <v>17</v>
      </c>
      <c r="AF169" s="228">
        <v>-29</v>
      </c>
      <c r="AG169" s="229">
        <v>-1.6000000000000001E-3</v>
      </c>
      <c r="AH169" s="228">
        <v>-35</v>
      </c>
      <c r="AI169" s="228">
        <v>1</v>
      </c>
      <c r="AJ169" s="228">
        <v>-36</v>
      </c>
      <c r="AK169" s="229">
        <v>-4.5999999999999999E-3</v>
      </c>
      <c r="AL169" s="228">
        <v>-67</v>
      </c>
      <c r="AM169" s="228">
        <v>-45.5</v>
      </c>
      <c r="AN169" s="228">
        <v>-21.5</v>
      </c>
      <c r="AO169" s="229">
        <v>-8.8000000000000005E-3</v>
      </c>
      <c r="AP169" s="231">
        <v>7583.42</v>
      </c>
      <c r="AQ169" s="231">
        <v>7564.44</v>
      </c>
      <c r="AR169" s="228">
        <v>0</v>
      </c>
      <c r="AS169" s="228">
        <v>232</v>
      </c>
      <c r="AT169" s="228">
        <v>553</v>
      </c>
      <c r="AU169" s="228">
        <v>-321</v>
      </c>
      <c r="AV169" s="229">
        <v>-0.58099999999999996</v>
      </c>
      <c r="AW169" s="228">
        <v>216</v>
      </c>
      <c r="AX169" s="228">
        <v>530</v>
      </c>
      <c r="AY169" s="228">
        <v>-314</v>
      </c>
      <c r="AZ169" s="229">
        <v>-0.59189999999999998</v>
      </c>
      <c r="BA169" s="228">
        <v>15</v>
      </c>
      <c r="BB169" s="228">
        <v>23</v>
      </c>
      <c r="BC169" s="228">
        <v>-8</v>
      </c>
      <c r="BD169" s="229">
        <v>-0.34870000000000001</v>
      </c>
      <c r="BE169" s="228">
        <v>1</v>
      </c>
      <c r="BF169" s="228">
        <v>1</v>
      </c>
      <c r="BG169" s="228">
        <v>0</v>
      </c>
      <c r="BH169" s="229">
        <v>0</v>
      </c>
      <c r="BI169" s="228">
        <v>634</v>
      </c>
      <c r="BJ169" s="230">
        <v>1252</v>
      </c>
      <c r="BK169" s="228">
        <v>-618</v>
      </c>
      <c r="BL169" s="229">
        <v>-0.49370000000000003</v>
      </c>
      <c r="BM169" s="228">
        <v>543</v>
      </c>
      <c r="BN169" s="230">
        <v>1101</v>
      </c>
      <c r="BO169" s="228">
        <v>-559</v>
      </c>
      <c r="BP169" s="229">
        <v>-0.50719999999999998</v>
      </c>
      <c r="BQ169" s="230">
        <v>1408</v>
      </c>
      <c r="BR169" s="230">
        <v>2906</v>
      </c>
      <c r="BS169" s="230">
        <v>-1498</v>
      </c>
      <c r="BT169" s="229">
        <v>-0.51549999999999996</v>
      </c>
      <c r="BU169" s="230">
        <v>440542</v>
      </c>
      <c r="BV169" s="230">
        <v>758014</v>
      </c>
      <c r="BW169" s="230">
        <v>-317472</v>
      </c>
      <c r="BX169" s="229">
        <v>-0.41880000000000001</v>
      </c>
      <c r="BY169" s="230">
        <v>1539</v>
      </c>
      <c r="BZ169" s="230">
        <v>1553</v>
      </c>
      <c r="CA169" s="228">
        <v>-14</v>
      </c>
      <c r="CB169" s="229">
        <v>-8.8999999999999999E-3</v>
      </c>
      <c r="CC169" s="230">
        <v>1502</v>
      </c>
      <c r="CD169" s="230">
        <v>1518</v>
      </c>
      <c r="CE169" s="228">
        <v>-17</v>
      </c>
      <c r="CF169" s="229">
        <v>-1.11E-2</v>
      </c>
      <c r="CG169" s="228">
        <v>35</v>
      </c>
      <c r="CH169" s="228">
        <v>33</v>
      </c>
      <c r="CI169" s="228">
        <v>2</v>
      </c>
      <c r="CJ169" s="229">
        <v>7.2900000000000006E-2</v>
      </c>
      <c r="CK169" s="228">
        <v>3</v>
      </c>
      <c r="CL169" s="228">
        <v>2</v>
      </c>
      <c r="CM169" s="228">
        <v>1</v>
      </c>
      <c r="CN169" s="229">
        <v>0.35</v>
      </c>
      <c r="CO169" s="228">
        <v>626</v>
      </c>
      <c r="CP169" s="228">
        <v>570</v>
      </c>
      <c r="CQ169" s="228">
        <v>56</v>
      </c>
      <c r="CR169" s="229">
        <v>9.7600000000000006E-2</v>
      </c>
      <c r="CS169" s="228">
        <v>604</v>
      </c>
      <c r="CT169" s="228">
        <v>562</v>
      </c>
      <c r="CU169" s="228">
        <v>42</v>
      </c>
      <c r="CV169" s="229">
        <v>7.4499999999999997E-2</v>
      </c>
      <c r="CW169" s="230">
        <v>2769</v>
      </c>
      <c r="CX169" s="230">
        <v>2685</v>
      </c>
      <c r="CY169" s="228">
        <v>84</v>
      </c>
      <c r="CZ169" s="229">
        <v>3.1099999999999999E-2</v>
      </c>
      <c r="DA169" s="228">
        <v>35.770000000000003</v>
      </c>
      <c r="DB169" s="228">
        <v>35.94</v>
      </c>
      <c r="DC169" s="228">
        <v>-0.17</v>
      </c>
      <c r="DD169" s="228">
        <v>-0.17</v>
      </c>
      <c r="DE169" s="228">
        <v>41.53</v>
      </c>
      <c r="DF169" s="228">
        <v>41.63</v>
      </c>
      <c r="DG169" s="228">
        <v>-5.76</v>
      </c>
      <c r="DH169" s="228">
        <v>-0.1</v>
      </c>
      <c r="DI169" s="228">
        <v>32.799999999999997</v>
      </c>
      <c r="DJ169" s="228">
        <v>32.450000000000003</v>
      </c>
      <c r="DK169" s="228">
        <v>0.35</v>
      </c>
      <c r="DL169" s="228">
        <v>0.35</v>
      </c>
      <c r="DM169" s="228">
        <v>39.24</v>
      </c>
      <c r="DN169" s="228">
        <v>39.909999999999997</v>
      </c>
      <c r="DO169" s="228">
        <v>-0.67</v>
      </c>
      <c r="DP169" s="228">
        <v>-0.67</v>
      </c>
      <c r="DQ169" s="228">
        <v>0.97</v>
      </c>
      <c r="DR169" s="228">
        <v>0.99</v>
      </c>
      <c r="DS169" s="228">
        <v>-0.02</v>
      </c>
      <c r="DT169" s="229">
        <v>-2.0199999999999999E-2</v>
      </c>
      <c r="DU169" s="231">
        <v>8000</v>
      </c>
      <c r="DV169" s="231">
        <v>7000</v>
      </c>
      <c r="DW169" s="228">
        <v>0.86</v>
      </c>
      <c r="DX169" s="228">
        <v>0.88</v>
      </c>
      <c r="DY169" s="228">
        <v>-0.02</v>
      </c>
      <c r="DZ169" s="229">
        <v>-2.2700000000000001E-2</v>
      </c>
      <c r="EA169" s="229">
        <v>2.4400000000000002E-2</v>
      </c>
      <c r="EB169" s="230">
        <v>45375</v>
      </c>
      <c r="EC169" s="229">
        <v>-3.0000000000000001E-3</v>
      </c>
      <c r="ED169" s="229">
        <v>2.4400000000000002E-2</v>
      </c>
      <c r="EE169" s="228">
        <v>-18.98</v>
      </c>
      <c r="EF169" s="229">
        <v>-2.5000000000000001E-3</v>
      </c>
      <c r="EG169" s="230">
        <v>213761</v>
      </c>
      <c r="EH169" s="230">
        <v>422828</v>
      </c>
      <c r="EI169" s="229">
        <v>-0.49440000000000001</v>
      </c>
      <c r="EJ169" s="229">
        <v>0.48520000000000002</v>
      </c>
      <c r="EK169" s="228">
        <v>668.01</v>
      </c>
      <c r="EL169" s="228">
        <v>516.29999999999995</v>
      </c>
      <c r="EM169" s="228">
        <v>231.44</v>
      </c>
      <c r="EN169" s="228">
        <v>46.29</v>
      </c>
      <c r="EO169" s="231">
        <v>1415.75</v>
      </c>
      <c r="EP169" s="231">
        <v>2901.28</v>
      </c>
      <c r="EQ169" s="231">
        <v>-1485.53</v>
      </c>
      <c r="ER169" s="229">
        <v>-0.51200000000000001</v>
      </c>
      <c r="ES169" s="228">
        <v>637.79999999999995</v>
      </c>
      <c r="ET169" s="228">
        <v>561.9</v>
      </c>
      <c r="EU169" s="231">
        <v>1538.91</v>
      </c>
      <c r="EV169" s="231">
        <v>8693344</v>
      </c>
      <c r="EW169" s="231">
        <v>2738.6</v>
      </c>
      <c r="EX169" s="231">
        <v>2659.33</v>
      </c>
      <c r="EY169" s="228">
        <v>79.27</v>
      </c>
      <c r="EZ169" s="229">
        <v>2.98E-2</v>
      </c>
      <c r="FA169" s="229">
        <v>0.4194</v>
      </c>
      <c r="FB169" s="227" t="s">
        <v>567</v>
      </c>
      <c r="FC169">
        <f t="shared" si="3"/>
        <v>0</v>
      </c>
    </row>
    <row r="170" spans="1:159" ht="17.25" thickBot="1" x14ac:dyDescent="0.3">
      <c r="A170" s="226">
        <v>46121</v>
      </c>
      <c r="B170" s="227" t="s">
        <v>161</v>
      </c>
      <c r="C170" s="227" t="s">
        <v>276</v>
      </c>
      <c r="D170" s="228">
        <v>1900</v>
      </c>
      <c r="E170" s="228">
        <v>19</v>
      </c>
      <c r="F170" s="228">
        <v>299.45</v>
      </c>
      <c r="G170" s="228">
        <v>295.8</v>
      </c>
      <c r="H170" s="228">
        <v>3.65</v>
      </c>
      <c r="I170" s="229">
        <v>1.23E-2</v>
      </c>
      <c r="J170" s="228">
        <v>298.10000000000002</v>
      </c>
      <c r="K170" s="228">
        <v>294.85000000000002</v>
      </c>
      <c r="L170" s="228">
        <v>3.25</v>
      </c>
      <c r="M170" s="229">
        <v>1.0999999999999999E-2</v>
      </c>
      <c r="N170" s="228">
        <v>299.45</v>
      </c>
      <c r="O170" s="228">
        <v>295.8</v>
      </c>
      <c r="P170" s="228">
        <v>3.65</v>
      </c>
      <c r="Q170" s="229">
        <v>1.23E-2</v>
      </c>
      <c r="R170" s="228">
        <v>301.10000000000002</v>
      </c>
      <c r="S170" s="228">
        <v>297.75</v>
      </c>
      <c r="T170" s="228">
        <v>3.35</v>
      </c>
      <c r="U170" s="229">
        <v>1.1299999999999999E-2</v>
      </c>
      <c r="V170" s="228">
        <v>302.89999999999998</v>
      </c>
      <c r="W170" s="228">
        <v>299.7</v>
      </c>
      <c r="X170" s="228">
        <v>3.2</v>
      </c>
      <c r="Y170" s="229">
        <v>1.0699999999999999E-2</v>
      </c>
      <c r="Z170" s="228">
        <v>1.35</v>
      </c>
      <c r="AA170" s="228">
        <v>0.95</v>
      </c>
      <c r="AB170" s="228">
        <v>0.4</v>
      </c>
      <c r="AC170" s="229">
        <v>4.4999999999999997E-3</v>
      </c>
      <c r="AD170" s="228">
        <v>1.35</v>
      </c>
      <c r="AE170" s="228">
        <v>0.95</v>
      </c>
      <c r="AF170" s="228">
        <v>0.4</v>
      </c>
      <c r="AG170" s="229">
        <v>4.4999999999999997E-3</v>
      </c>
      <c r="AH170" s="228">
        <v>3</v>
      </c>
      <c r="AI170" s="228">
        <v>2.9</v>
      </c>
      <c r="AJ170" s="228">
        <v>0.1</v>
      </c>
      <c r="AK170" s="229">
        <v>1.01E-2</v>
      </c>
      <c r="AL170" s="228">
        <v>4.8</v>
      </c>
      <c r="AM170" s="228">
        <v>4.8499999999999996</v>
      </c>
      <c r="AN170" s="228">
        <v>-0.05</v>
      </c>
      <c r="AO170" s="229">
        <v>1.61E-2</v>
      </c>
      <c r="AP170" s="228">
        <v>299.3</v>
      </c>
      <c r="AQ170" s="228">
        <v>301.08999999999997</v>
      </c>
      <c r="AR170" s="228">
        <v>0</v>
      </c>
      <c r="AS170" s="228">
        <v>259</v>
      </c>
      <c r="AT170" s="228">
        <v>333</v>
      </c>
      <c r="AU170" s="228">
        <v>-74</v>
      </c>
      <c r="AV170" s="229">
        <v>-0.22109999999999999</v>
      </c>
      <c r="AW170" s="228">
        <v>226</v>
      </c>
      <c r="AX170" s="228">
        <v>309</v>
      </c>
      <c r="AY170" s="228">
        <v>-83</v>
      </c>
      <c r="AZ170" s="229">
        <v>-0.2697</v>
      </c>
      <c r="BA170" s="228">
        <v>30</v>
      </c>
      <c r="BB170" s="228">
        <v>22</v>
      </c>
      <c r="BC170" s="228">
        <v>9</v>
      </c>
      <c r="BD170" s="229">
        <v>0.40050000000000002</v>
      </c>
      <c r="BE170" s="228">
        <v>3</v>
      </c>
      <c r="BF170" s="228">
        <v>2</v>
      </c>
      <c r="BG170" s="228">
        <v>1</v>
      </c>
      <c r="BH170" s="229">
        <v>0.40479999999999999</v>
      </c>
      <c r="BI170" s="230">
        <v>1327</v>
      </c>
      <c r="BJ170" s="228">
        <v>928</v>
      </c>
      <c r="BK170" s="228">
        <v>399</v>
      </c>
      <c r="BL170" s="229">
        <v>0.43030000000000002</v>
      </c>
      <c r="BM170" s="228">
        <v>351</v>
      </c>
      <c r="BN170" s="228">
        <v>354</v>
      </c>
      <c r="BO170" s="228">
        <v>-3</v>
      </c>
      <c r="BP170" s="229">
        <v>-9.1999999999999998E-3</v>
      </c>
      <c r="BQ170" s="230">
        <v>1937</v>
      </c>
      <c r="BR170" s="230">
        <v>1615</v>
      </c>
      <c r="BS170" s="228">
        <v>322</v>
      </c>
      <c r="BT170" s="229">
        <v>0.19950000000000001</v>
      </c>
      <c r="BU170" s="230">
        <v>18598978</v>
      </c>
      <c r="BV170" s="230">
        <v>11269840</v>
      </c>
      <c r="BW170" s="230">
        <v>7329138</v>
      </c>
      <c r="BX170" s="229">
        <v>0.65029999999999999</v>
      </c>
      <c r="BY170" s="230">
        <v>2375</v>
      </c>
      <c r="BZ170" s="230">
        <v>2364</v>
      </c>
      <c r="CA170" s="228">
        <v>11</v>
      </c>
      <c r="CB170" s="229">
        <v>4.5999999999999999E-3</v>
      </c>
      <c r="CC170" s="230">
        <v>2230</v>
      </c>
      <c r="CD170" s="230">
        <v>2235</v>
      </c>
      <c r="CE170" s="228">
        <v>-4</v>
      </c>
      <c r="CF170" s="229">
        <v>-2E-3</v>
      </c>
      <c r="CG170" s="228">
        <v>127</v>
      </c>
      <c r="CH170" s="228">
        <v>111</v>
      </c>
      <c r="CI170" s="228">
        <v>15</v>
      </c>
      <c r="CJ170" s="229">
        <v>0.13930000000000001</v>
      </c>
      <c r="CK170" s="228">
        <v>18</v>
      </c>
      <c r="CL170" s="228">
        <v>18</v>
      </c>
      <c r="CM170" s="228">
        <v>0</v>
      </c>
      <c r="CN170" s="229">
        <v>-9.1999999999999998E-3</v>
      </c>
      <c r="CO170" s="228">
        <v>893</v>
      </c>
      <c r="CP170" s="228">
        <v>941</v>
      </c>
      <c r="CQ170" s="228">
        <v>-48</v>
      </c>
      <c r="CR170" s="229">
        <v>-5.0700000000000002E-2</v>
      </c>
      <c r="CS170" s="228">
        <v>452</v>
      </c>
      <c r="CT170" s="228">
        <v>439</v>
      </c>
      <c r="CU170" s="228">
        <v>13</v>
      </c>
      <c r="CV170" s="229">
        <v>2.9600000000000001E-2</v>
      </c>
      <c r="CW170" s="230">
        <v>3721</v>
      </c>
      <c r="CX170" s="230">
        <v>3744</v>
      </c>
      <c r="CY170" s="228">
        <v>-24</v>
      </c>
      <c r="CZ170" s="229">
        <v>-6.4000000000000003E-3</v>
      </c>
      <c r="DA170" s="228">
        <v>26.52</v>
      </c>
      <c r="DB170" s="228">
        <v>26.45</v>
      </c>
      <c r="DC170" s="228">
        <v>7.0000000000000007E-2</v>
      </c>
      <c r="DD170" s="228">
        <v>7.0000000000000007E-2</v>
      </c>
      <c r="DE170" s="228">
        <v>28.69</v>
      </c>
      <c r="DF170" s="228">
        <v>28.73</v>
      </c>
      <c r="DG170" s="228">
        <v>-2.17</v>
      </c>
      <c r="DH170" s="228">
        <v>-0.04</v>
      </c>
      <c r="DI170" s="228">
        <v>26.35</v>
      </c>
      <c r="DJ170" s="228">
        <v>26.24</v>
      </c>
      <c r="DK170" s="228">
        <v>0.11</v>
      </c>
      <c r="DL170" s="228">
        <v>0.11</v>
      </c>
      <c r="DM170" s="228">
        <v>27.15</v>
      </c>
      <c r="DN170" s="228">
        <v>26.99</v>
      </c>
      <c r="DO170" s="228">
        <v>0.16</v>
      </c>
      <c r="DP170" s="228">
        <v>0.16</v>
      </c>
      <c r="DQ170" s="228">
        <v>0.51</v>
      </c>
      <c r="DR170" s="228">
        <v>0.47</v>
      </c>
      <c r="DS170" s="228">
        <v>0.04</v>
      </c>
      <c r="DT170" s="229">
        <v>8.5099999999999995E-2</v>
      </c>
      <c r="DU170" s="228">
        <v>320</v>
      </c>
      <c r="DV170" s="228">
        <v>300</v>
      </c>
      <c r="DW170" s="228">
        <v>0.26</v>
      </c>
      <c r="DX170" s="228">
        <v>0.38</v>
      </c>
      <c r="DY170" s="228">
        <v>-0.12</v>
      </c>
      <c r="DZ170" s="229">
        <v>-0.31580000000000003</v>
      </c>
      <c r="EA170" s="229">
        <v>6.0999999999999999E-2</v>
      </c>
      <c r="EB170" s="230">
        <v>4328200</v>
      </c>
      <c r="EC170" s="229">
        <v>5.4999999999999997E-3</v>
      </c>
      <c r="ED170" s="229">
        <v>6.0999999999999999E-2</v>
      </c>
      <c r="EE170" s="228">
        <v>1.79</v>
      </c>
      <c r="EF170" s="229">
        <v>6.0000000000000001E-3</v>
      </c>
      <c r="EG170" s="230">
        <v>11127765</v>
      </c>
      <c r="EH170" s="230">
        <v>6161419</v>
      </c>
      <c r="EI170" s="229">
        <v>0.80600000000000005</v>
      </c>
      <c r="EJ170" s="229">
        <v>0.59830000000000005</v>
      </c>
      <c r="EK170" s="231">
        <v>1380.88</v>
      </c>
      <c r="EL170" s="228">
        <v>348.1</v>
      </c>
      <c r="EM170" s="228">
        <v>259.42</v>
      </c>
      <c r="EN170" s="228">
        <v>51.29</v>
      </c>
      <c r="EO170" s="231">
        <v>1988.41</v>
      </c>
      <c r="EP170" s="231">
        <v>1641.2</v>
      </c>
      <c r="EQ170" s="228">
        <v>347.2</v>
      </c>
      <c r="ER170" s="229">
        <v>0.21160000000000001</v>
      </c>
      <c r="ES170" s="228">
        <v>925.7</v>
      </c>
      <c r="ET170" s="228">
        <v>432.13</v>
      </c>
      <c r="EU170" s="231">
        <v>2376.3000000000002</v>
      </c>
      <c r="EV170" s="231">
        <v>660840864</v>
      </c>
      <c r="EW170" s="231">
        <v>3734.13</v>
      </c>
      <c r="EX170" s="231">
        <v>3729.32</v>
      </c>
      <c r="EY170" s="228">
        <v>4.8099999999999996</v>
      </c>
      <c r="EZ170" s="229">
        <v>1.2999999999999999E-3</v>
      </c>
      <c r="FA170" s="229">
        <v>0.188</v>
      </c>
      <c r="FB170" s="227" t="s">
        <v>555</v>
      </c>
      <c r="FC170">
        <f t="shared" si="3"/>
        <v>0</v>
      </c>
    </row>
    <row r="171" spans="1:159" ht="17.25" thickBot="1" x14ac:dyDescent="0.3">
      <c r="A171" s="226">
        <v>46121</v>
      </c>
      <c r="B171" s="227" t="s">
        <v>184</v>
      </c>
      <c r="C171" s="227" t="s">
        <v>685</v>
      </c>
      <c r="D171" s="228">
        <v>50</v>
      </c>
      <c r="E171" s="228">
        <v>19</v>
      </c>
      <c r="F171" s="231">
        <v>27435</v>
      </c>
      <c r="G171" s="231">
        <v>26040</v>
      </c>
      <c r="H171" s="231">
        <v>1395</v>
      </c>
      <c r="I171" s="229">
        <v>5.3600000000000002E-2</v>
      </c>
      <c r="J171" s="231">
        <v>27315</v>
      </c>
      <c r="K171" s="231">
        <v>25915</v>
      </c>
      <c r="L171" s="231">
        <v>1400</v>
      </c>
      <c r="M171" s="229">
        <v>5.3999999999999999E-2</v>
      </c>
      <c r="N171" s="231">
        <v>27435</v>
      </c>
      <c r="O171" s="231">
        <v>26040</v>
      </c>
      <c r="P171" s="231">
        <v>1395</v>
      </c>
      <c r="Q171" s="229">
        <v>5.3600000000000002E-2</v>
      </c>
      <c r="R171" s="231">
        <v>27435</v>
      </c>
      <c r="S171" s="231">
        <v>26105</v>
      </c>
      <c r="T171" s="231">
        <v>1330</v>
      </c>
      <c r="U171" s="229">
        <v>5.0900000000000001E-2</v>
      </c>
      <c r="V171" s="231">
        <v>27485</v>
      </c>
      <c r="W171" s="231">
        <v>26140</v>
      </c>
      <c r="X171" s="231">
        <v>1345</v>
      </c>
      <c r="Y171" s="229">
        <v>5.1499999999999997E-2</v>
      </c>
      <c r="Z171" s="228">
        <v>120</v>
      </c>
      <c r="AA171" s="228">
        <v>125</v>
      </c>
      <c r="AB171" s="228">
        <v>-5</v>
      </c>
      <c r="AC171" s="229">
        <v>4.4000000000000003E-3</v>
      </c>
      <c r="AD171" s="228">
        <v>120</v>
      </c>
      <c r="AE171" s="228">
        <v>125</v>
      </c>
      <c r="AF171" s="228">
        <v>-5</v>
      </c>
      <c r="AG171" s="229">
        <v>4.4000000000000003E-3</v>
      </c>
      <c r="AH171" s="228">
        <v>120</v>
      </c>
      <c r="AI171" s="228">
        <v>190</v>
      </c>
      <c r="AJ171" s="228">
        <v>-70</v>
      </c>
      <c r="AK171" s="229">
        <v>4.4000000000000003E-3</v>
      </c>
      <c r="AL171" s="228">
        <v>170</v>
      </c>
      <c r="AM171" s="228">
        <v>225</v>
      </c>
      <c r="AN171" s="228">
        <v>-55</v>
      </c>
      <c r="AO171" s="229">
        <v>6.1999999999999998E-3</v>
      </c>
      <c r="AP171" s="231">
        <v>26881.919999999998</v>
      </c>
      <c r="AQ171" s="231">
        <v>26942.47</v>
      </c>
      <c r="AR171" s="228">
        <v>0</v>
      </c>
      <c r="AS171" s="228">
        <v>599</v>
      </c>
      <c r="AT171" s="228">
        <v>373</v>
      </c>
      <c r="AU171" s="228">
        <v>226</v>
      </c>
      <c r="AV171" s="229">
        <v>0.60440000000000005</v>
      </c>
      <c r="AW171" s="228">
        <v>539</v>
      </c>
      <c r="AX171" s="228">
        <v>334</v>
      </c>
      <c r="AY171" s="228">
        <v>205</v>
      </c>
      <c r="AZ171" s="229">
        <v>0.61350000000000005</v>
      </c>
      <c r="BA171" s="228">
        <v>52</v>
      </c>
      <c r="BB171" s="228">
        <v>31</v>
      </c>
      <c r="BC171" s="228">
        <v>21</v>
      </c>
      <c r="BD171" s="229">
        <v>0.69640000000000002</v>
      </c>
      <c r="BE171" s="228">
        <v>7</v>
      </c>
      <c r="BF171" s="228">
        <v>8</v>
      </c>
      <c r="BG171" s="228">
        <v>-1</v>
      </c>
      <c r="BH171" s="229">
        <v>-0.1186</v>
      </c>
      <c r="BI171" s="230">
        <v>2652</v>
      </c>
      <c r="BJ171" s="228">
        <v>781</v>
      </c>
      <c r="BK171" s="230">
        <v>1871</v>
      </c>
      <c r="BL171" s="229">
        <v>2.3957000000000002</v>
      </c>
      <c r="BM171" s="228">
        <v>989</v>
      </c>
      <c r="BN171" s="228">
        <v>365</v>
      </c>
      <c r="BO171" s="228">
        <v>624</v>
      </c>
      <c r="BP171" s="229">
        <v>1.7089000000000001</v>
      </c>
      <c r="BQ171" s="230">
        <v>4240</v>
      </c>
      <c r="BR171" s="230">
        <v>1519</v>
      </c>
      <c r="BS171" s="230">
        <v>2721</v>
      </c>
      <c r="BT171" s="229">
        <v>1.7907</v>
      </c>
      <c r="BU171" s="230">
        <v>276668</v>
      </c>
      <c r="BV171" s="230">
        <v>159548</v>
      </c>
      <c r="BW171" s="230">
        <v>117120</v>
      </c>
      <c r="BX171" s="229">
        <v>0.73409999999999997</v>
      </c>
      <c r="BY171" s="228">
        <v>993</v>
      </c>
      <c r="BZ171" s="228">
        <v>874</v>
      </c>
      <c r="CA171" s="228">
        <v>119</v>
      </c>
      <c r="CB171" s="229">
        <v>0.1368</v>
      </c>
      <c r="CC171" s="228">
        <v>938</v>
      </c>
      <c r="CD171" s="228">
        <v>830</v>
      </c>
      <c r="CE171" s="228">
        <v>108</v>
      </c>
      <c r="CF171" s="229">
        <v>0.12970000000000001</v>
      </c>
      <c r="CG171" s="228">
        <v>47</v>
      </c>
      <c r="CH171" s="228">
        <v>34</v>
      </c>
      <c r="CI171" s="228">
        <v>13</v>
      </c>
      <c r="CJ171" s="229">
        <v>0.39589999999999997</v>
      </c>
      <c r="CK171" s="228">
        <v>8</v>
      </c>
      <c r="CL171" s="228">
        <v>10</v>
      </c>
      <c r="CM171" s="228">
        <v>-2</v>
      </c>
      <c r="CN171" s="229">
        <v>-0.15709999999999999</v>
      </c>
      <c r="CO171" s="228">
        <v>438</v>
      </c>
      <c r="CP171" s="228">
        <v>321</v>
      </c>
      <c r="CQ171" s="228">
        <v>117</v>
      </c>
      <c r="CR171" s="229">
        <v>0.36320000000000002</v>
      </c>
      <c r="CS171" s="228">
        <v>421</v>
      </c>
      <c r="CT171" s="228">
        <v>273</v>
      </c>
      <c r="CU171" s="228">
        <v>149</v>
      </c>
      <c r="CV171" s="229">
        <v>0.54530000000000001</v>
      </c>
      <c r="CW171" s="230">
        <v>1853</v>
      </c>
      <c r="CX171" s="230">
        <v>1468</v>
      </c>
      <c r="CY171" s="228">
        <v>385</v>
      </c>
      <c r="CZ171" s="229">
        <v>0.26229999999999998</v>
      </c>
      <c r="DA171" s="228">
        <v>44.82</v>
      </c>
      <c r="DB171" s="228">
        <v>42.1</v>
      </c>
      <c r="DC171" s="228">
        <v>2.72</v>
      </c>
      <c r="DD171" s="228">
        <v>2.72</v>
      </c>
      <c r="DE171" s="228">
        <v>57.85</v>
      </c>
      <c r="DF171" s="228">
        <v>57.56</v>
      </c>
      <c r="DG171" s="228">
        <v>-13.03</v>
      </c>
      <c r="DH171" s="228">
        <v>0.28999999999999998</v>
      </c>
      <c r="DI171" s="228">
        <v>43.4</v>
      </c>
      <c r="DJ171" s="228">
        <v>40.9</v>
      </c>
      <c r="DK171" s="228">
        <v>2.5</v>
      </c>
      <c r="DL171" s="228">
        <v>2.5</v>
      </c>
      <c r="DM171" s="228">
        <v>48.63</v>
      </c>
      <c r="DN171" s="228">
        <v>44.68</v>
      </c>
      <c r="DO171" s="228">
        <v>3.95</v>
      </c>
      <c r="DP171" s="228">
        <v>3.95</v>
      </c>
      <c r="DQ171" s="228">
        <v>0.96</v>
      </c>
      <c r="DR171" s="228">
        <v>0.85</v>
      </c>
      <c r="DS171" s="228">
        <v>0.11</v>
      </c>
      <c r="DT171" s="229">
        <v>0.12939999999999999</v>
      </c>
      <c r="DU171" s="231">
        <v>29000</v>
      </c>
      <c r="DV171" s="231">
        <v>27000</v>
      </c>
      <c r="DW171" s="228">
        <v>0.37</v>
      </c>
      <c r="DX171" s="228">
        <v>0.47</v>
      </c>
      <c r="DY171" s="228">
        <v>-0.1</v>
      </c>
      <c r="DZ171" s="229">
        <v>-0.21279999999999999</v>
      </c>
      <c r="EA171" s="229">
        <v>5.5399999999999998E-2</v>
      </c>
      <c r="EB171" s="230">
        <v>15750</v>
      </c>
      <c r="EC171" s="229">
        <v>0</v>
      </c>
      <c r="ED171" s="229">
        <v>5.5399999999999998E-2</v>
      </c>
      <c r="EE171" s="228">
        <v>60.55</v>
      </c>
      <c r="EF171" s="229">
        <v>2.3E-3</v>
      </c>
      <c r="EG171" s="230">
        <v>66395</v>
      </c>
      <c r="EH171" s="230">
        <v>56944</v>
      </c>
      <c r="EI171" s="229">
        <v>0.16600000000000001</v>
      </c>
      <c r="EJ171" s="229">
        <v>0.24</v>
      </c>
      <c r="EK171" s="231">
        <v>2771.7</v>
      </c>
      <c r="EL171" s="228">
        <v>933.63</v>
      </c>
      <c r="EM171" s="228">
        <v>586.66999999999996</v>
      </c>
      <c r="EN171" s="228">
        <v>20.41</v>
      </c>
      <c r="EO171" s="231">
        <v>4292</v>
      </c>
      <c r="EP171" s="231">
        <v>1475.39</v>
      </c>
      <c r="EQ171" s="231">
        <v>2816.6</v>
      </c>
      <c r="ER171" s="229">
        <v>1.9091</v>
      </c>
      <c r="ES171" s="228">
        <v>436.09</v>
      </c>
      <c r="ET171" s="228">
        <v>381.08</v>
      </c>
      <c r="EU171" s="228">
        <v>993.02</v>
      </c>
      <c r="EV171" s="231">
        <v>1917916</v>
      </c>
      <c r="EW171" s="231">
        <v>1810.2</v>
      </c>
      <c r="EX171" s="231">
        <v>1377.28</v>
      </c>
      <c r="EY171" s="228">
        <v>432.92</v>
      </c>
      <c r="EZ171" s="229">
        <v>0.31430000000000002</v>
      </c>
      <c r="FA171" s="229">
        <v>0.35210000000000002</v>
      </c>
      <c r="FB171" s="227" t="s">
        <v>555</v>
      </c>
      <c r="FC171">
        <f t="shared" si="3"/>
        <v>0</v>
      </c>
    </row>
    <row r="172" spans="1:159" ht="17.25" thickBot="1" x14ac:dyDescent="0.3">
      <c r="A172" s="226">
        <v>46121</v>
      </c>
      <c r="B172" s="227" t="s">
        <v>170</v>
      </c>
      <c r="C172" s="227" t="s">
        <v>676</v>
      </c>
      <c r="D172" s="228">
        <v>2625</v>
      </c>
      <c r="E172" s="228">
        <v>19</v>
      </c>
      <c r="F172" s="228">
        <v>142.44999999999999</v>
      </c>
      <c r="G172" s="228">
        <v>143.94999999999999</v>
      </c>
      <c r="H172" s="228">
        <v>-1.5</v>
      </c>
      <c r="I172" s="229">
        <v>-1.04E-2</v>
      </c>
      <c r="J172" s="228">
        <v>142.94999999999999</v>
      </c>
      <c r="K172" s="228">
        <v>143.77000000000001</v>
      </c>
      <c r="L172" s="228">
        <v>-0.82</v>
      </c>
      <c r="M172" s="229">
        <v>-5.7000000000000002E-3</v>
      </c>
      <c r="N172" s="228">
        <v>142.44999999999999</v>
      </c>
      <c r="O172" s="228">
        <v>143.94999999999999</v>
      </c>
      <c r="P172" s="228">
        <v>-1.5</v>
      </c>
      <c r="Q172" s="229">
        <v>-1.04E-2</v>
      </c>
      <c r="R172" s="228">
        <v>0</v>
      </c>
      <c r="S172" s="228">
        <v>0</v>
      </c>
      <c r="T172" s="228">
        <v>0</v>
      </c>
      <c r="U172" s="229">
        <v>0</v>
      </c>
      <c r="V172" s="228">
        <v>0</v>
      </c>
      <c r="W172" s="228">
        <v>0</v>
      </c>
      <c r="X172" s="228">
        <v>0</v>
      </c>
      <c r="Y172" s="229">
        <v>0</v>
      </c>
      <c r="Z172" s="228">
        <v>-0.5</v>
      </c>
      <c r="AA172" s="228">
        <v>0.18</v>
      </c>
      <c r="AB172" s="228">
        <v>-0.68</v>
      </c>
      <c r="AC172" s="229">
        <v>-3.5000000000000001E-3</v>
      </c>
      <c r="AD172" s="228">
        <v>-0.5</v>
      </c>
      <c r="AE172" s="228">
        <v>0.18</v>
      </c>
      <c r="AF172" s="228">
        <v>-0.68</v>
      </c>
      <c r="AG172" s="229">
        <v>-3.5000000000000001E-3</v>
      </c>
      <c r="AH172" s="228">
        <v>0</v>
      </c>
      <c r="AI172" s="228">
        <v>0</v>
      </c>
      <c r="AJ172" s="228">
        <v>0</v>
      </c>
      <c r="AK172" s="229">
        <v>0</v>
      </c>
      <c r="AL172" s="228">
        <v>0</v>
      </c>
      <c r="AM172" s="228">
        <v>0</v>
      </c>
      <c r="AN172" s="228">
        <v>0</v>
      </c>
      <c r="AO172" s="229">
        <v>0</v>
      </c>
      <c r="AP172" s="228">
        <v>142.61000000000001</v>
      </c>
      <c r="AQ172" s="228">
        <v>0</v>
      </c>
      <c r="AR172" s="228">
        <v>0</v>
      </c>
      <c r="AS172" s="228">
        <v>39</v>
      </c>
      <c r="AT172" s="228">
        <v>56</v>
      </c>
      <c r="AU172" s="228">
        <v>-17</v>
      </c>
      <c r="AV172" s="229">
        <v>-0.30230000000000001</v>
      </c>
      <c r="AW172" s="228">
        <v>39</v>
      </c>
      <c r="AX172" s="228">
        <v>56</v>
      </c>
      <c r="AY172" s="228">
        <v>-17</v>
      </c>
      <c r="AZ172" s="229">
        <v>-0.30230000000000001</v>
      </c>
      <c r="BA172" s="228">
        <v>0</v>
      </c>
      <c r="BB172" s="228">
        <v>0</v>
      </c>
      <c r="BC172" s="228">
        <v>0</v>
      </c>
      <c r="BD172" s="229">
        <v>0</v>
      </c>
      <c r="BE172" s="228">
        <v>0</v>
      </c>
      <c r="BF172" s="228">
        <v>0</v>
      </c>
      <c r="BG172" s="228">
        <v>0</v>
      </c>
      <c r="BH172" s="229">
        <v>0</v>
      </c>
      <c r="BI172" s="228">
        <v>59</v>
      </c>
      <c r="BJ172" s="228">
        <v>62</v>
      </c>
      <c r="BK172" s="228">
        <v>-3</v>
      </c>
      <c r="BL172" s="229">
        <v>-5.1200000000000002E-2</v>
      </c>
      <c r="BM172" s="228">
        <v>17</v>
      </c>
      <c r="BN172" s="228">
        <v>20</v>
      </c>
      <c r="BO172" s="228">
        <v>-3</v>
      </c>
      <c r="BP172" s="229">
        <v>-0.1608</v>
      </c>
      <c r="BQ172" s="228">
        <v>115</v>
      </c>
      <c r="BR172" s="228">
        <v>139</v>
      </c>
      <c r="BS172" s="228">
        <v>-23</v>
      </c>
      <c r="BT172" s="229">
        <v>-0.16900000000000001</v>
      </c>
      <c r="BU172" s="230">
        <v>1730268</v>
      </c>
      <c r="BV172" s="230">
        <v>3162152</v>
      </c>
      <c r="BW172" s="230">
        <v>-1431884</v>
      </c>
      <c r="BX172" s="229">
        <v>-0.45279999999999998</v>
      </c>
      <c r="BY172" s="228">
        <v>189</v>
      </c>
      <c r="BZ172" s="228">
        <v>185</v>
      </c>
      <c r="CA172" s="228">
        <v>4</v>
      </c>
      <c r="CB172" s="229">
        <v>2.2599999999999999E-2</v>
      </c>
      <c r="CC172" s="228">
        <v>189</v>
      </c>
      <c r="CD172" s="228">
        <v>185</v>
      </c>
      <c r="CE172" s="228">
        <v>4</v>
      </c>
      <c r="CF172" s="229">
        <v>2.2599999999999999E-2</v>
      </c>
      <c r="CG172" s="228">
        <v>0</v>
      </c>
      <c r="CH172" s="228">
        <v>0</v>
      </c>
      <c r="CI172" s="228">
        <v>0</v>
      </c>
      <c r="CJ172" s="229">
        <v>0</v>
      </c>
      <c r="CK172" s="228">
        <v>0</v>
      </c>
      <c r="CL172" s="228">
        <v>0</v>
      </c>
      <c r="CM172" s="228">
        <v>0</v>
      </c>
      <c r="CN172" s="229">
        <v>0</v>
      </c>
      <c r="CO172" s="228">
        <v>59</v>
      </c>
      <c r="CP172" s="228">
        <v>47</v>
      </c>
      <c r="CQ172" s="228">
        <v>12</v>
      </c>
      <c r="CR172" s="229">
        <v>0.25</v>
      </c>
      <c r="CS172" s="228">
        <v>35</v>
      </c>
      <c r="CT172" s="228">
        <v>33</v>
      </c>
      <c r="CU172" s="228">
        <v>2</v>
      </c>
      <c r="CV172" s="229">
        <v>7.1099999999999997E-2</v>
      </c>
      <c r="CW172" s="228">
        <v>284</v>
      </c>
      <c r="CX172" s="228">
        <v>266</v>
      </c>
      <c r="CY172" s="228">
        <v>18</v>
      </c>
      <c r="CZ172" s="229">
        <v>6.93E-2</v>
      </c>
      <c r="DA172" s="228">
        <v>43.62</v>
      </c>
      <c r="DB172" s="228">
        <v>42.12</v>
      </c>
      <c r="DC172" s="228">
        <v>1.5</v>
      </c>
      <c r="DD172" s="228">
        <v>1.5</v>
      </c>
      <c r="DE172" s="228">
        <v>43.6</v>
      </c>
      <c r="DF172" s="228">
        <v>43.68</v>
      </c>
      <c r="DG172" s="228">
        <v>0.02</v>
      </c>
      <c r="DH172" s="228">
        <v>-0.08</v>
      </c>
      <c r="DI172" s="228">
        <v>43.38</v>
      </c>
      <c r="DJ172" s="228">
        <v>41.42</v>
      </c>
      <c r="DK172" s="228">
        <v>1.96</v>
      </c>
      <c r="DL172" s="228">
        <v>1.96</v>
      </c>
      <c r="DM172" s="228">
        <v>44.45</v>
      </c>
      <c r="DN172" s="228">
        <v>44.26</v>
      </c>
      <c r="DO172" s="228">
        <v>0.19</v>
      </c>
      <c r="DP172" s="228">
        <v>0.19</v>
      </c>
      <c r="DQ172" s="228">
        <v>0.6</v>
      </c>
      <c r="DR172" s="228">
        <v>0.7</v>
      </c>
      <c r="DS172" s="228">
        <v>-0.1</v>
      </c>
      <c r="DT172" s="229">
        <v>-0.1429</v>
      </c>
      <c r="DU172" s="228">
        <v>150</v>
      </c>
      <c r="DV172" s="228">
        <v>150</v>
      </c>
      <c r="DW172" s="228">
        <v>0.28999999999999998</v>
      </c>
      <c r="DX172" s="228">
        <v>0.33</v>
      </c>
      <c r="DY172" s="228">
        <v>-0.04</v>
      </c>
      <c r="DZ172" s="229">
        <v>-0.1212</v>
      </c>
      <c r="EA172" s="229">
        <v>0</v>
      </c>
      <c r="EB172" s="228">
        <v>0</v>
      </c>
      <c r="EC172" s="229">
        <v>0</v>
      </c>
      <c r="ED172" s="229">
        <v>0</v>
      </c>
      <c r="EE172" s="228">
        <v>0</v>
      </c>
      <c r="EF172" s="229">
        <v>0</v>
      </c>
      <c r="EG172" s="230">
        <v>628718</v>
      </c>
      <c r="EH172" s="230">
        <v>1357174</v>
      </c>
      <c r="EI172" s="229">
        <v>-0.53669999999999995</v>
      </c>
      <c r="EJ172" s="229">
        <v>0.3634</v>
      </c>
      <c r="EK172" s="228">
        <v>65.16</v>
      </c>
      <c r="EL172" s="228">
        <v>17.68</v>
      </c>
      <c r="EM172" s="228">
        <v>39.229999999999997</v>
      </c>
      <c r="EN172" s="228">
        <v>11</v>
      </c>
      <c r="EO172" s="228">
        <v>122.07</v>
      </c>
      <c r="EP172" s="228">
        <v>144.29</v>
      </c>
      <c r="EQ172" s="228">
        <v>-22.22</v>
      </c>
      <c r="ER172" s="229">
        <v>-0.154</v>
      </c>
      <c r="ES172" s="228">
        <v>64.510000000000005</v>
      </c>
      <c r="ET172" s="228">
        <v>36.17</v>
      </c>
      <c r="EU172" s="228">
        <v>189.25</v>
      </c>
      <c r="EV172" s="231">
        <v>92833839</v>
      </c>
      <c r="EW172" s="228">
        <v>289.92</v>
      </c>
      <c r="EX172" s="228">
        <v>272.48</v>
      </c>
      <c r="EY172" s="228">
        <v>17.440000000000001</v>
      </c>
      <c r="EZ172" s="229">
        <v>6.4000000000000001E-2</v>
      </c>
      <c r="FA172" s="229">
        <v>0.21479999999999999</v>
      </c>
      <c r="FB172" s="227" t="s">
        <v>566</v>
      </c>
      <c r="FC172">
        <f t="shared" si="3"/>
        <v>0</v>
      </c>
    </row>
    <row r="173" spans="1:159" ht="17.25" thickBot="1" x14ac:dyDescent="0.3">
      <c r="A173" s="226">
        <v>46121</v>
      </c>
      <c r="B173" s="227" t="s">
        <v>184</v>
      </c>
      <c r="C173" s="227" t="s">
        <v>688</v>
      </c>
      <c r="D173" s="228">
        <v>575</v>
      </c>
      <c r="E173" s="228">
        <v>19</v>
      </c>
      <c r="F173" s="228">
        <v>960.5</v>
      </c>
      <c r="G173" s="228">
        <v>963.85</v>
      </c>
      <c r="H173" s="228">
        <v>-3.35</v>
      </c>
      <c r="I173" s="229">
        <v>-3.5000000000000001E-3</v>
      </c>
      <c r="J173" s="228">
        <v>956.45</v>
      </c>
      <c r="K173" s="228">
        <v>959.65</v>
      </c>
      <c r="L173" s="228">
        <v>-3.2</v>
      </c>
      <c r="M173" s="229">
        <v>-3.3E-3</v>
      </c>
      <c r="N173" s="228">
        <v>960.5</v>
      </c>
      <c r="O173" s="228">
        <v>963.85</v>
      </c>
      <c r="P173" s="228">
        <v>-3.35</v>
      </c>
      <c r="Q173" s="229">
        <v>-3.5000000000000001E-3</v>
      </c>
      <c r="R173" s="228">
        <v>953.4</v>
      </c>
      <c r="S173" s="228">
        <v>957.6</v>
      </c>
      <c r="T173" s="228">
        <v>-4.2</v>
      </c>
      <c r="U173" s="229">
        <v>-4.4000000000000003E-3</v>
      </c>
      <c r="V173" s="228">
        <v>950</v>
      </c>
      <c r="W173" s="228">
        <v>928</v>
      </c>
      <c r="X173" s="228">
        <v>22</v>
      </c>
      <c r="Y173" s="229">
        <v>2.3699999999999999E-2</v>
      </c>
      <c r="Z173" s="228">
        <v>4.05</v>
      </c>
      <c r="AA173" s="228">
        <v>4.2</v>
      </c>
      <c r="AB173" s="228">
        <v>-0.15</v>
      </c>
      <c r="AC173" s="229">
        <v>4.1999999999999997E-3</v>
      </c>
      <c r="AD173" s="228">
        <v>4.05</v>
      </c>
      <c r="AE173" s="228">
        <v>4.2</v>
      </c>
      <c r="AF173" s="228">
        <v>-0.15</v>
      </c>
      <c r="AG173" s="229">
        <v>4.1999999999999997E-3</v>
      </c>
      <c r="AH173" s="228">
        <v>-3.05</v>
      </c>
      <c r="AI173" s="228">
        <v>-2.0499999999999998</v>
      </c>
      <c r="AJ173" s="228">
        <v>-1</v>
      </c>
      <c r="AK173" s="229">
        <v>-3.2000000000000002E-3</v>
      </c>
      <c r="AL173" s="228">
        <v>-6.45</v>
      </c>
      <c r="AM173" s="228">
        <v>-31.65</v>
      </c>
      <c r="AN173" s="228">
        <v>25.2</v>
      </c>
      <c r="AO173" s="229">
        <v>-6.7000000000000002E-3</v>
      </c>
      <c r="AP173" s="228">
        <v>963.48</v>
      </c>
      <c r="AQ173" s="228">
        <v>955.11</v>
      </c>
      <c r="AR173" s="228">
        <v>0</v>
      </c>
      <c r="AS173" s="228">
        <v>185</v>
      </c>
      <c r="AT173" s="228">
        <v>246</v>
      </c>
      <c r="AU173" s="228">
        <v>-62</v>
      </c>
      <c r="AV173" s="229">
        <v>-0.24959999999999999</v>
      </c>
      <c r="AW173" s="228">
        <v>182</v>
      </c>
      <c r="AX173" s="228">
        <v>240</v>
      </c>
      <c r="AY173" s="228">
        <v>-58</v>
      </c>
      <c r="AZ173" s="229">
        <v>-0.24099999999999999</v>
      </c>
      <c r="BA173" s="228">
        <v>3</v>
      </c>
      <c r="BB173" s="228">
        <v>6</v>
      </c>
      <c r="BC173" s="228">
        <v>-4</v>
      </c>
      <c r="BD173" s="229">
        <v>-0.58260000000000001</v>
      </c>
      <c r="BE173" s="228">
        <v>0</v>
      </c>
      <c r="BF173" s="228">
        <v>0</v>
      </c>
      <c r="BG173" s="228">
        <v>0</v>
      </c>
      <c r="BH173" s="229">
        <v>0</v>
      </c>
      <c r="BI173" s="228">
        <v>325</v>
      </c>
      <c r="BJ173" s="228">
        <v>428</v>
      </c>
      <c r="BK173" s="228">
        <v>-103</v>
      </c>
      <c r="BL173" s="229">
        <v>-0.24060000000000001</v>
      </c>
      <c r="BM173" s="228">
        <v>116</v>
      </c>
      <c r="BN173" s="228">
        <v>221</v>
      </c>
      <c r="BO173" s="228">
        <v>-105</v>
      </c>
      <c r="BP173" s="229">
        <v>-0.47610000000000002</v>
      </c>
      <c r="BQ173" s="228">
        <v>626</v>
      </c>
      <c r="BR173" s="228">
        <v>896</v>
      </c>
      <c r="BS173" s="228">
        <v>-270</v>
      </c>
      <c r="BT173" s="229">
        <v>-0.30130000000000001</v>
      </c>
      <c r="BU173" s="230">
        <v>2616652</v>
      </c>
      <c r="BV173" s="230">
        <v>1663028</v>
      </c>
      <c r="BW173" s="230">
        <v>953624</v>
      </c>
      <c r="BX173" s="229">
        <v>0.57340000000000002</v>
      </c>
      <c r="BY173" s="230">
        <v>1015</v>
      </c>
      <c r="BZ173" s="228">
        <v>995</v>
      </c>
      <c r="CA173" s="228">
        <v>20</v>
      </c>
      <c r="CB173" s="229">
        <v>0.02</v>
      </c>
      <c r="CC173" s="230">
        <v>1009</v>
      </c>
      <c r="CD173" s="228">
        <v>989</v>
      </c>
      <c r="CE173" s="228">
        <v>20</v>
      </c>
      <c r="CF173" s="229">
        <v>2.0299999999999999E-2</v>
      </c>
      <c r="CG173" s="228">
        <v>6</v>
      </c>
      <c r="CH173" s="228">
        <v>6</v>
      </c>
      <c r="CI173" s="228">
        <v>0</v>
      </c>
      <c r="CJ173" s="229">
        <v>-2.63E-2</v>
      </c>
      <c r="CK173" s="228">
        <v>0</v>
      </c>
      <c r="CL173" s="228">
        <v>0</v>
      </c>
      <c r="CM173" s="228">
        <v>0</v>
      </c>
      <c r="CN173" s="229">
        <v>0</v>
      </c>
      <c r="CO173" s="228">
        <v>199</v>
      </c>
      <c r="CP173" s="228">
        <v>178</v>
      </c>
      <c r="CQ173" s="228">
        <v>21</v>
      </c>
      <c r="CR173" s="229">
        <v>0.1195</v>
      </c>
      <c r="CS173" s="228">
        <v>168</v>
      </c>
      <c r="CT173" s="228">
        <v>160</v>
      </c>
      <c r="CU173" s="228">
        <v>9</v>
      </c>
      <c r="CV173" s="229">
        <v>5.4300000000000001E-2</v>
      </c>
      <c r="CW173" s="230">
        <v>1383</v>
      </c>
      <c r="CX173" s="230">
        <v>1333</v>
      </c>
      <c r="CY173" s="228">
        <v>50</v>
      </c>
      <c r="CZ173" s="229">
        <v>3.7400000000000003E-2</v>
      </c>
      <c r="DA173" s="228">
        <v>46.19</v>
      </c>
      <c r="DB173" s="228">
        <v>43.54</v>
      </c>
      <c r="DC173" s="228">
        <v>2.65</v>
      </c>
      <c r="DD173" s="228">
        <v>2.65</v>
      </c>
      <c r="DE173" s="228">
        <v>49.36</v>
      </c>
      <c r="DF173" s="228">
        <v>49.48</v>
      </c>
      <c r="DG173" s="228">
        <v>-3.17</v>
      </c>
      <c r="DH173" s="228">
        <v>-0.12</v>
      </c>
      <c r="DI173" s="228">
        <v>45.98</v>
      </c>
      <c r="DJ173" s="228">
        <v>43.16</v>
      </c>
      <c r="DK173" s="228">
        <v>2.82</v>
      </c>
      <c r="DL173" s="228">
        <v>2.82</v>
      </c>
      <c r="DM173" s="228">
        <v>46.8</v>
      </c>
      <c r="DN173" s="228">
        <v>44.29</v>
      </c>
      <c r="DO173" s="228">
        <v>2.5099999999999998</v>
      </c>
      <c r="DP173" s="228">
        <v>2.5099999999999998</v>
      </c>
      <c r="DQ173" s="228">
        <v>0.84</v>
      </c>
      <c r="DR173" s="228">
        <v>0.9</v>
      </c>
      <c r="DS173" s="228">
        <v>-0.06</v>
      </c>
      <c r="DT173" s="229">
        <v>-6.6699999999999995E-2</v>
      </c>
      <c r="DU173" s="231">
        <v>1000</v>
      </c>
      <c r="DV173" s="228">
        <v>800</v>
      </c>
      <c r="DW173" s="228">
        <v>0.36</v>
      </c>
      <c r="DX173" s="228">
        <v>0.52</v>
      </c>
      <c r="DY173" s="228">
        <v>-0.16</v>
      </c>
      <c r="DZ173" s="229">
        <v>-0.30769999999999997</v>
      </c>
      <c r="EA173" s="229">
        <v>6.1999999999999998E-3</v>
      </c>
      <c r="EB173" s="230">
        <v>67275</v>
      </c>
      <c r="EC173" s="229">
        <v>-7.4000000000000003E-3</v>
      </c>
      <c r="ED173" s="229">
        <v>6.1999999999999998E-3</v>
      </c>
      <c r="EE173" s="228">
        <v>-8.3699999999999992</v>
      </c>
      <c r="EF173" s="229">
        <v>-8.6999999999999994E-3</v>
      </c>
      <c r="EG173" s="230">
        <v>1114208</v>
      </c>
      <c r="EH173" s="230">
        <v>297047</v>
      </c>
      <c r="EI173" s="229">
        <v>2.7509000000000001</v>
      </c>
      <c r="EJ173" s="229">
        <v>0.42580000000000001</v>
      </c>
      <c r="EK173" s="228">
        <v>347.21</v>
      </c>
      <c r="EL173" s="228">
        <v>113.28</v>
      </c>
      <c r="EM173" s="228">
        <v>185.51</v>
      </c>
      <c r="EN173" s="228">
        <v>31.88</v>
      </c>
      <c r="EO173" s="228">
        <v>646</v>
      </c>
      <c r="EP173" s="228">
        <v>910.33</v>
      </c>
      <c r="EQ173" s="228">
        <v>-264.33</v>
      </c>
      <c r="ER173" s="229">
        <v>-0.29039999999999999</v>
      </c>
      <c r="ES173" s="228">
        <v>201.73</v>
      </c>
      <c r="ET173" s="228">
        <v>152.03</v>
      </c>
      <c r="EU173" s="231">
        <v>1015.06</v>
      </c>
      <c r="EV173" s="231">
        <v>23961540</v>
      </c>
      <c r="EW173" s="231">
        <v>1368.82</v>
      </c>
      <c r="EX173" s="231">
        <v>1321.82</v>
      </c>
      <c r="EY173" s="228">
        <v>47</v>
      </c>
      <c r="EZ173" s="229">
        <v>3.56E-2</v>
      </c>
      <c r="FA173" s="229">
        <v>0.60070000000000001</v>
      </c>
      <c r="FB173" s="227" t="s">
        <v>566</v>
      </c>
      <c r="FC173">
        <f t="shared" si="3"/>
        <v>0</v>
      </c>
    </row>
    <row r="174" spans="1:159" ht="17.25" thickBot="1" x14ac:dyDescent="0.3">
      <c r="A174" s="226">
        <v>46121</v>
      </c>
      <c r="B174" s="227" t="s">
        <v>206</v>
      </c>
      <c r="C174" s="227" t="s">
        <v>604</v>
      </c>
      <c r="D174" s="228">
        <v>450</v>
      </c>
      <c r="E174" s="228">
        <v>19</v>
      </c>
      <c r="F174" s="231">
        <v>1326.5</v>
      </c>
      <c r="G174" s="231">
        <v>1323.8</v>
      </c>
      <c r="H174" s="228">
        <v>2.7</v>
      </c>
      <c r="I174" s="229">
        <v>2E-3</v>
      </c>
      <c r="J174" s="231">
        <v>1319.4</v>
      </c>
      <c r="K174" s="231">
        <v>1320.8</v>
      </c>
      <c r="L174" s="228">
        <v>-1.4</v>
      </c>
      <c r="M174" s="229">
        <v>-1.1000000000000001E-3</v>
      </c>
      <c r="N174" s="231">
        <v>1326.5</v>
      </c>
      <c r="O174" s="231">
        <v>1323.8</v>
      </c>
      <c r="P174" s="228">
        <v>2.7</v>
      </c>
      <c r="Q174" s="229">
        <v>2E-3</v>
      </c>
      <c r="R174" s="231">
        <v>1332.5</v>
      </c>
      <c r="S174" s="231">
        <v>1328.9</v>
      </c>
      <c r="T174" s="228">
        <v>3.6</v>
      </c>
      <c r="U174" s="229">
        <v>2.7000000000000001E-3</v>
      </c>
      <c r="V174" s="231">
        <v>1328.9</v>
      </c>
      <c r="W174" s="231">
        <v>1333</v>
      </c>
      <c r="X174" s="228">
        <v>-4.0999999999999996</v>
      </c>
      <c r="Y174" s="229">
        <v>-3.0999999999999999E-3</v>
      </c>
      <c r="Z174" s="228">
        <v>7.1</v>
      </c>
      <c r="AA174" s="228">
        <v>3</v>
      </c>
      <c r="AB174" s="228">
        <v>4.0999999999999996</v>
      </c>
      <c r="AC174" s="229">
        <v>5.4000000000000003E-3</v>
      </c>
      <c r="AD174" s="228">
        <v>7.1</v>
      </c>
      <c r="AE174" s="228">
        <v>3</v>
      </c>
      <c r="AF174" s="228">
        <v>4.0999999999999996</v>
      </c>
      <c r="AG174" s="229">
        <v>5.4000000000000003E-3</v>
      </c>
      <c r="AH174" s="228">
        <v>13.1</v>
      </c>
      <c r="AI174" s="228">
        <v>8.1</v>
      </c>
      <c r="AJ174" s="228">
        <v>5</v>
      </c>
      <c r="AK174" s="229">
        <v>9.9000000000000008E-3</v>
      </c>
      <c r="AL174" s="228">
        <v>9.5</v>
      </c>
      <c r="AM174" s="228">
        <v>12.2</v>
      </c>
      <c r="AN174" s="228">
        <v>-2.7</v>
      </c>
      <c r="AO174" s="229">
        <v>7.1999999999999998E-3</v>
      </c>
      <c r="AP174" s="231">
        <v>1324.11</v>
      </c>
      <c r="AQ174" s="231">
        <v>1323.01</v>
      </c>
      <c r="AR174" s="228">
        <v>0</v>
      </c>
      <c r="AS174" s="228">
        <v>117</v>
      </c>
      <c r="AT174" s="228">
        <v>332</v>
      </c>
      <c r="AU174" s="228">
        <v>-215</v>
      </c>
      <c r="AV174" s="229">
        <v>-0.64710000000000001</v>
      </c>
      <c r="AW174" s="228">
        <v>114</v>
      </c>
      <c r="AX174" s="228">
        <v>313</v>
      </c>
      <c r="AY174" s="228">
        <v>-199</v>
      </c>
      <c r="AZ174" s="229">
        <v>-0.63539999999999996</v>
      </c>
      <c r="BA174" s="228">
        <v>3</v>
      </c>
      <c r="BB174" s="228">
        <v>18</v>
      </c>
      <c r="BC174" s="228">
        <v>-16</v>
      </c>
      <c r="BD174" s="229">
        <v>-0.85440000000000005</v>
      </c>
      <c r="BE174" s="228">
        <v>0</v>
      </c>
      <c r="BF174" s="228">
        <v>1</v>
      </c>
      <c r="BG174" s="228">
        <v>0</v>
      </c>
      <c r="BH174" s="229">
        <v>-0.4</v>
      </c>
      <c r="BI174" s="228">
        <v>272</v>
      </c>
      <c r="BJ174" s="228">
        <v>700</v>
      </c>
      <c r="BK174" s="228">
        <v>-427</v>
      </c>
      <c r="BL174" s="229">
        <v>-0.61080000000000001</v>
      </c>
      <c r="BM174" s="228">
        <v>159</v>
      </c>
      <c r="BN174" s="228">
        <v>297</v>
      </c>
      <c r="BO174" s="228">
        <v>-138</v>
      </c>
      <c r="BP174" s="229">
        <v>-0.46610000000000001</v>
      </c>
      <c r="BQ174" s="228">
        <v>548</v>
      </c>
      <c r="BR174" s="230">
        <v>1329</v>
      </c>
      <c r="BS174" s="228">
        <v>-781</v>
      </c>
      <c r="BT174" s="229">
        <v>-0.58750000000000002</v>
      </c>
      <c r="BU174" s="230">
        <v>882097</v>
      </c>
      <c r="BV174" s="230">
        <v>2604476</v>
      </c>
      <c r="BW174" s="230">
        <v>-1722379</v>
      </c>
      <c r="BX174" s="229">
        <v>-0.6613</v>
      </c>
      <c r="BY174" s="228">
        <v>915</v>
      </c>
      <c r="BZ174" s="228">
        <v>896</v>
      </c>
      <c r="CA174" s="228">
        <v>20</v>
      </c>
      <c r="CB174" s="229">
        <v>2.1899999999999999E-2</v>
      </c>
      <c r="CC174" s="228">
        <v>905</v>
      </c>
      <c r="CD174" s="228">
        <v>885</v>
      </c>
      <c r="CE174" s="228">
        <v>20</v>
      </c>
      <c r="CF174" s="229">
        <v>2.24E-2</v>
      </c>
      <c r="CG174" s="228">
        <v>10</v>
      </c>
      <c r="CH174" s="228">
        <v>10</v>
      </c>
      <c r="CI174" s="228">
        <v>0</v>
      </c>
      <c r="CJ174" s="229">
        <v>-6.0000000000000001E-3</v>
      </c>
      <c r="CK174" s="228">
        <v>1</v>
      </c>
      <c r="CL174" s="228">
        <v>1</v>
      </c>
      <c r="CM174" s="228">
        <v>0</v>
      </c>
      <c r="CN174" s="229">
        <v>-0.16669999999999999</v>
      </c>
      <c r="CO174" s="228">
        <v>222</v>
      </c>
      <c r="CP174" s="228">
        <v>193</v>
      </c>
      <c r="CQ174" s="228">
        <v>28</v>
      </c>
      <c r="CR174" s="229">
        <v>0.1467</v>
      </c>
      <c r="CS174" s="228">
        <v>135</v>
      </c>
      <c r="CT174" s="228">
        <v>126</v>
      </c>
      <c r="CU174" s="228">
        <v>9</v>
      </c>
      <c r="CV174" s="229">
        <v>7.1300000000000002E-2</v>
      </c>
      <c r="CW174" s="230">
        <v>1272</v>
      </c>
      <c r="CX174" s="230">
        <v>1215</v>
      </c>
      <c r="CY174" s="228">
        <v>57</v>
      </c>
      <c r="CZ174" s="229">
        <v>4.6899999999999997E-2</v>
      </c>
      <c r="DA174" s="228">
        <v>44.24</v>
      </c>
      <c r="DB174" s="228">
        <v>44.16</v>
      </c>
      <c r="DC174" s="228">
        <v>0.08</v>
      </c>
      <c r="DD174" s="228">
        <v>0.08</v>
      </c>
      <c r="DE174" s="228">
        <v>45.24</v>
      </c>
      <c r="DF174" s="228">
        <v>45.35</v>
      </c>
      <c r="DG174" s="228">
        <v>-1</v>
      </c>
      <c r="DH174" s="228">
        <v>-0.11</v>
      </c>
      <c r="DI174" s="228">
        <v>42.98</v>
      </c>
      <c r="DJ174" s="228">
        <v>43.3</v>
      </c>
      <c r="DK174" s="228">
        <v>-0.32</v>
      </c>
      <c r="DL174" s="228">
        <v>-0.32</v>
      </c>
      <c r="DM174" s="228">
        <v>46.41</v>
      </c>
      <c r="DN174" s="228">
        <v>46.2</v>
      </c>
      <c r="DO174" s="228">
        <v>0.21</v>
      </c>
      <c r="DP174" s="228">
        <v>0.21</v>
      </c>
      <c r="DQ174" s="228">
        <v>0.61</v>
      </c>
      <c r="DR174" s="228">
        <v>0.65</v>
      </c>
      <c r="DS174" s="228">
        <v>-0.04</v>
      </c>
      <c r="DT174" s="229">
        <v>-6.1499999999999999E-2</v>
      </c>
      <c r="DU174" s="231">
        <v>1400</v>
      </c>
      <c r="DV174" s="231">
        <v>1200</v>
      </c>
      <c r="DW174" s="228">
        <v>0.57999999999999996</v>
      </c>
      <c r="DX174" s="228">
        <v>0.42</v>
      </c>
      <c r="DY174" s="228">
        <v>0.16</v>
      </c>
      <c r="DZ174" s="229">
        <v>0.38100000000000001</v>
      </c>
      <c r="EA174" s="229">
        <v>1.15E-2</v>
      </c>
      <c r="EB174" s="230">
        <v>81000</v>
      </c>
      <c r="EC174" s="229">
        <v>4.4999999999999997E-3</v>
      </c>
      <c r="ED174" s="229">
        <v>1.15E-2</v>
      </c>
      <c r="EE174" s="228">
        <v>-1.1000000000000001</v>
      </c>
      <c r="EF174" s="229">
        <v>-8.0000000000000004E-4</v>
      </c>
      <c r="EG174" s="230">
        <v>405686</v>
      </c>
      <c r="EH174" s="230">
        <v>754928</v>
      </c>
      <c r="EI174" s="229">
        <v>-0.46260000000000001</v>
      </c>
      <c r="EJ174" s="229">
        <v>0.45989999999999998</v>
      </c>
      <c r="EK174" s="228">
        <v>290</v>
      </c>
      <c r="EL174" s="228">
        <v>154.62</v>
      </c>
      <c r="EM174" s="228">
        <v>117.02</v>
      </c>
      <c r="EN174" s="228">
        <v>36.81</v>
      </c>
      <c r="EO174" s="228">
        <v>561.64</v>
      </c>
      <c r="EP174" s="231">
        <v>1360.17</v>
      </c>
      <c r="EQ174" s="228">
        <v>-798.53</v>
      </c>
      <c r="ER174" s="229">
        <v>-0.58709999999999996</v>
      </c>
      <c r="ES174" s="228">
        <v>222.8</v>
      </c>
      <c r="ET174" s="228">
        <v>121.92</v>
      </c>
      <c r="EU174" s="228">
        <v>915.49</v>
      </c>
      <c r="EV174" s="231">
        <v>25234534</v>
      </c>
      <c r="EW174" s="231">
        <v>1260.21</v>
      </c>
      <c r="EX174" s="231">
        <v>1200.72</v>
      </c>
      <c r="EY174" s="228">
        <v>59.49</v>
      </c>
      <c r="EZ174" s="229">
        <v>4.9500000000000002E-2</v>
      </c>
      <c r="FA174" s="229">
        <v>0.37990000000000002</v>
      </c>
      <c r="FB174" s="227" t="s">
        <v>555</v>
      </c>
      <c r="FC174">
        <f t="shared" si="3"/>
        <v>0</v>
      </c>
    </row>
    <row r="175" spans="1:159" ht="17.25" thickBot="1" x14ac:dyDescent="0.3">
      <c r="A175" s="226">
        <v>46121</v>
      </c>
      <c r="B175" s="227" t="s">
        <v>172</v>
      </c>
      <c r="C175" s="227" t="s">
        <v>279</v>
      </c>
      <c r="D175" s="228">
        <v>3175</v>
      </c>
      <c r="E175" s="228">
        <v>19</v>
      </c>
      <c r="F175" s="228">
        <v>318.45</v>
      </c>
      <c r="G175" s="228">
        <v>324.14999999999998</v>
      </c>
      <c r="H175" s="228">
        <v>-5.7</v>
      </c>
      <c r="I175" s="229">
        <v>-1.7600000000000001E-2</v>
      </c>
      <c r="J175" s="228">
        <v>317.7</v>
      </c>
      <c r="K175" s="228">
        <v>322.85000000000002</v>
      </c>
      <c r="L175" s="228">
        <v>-5.15</v>
      </c>
      <c r="M175" s="229">
        <v>-1.6E-2</v>
      </c>
      <c r="N175" s="228">
        <v>318.45</v>
      </c>
      <c r="O175" s="228">
        <v>324.14999999999998</v>
      </c>
      <c r="P175" s="228">
        <v>-5.7</v>
      </c>
      <c r="Q175" s="229">
        <v>-1.7600000000000001E-2</v>
      </c>
      <c r="R175" s="228">
        <v>320.10000000000002</v>
      </c>
      <c r="S175" s="228">
        <v>325.89999999999998</v>
      </c>
      <c r="T175" s="228">
        <v>-5.8</v>
      </c>
      <c r="U175" s="229">
        <v>-1.78E-2</v>
      </c>
      <c r="V175" s="228">
        <v>321.85000000000002</v>
      </c>
      <c r="W175" s="228">
        <v>327.35000000000002</v>
      </c>
      <c r="X175" s="228">
        <v>-5.5</v>
      </c>
      <c r="Y175" s="229">
        <v>-1.6799999999999999E-2</v>
      </c>
      <c r="Z175" s="228">
        <v>0.75</v>
      </c>
      <c r="AA175" s="228">
        <v>1.3</v>
      </c>
      <c r="AB175" s="228">
        <v>-0.55000000000000004</v>
      </c>
      <c r="AC175" s="229">
        <v>2.3999999999999998E-3</v>
      </c>
      <c r="AD175" s="228">
        <v>0.75</v>
      </c>
      <c r="AE175" s="228">
        <v>1.3</v>
      </c>
      <c r="AF175" s="228">
        <v>-0.55000000000000004</v>
      </c>
      <c r="AG175" s="229">
        <v>2.3999999999999998E-3</v>
      </c>
      <c r="AH175" s="228">
        <v>2.4</v>
      </c>
      <c r="AI175" s="228">
        <v>3.05</v>
      </c>
      <c r="AJ175" s="228">
        <v>-0.65</v>
      </c>
      <c r="AK175" s="229">
        <v>7.6E-3</v>
      </c>
      <c r="AL175" s="228">
        <v>4.1500000000000004</v>
      </c>
      <c r="AM175" s="228">
        <v>4.5</v>
      </c>
      <c r="AN175" s="228">
        <v>-0.35</v>
      </c>
      <c r="AO175" s="229">
        <v>1.3100000000000001E-2</v>
      </c>
      <c r="AP175" s="228">
        <v>319.54000000000002</v>
      </c>
      <c r="AQ175" s="228">
        <v>321.5</v>
      </c>
      <c r="AR175" s="228">
        <v>0</v>
      </c>
      <c r="AS175" s="228">
        <v>315</v>
      </c>
      <c r="AT175" s="228">
        <v>628</v>
      </c>
      <c r="AU175" s="228">
        <v>-313</v>
      </c>
      <c r="AV175" s="229">
        <v>-0.49769999999999998</v>
      </c>
      <c r="AW175" s="228">
        <v>304</v>
      </c>
      <c r="AX175" s="228">
        <v>615</v>
      </c>
      <c r="AY175" s="228">
        <v>-311</v>
      </c>
      <c r="AZ175" s="229">
        <v>-0.50580000000000003</v>
      </c>
      <c r="BA175" s="228">
        <v>11</v>
      </c>
      <c r="BB175" s="228">
        <v>11</v>
      </c>
      <c r="BC175" s="228">
        <v>0</v>
      </c>
      <c r="BD175" s="229">
        <v>-1.8499999999999999E-2</v>
      </c>
      <c r="BE175" s="228">
        <v>1</v>
      </c>
      <c r="BF175" s="228">
        <v>2</v>
      </c>
      <c r="BG175" s="228">
        <v>-1</v>
      </c>
      <c r="BH175" s="229">
        <v>-0.63160000000000005</v>
      </c>
      <c r="BI175" s="228">
        <v>688</v>
      </c>
      <c r="BJ175" s="230">
        <v>1598</v>
      </c>
      <c r="BK175" s="228">
        <v>-910</v>
      </c>
      <c r="BL175" s="229">
        <v>-0.5696</v>
      </c>
      <c r="BM175" s="228">
        <v>514</v>
      </c>
      <c r="BN175" s="228">
        <v>859</v>
      </c>
      <c r="BO175" s="228">
        <v>-345</v>
      </c>
      <c r="BP175" s="229">
        <v>-0.4017</v>
      </c>
      <c r="BQ175" s="230">
        <v>1517</v>
      </c>
      <c r="BR175" s="230">
        <v>3085</v>
      </c>
      <c r="BS175" s="230">
        <v>-1568</v>
      </c>
      <c r="BT175" s="229">
        <v>-0.50819999999999999</v>
      </c>
      <c r="BU175" s="230">
        <v>3655335</v>
      </c>
      <c r="BV175" s="230">
        <v>6473060</v>
      </c>
      <c r="BW175" s="230">
        <v>-2817725</v>
      </c>
      <c r="BX175" s="229">
        <v>-0.43530000000000002</v>
      </c>
      <c r="BY175" s="230">
        <v>2056</v>
      </c>
      <c r="BZ175" s="230">
        <v>2086</v>
      </c>
      <c r="CA175" s="228">
        <v>-31</v>
      </c>
      <c r="CB175" s="229">
        <v>-1.4800000000000001E-2</v>
      </c>
      <c r="CC175" s="230">
        <v>2038</v>
      </c>
      <c r="CD175" s="230">
        <v>2070</v>
      </c>
      <c r="CE175" s="228">
        <v>-32</v>
      </c>
      <c r="CF175" s="229">
        <v>-1.55E-2</v>
      </c>
      <c r="CG175" s="228">
        <v>16</v>
      </c>
      <c r="CH175" s="228">
        <v>15</v>
      </c>
      <c r="CI175" s="228">
        <v>1</v>
      </c>
      <c r="CJ175" s="229">
        <v>6.2100000000000002E-2</v>
      </c>
      <c r="CK175" s="228">
        <v>2</v>
      </c>
      <c r="CL175" s="228">
        <v>2</v>
      </c>
      <c r="CM175" s="228">
        <v>0</v>
      </c>
      <c r="CN175" s="229">
        <v>0.15</v>
      </c>
      <c r="CO175" s="228">
        <v>881</v>
      </c>
      <c r="CP175" s="228">
        <v>868</v>
      </c>
      <c r="CQ175" s="228">
        <v>13</v>
      </c>
      <c r="CR175" s="229">
        <v>1.4800000000000001E-2</v>
      </c>
      <c r="CS175" s="228">
        <v>924</v>
      </c>
      <c r="CT175" s="228">
        <v>927</v>
      </c>
      <c r="CU175" s="228">
        <v>-3</v>
      </c>
      <c r="CV175" s="229">
        <v>-2.8E-3</v>
      </c>
      <c r="CW175" s="230">
        <v>3861</v>
      </c>
      <c r="CX175" s="230">
        <v>3881</v>
      </c>
      <c r="CY175" s="228">
        <v>-21</v>
      </c>
      <c r="CZ175" s="229">
        <v>-5.3E-3</v>
      </c>
      <c r="DA175" s="228">
        <v>32.76</v>
      </c>
      <c r="DB175" s="228">
        <v>32.28</v>
      </c>
      <c r="DC175" s="228">
        <v>0.48</v>
      </c>
      <c r="DD175" s="228">
        <v>0.48</v>
      </c>
      <c r="DE175" s="228">
        <v>43.57</v>
      </c>
      <c r="DF175" s="228">
        <v>43.62</v>
      </c>
      <c r="DG175" s="228">
        <v>-10.81</v>
      </c>
      <c r="DH175" s="228">
        <v>-0.05</v>
      </c>
      <c r="DI175" s="228">
        <v>32.56</v>
      </c>
      <c r="DJ175" s="228">
        <v>31.65</v>
      </c>
      <c r="DK175" s="228">
        <v>0.91</v>
      </c>
      <c r="DL175" s="228">
        <v>0.91</v>
      </c>
      <c r="DM175" s="228">
        <v>33.020000000000003</v>
      </c>
      <c r="DN175" s="228">
        <v>33.46</v>
      </c>
      <c r="DO175" s="228">
        <v>-0.44</v>
      </c>
      <c r="DP175" s="228">
        <v>-0.44</v>
      </c>
      <c r="DQ175" s="228">
        <v>1.05</v>
      </c>
      <c r="DR175" s="228">
        <v>1.07</v>
      </c>
      <c r="DS175" s="228">
        <v>-0.02</v>
      </c>
      <c r="DT175" s="229">
        <v>-1.8700000000000001E-2</v>
      </c>
      <c r="DU175" s="228">
        <v>300</v>
      </c>
      <c r="DV175" s="228">
        <v>280</v>
      </c>
      <c r="DW175" s="228">
        <v>0.75</v>
      </c>
      <c r="DX175" s="228">
        <v>0.54</v>
      </c>
      <c r="DY175" s="228">
        <v>0.21</v>
      </c>
      <c r="DZ175" s="229">
        <v>0.38890000000000002</v>
      </c>
      <c r="EA175" s="229">
        <v>8.6999999999999994E-3</v>
      </c>
      <c r="EB175" s="230">
        <v>523875</v>
      </c>
      <c r="EC175" s="229">
        <v>5.1999999999999998E-3</v>
      </c>
      <c r="ED175" s="229">
        <v>8.6999999999999994E-3</v>
      </c>
      <c r="EE175" s="228">
        <v>1.96</v>
      </c>
      <c r="EF175" s="229">
        <v>6.1000000000000004E-3</v>
      </c>
      <c r="EG175" s="230">
        <v>889630</v>
      </c>
      <c r="EH175" s="230">
        <v>2056184</v>
      </c>
      <c r="EI175" s="229">
        <v>-0.56730000000000003</v>
      </c>
      <c r="EJ175" s="229">
        <v>0.24340000000000001</v>
      </c>
      <c r="EK175" s="228">
        <v>724.5</v>
      </c>
      <c r="EL175" s="228">
        <v>502.29</v>
      </c>
      <c r="EM175" s="228">
        <v>316.61</v>
      </c>
      <c r="EN175" s="228">
        <v>78.19</v>
      </c>
      <c r="EO175" s="231">
        <v>1543.41</v>
      </c>
      <c r="EP175" s="231">
        <v>3177.72</v>
      </c>
      <c r="EQ175" s="231">
        <v>-1634.32</v>
      </c>
      <c r="ER175" s="229">
        <v>-0.51429999999999998</v>
      </c>
      <c r="ES175" s="228">
        <v>875.45</v>
      </c>
      <c r="ET175" s="228">
        <v>858.29</v>
      </c>
      <c r="EU175" s="231">
        <v>2055.63</v>
      </c>
      <c r="EV175" s="231">
        <v>92573471</v>
      </c>
      <c r="EW175" s="231">
        <v>3789.37</v>
      </c>
      <c r="EX175" s="231">
        <v>3845.63</v>
      </c>
      <c r="EY175" s="228">
        <v>-56.26</v>
      </c>
      <c r="EZ175" s="229">
        <v>-1.46E-2</v>
      </c>
      <c r="FA175" s="229">
        <v>1.3096000000000001</v>
      </c>
      <c r="FB175" s="227" t="s">
        <v>567</v>
      </c>
      <c r="FC175">
        <f t="shared" si="3"/>
        <v>0</v>
      </c>
    </row>
    <row r="176" spans="1:159" ht="17.25" thickBot="1" x14ac:dyDescent="0.3">
      <c r="A176" s="226">
        <v>46121</v>
      </c>
      <c r="B176" s="227" t="s">
        <v>175</v>
      </c>
      <c r="C176" s="227" t="s">
        <v>280</v>
      </c>
      <c r="D176" s="228">
        <v>1400</v>
      </c>
      <c r="E176" s="228">
        <v>19</v>
      </c>
      <c r="F176" s="228">
        <v>348.15</v>
      </c>
      <c r="G176" s="228">
        <v>343.55</v>
      </c>
      <c r="H176" s="228">
        <v>4.5999999999999996</v>
      </c>
      <c r="I176" s="229">
        <v>1.34E-2</v>
      </c>
      <c r="J176" s="228">
        <v>346.8</v>
      </c>
      <c r="K176" s="228">
        <v>342.65</v>
      </c>
      <c r="L176" s="228">
        <v>4.1500000000000004</v>
      </c>
      <c r="M176" s="229">
        <v>1.21E-2</v>
      </c>
      <c r="N176" s="228">
        <v>348.15</v>
      </c>
      <c r="O176" s="228">
        <v>343.55</v>
      </c>
      <c r="P176" s="228">
        <v>4.5999999999999996</v>
      </c>
      <c r="Q176" s="229">
        <v>1.34E-2</v>
      </c>
      <c r="R176" s="228">
        <v>350.15</v>
      </c>
      <c r="S176" s="228">
        <v>345.75</v>
      </c>
      <c r="T176" s="228">
        <v>4.4000000000000004</v>
      </c>
      <c r="U176" s="229">
        <v>1.2699999999999999E-2</v>
      </c>
      <c r="V176" s="228">
        <v>350.75</v>
      </c>
      <c r="W176" s="228">
        <v>347.1</v>
      </c>
      <c r="X176" s="228">
        <v>3.65</v>
      </c>
      <c r="Y176" s="229">
        <v>1.0500000000000001E-2</v>
      </c>
      <c r="Z176" s="228">
        <v>1.35</v>
      </c>
      <c r="AA176" s="228">
        <v>0.9</v>
      </c>
      <c r="AB176" s="228">
        <v>0.45</v>
      </c>
      <c r="AC176" s="229">
        <v>3.8999999999999998E-3</v>
      </c>
      <c r="AD176" s="228">
        <v>1.35</v>
      </c>
      <c r="AE176" s="228">
        <v>0.9</v>
      </c>
      <c r="AF176" s="228">
        <v>0.45</v>
      </c>
      <c r="AG176" s="229">
        <v>3.8999999999999998E-3</v>
      </c>
      <c r="AH176" s="228">
        <v>3.35</v>
      </c>
      <c r="AI176" s="228">
        <v>3.1</v>
      </c>
      <c r="AJ176" s="228">
        <v>0.25</v>
      </c>
      <c r="AK176" s="229">
        <v>9.7000000000000003E-3</v>
      </c>
      <c r="AL176" s="228">
        <v>3.95</v>
      </c>
      <c r="AM176" s="228">
        <v>4.45</v>
      </c>
      <c r="AN176" s="228">
        <v>-0.5</v>
      </c>
      <c r="AO176" s="229">
        <v>1.14E-2</v>
      </c>
      <c r="AP176" s="228">
        <v>347.51</v>
      </c>
      <c r="AQ176" s="228">
        <v>349.61</v>
      </c>
      <c r="AR176" s="228">
        <v>0</v>
      </c>
      <c r="AS176" s="228">
        <v>304</v>
      </c>
      <c r="AT176" s="228">
        <v>300</v>
      </c>
      <c r="AU176" s="228">
        <v>4</v>
      </c>
      <c r="AV176" s="229">
        <v>1.38E-2</v>
      </c>
      <c r="AW176" s="228">
        <v>266</v>
      </c>
      <c r="AX176" s="228">
        <v>264</v>
      </c>
      <c r="AY176" s="228">
        <v>1</v>
      </c>
      <c r="AZ176" s="229">
        <v>4.7999999999999996E-3</v>
      </c>
      <c r="BA176" s="228">
        <v>36</v>
      </c>
      <c r="BB176" s="228">
        <v>32</v>
      </c>
      <c r="BC176" s="228">
        <v>4</v>
      </c>
      <c r="BD176" s="229">
        <v>0.11600000000000001</v>
      </c>
      <c r="BE176" s="228">
        <v>3</v>
      </c>
      <c r="BF176" s="228">
        <v>4</v>
      </c>
      <c r="BG176" s="228">
        <v>-1</v>
      </c>
      <c r="BH176" s="229">
        <v>-0.2152</v>
      </c>
      <c r="BI176" s="230">
        <v>1045</v>
      </c>
      <c r="BJ176" s="228">
        <v>806</v>
      </c>
      <c r="BK176" s="228">
        <v>239</v>
      </c>
      <c r="BL176" s="229">
        <v>0.29599999999999999</v>
      </c>
      <c r="BM176" s="228">
        <v>537</v>
      </c>
      <c r="BN176" s="228">
        <v>508</v>
      </c>
      <c r="BO176" s="228">
        <v>29</v>
      </c>
      <c r="BP176" s="229">
        <v>5.7599999999999998E-2</v>
      </c>
      <c r="BQ176" s="230">
        <v>1887</v>
      </c>
      <c r="BR176" s="230">
        <v>1615</v>
      </c>
      <c r="BS176" s="228">
        <v>272</v>
      </c>
      <c r="BT176" s="229">
        <v>0.16850000000000001</v>
      </c>
      <c r="BU176" s="230">
        <v>6804459</v>
      </c>
      <c r="BV176" s="230">
        <v>7599128</v>
      </c>
      <c r="BW176" s="230">
        <v>-794669</v>
      </c>
      <c r="BX176" s="229">
        <v>-0.1046</v>
      </c>
      <c r="BY176" s="230">
        <v>2432</v>
      </c>
      <c r="BZ176" s="230">
        <v>2423</v>
      </c>
      <c r="CA176" s="228">
        <v>9</v>
      </c>
      <c r="CB176" s="229">
        <v>3.8E-3</v>
      </c>
      <c r="CC176" s="230">
        <v>2262</v>
      </c>
      <c r="CD176" s="230">
        <v>2259</v>
      </c>
      <c r="CE176" s="228">
        <v>4</v>
      </c>
      <c r="CF176" s="229">
        <v>1.6999999999999999E-3</v>
      </c>
      <c r="CG176" s="228">
        <v>166</v>
      </c>
      <c r="CH176" s="228">
        <v>160</v>
      </c>
      <c r="CI176" s="228">
        <v>6</v>
      </c>
      <c r="CJ176" s="229">
        <v>3.8399999999999997E-2</v>
      </c>
      <c r="CK176" s="228">
        <v>4</v>
      </c>
      <c r="CL176" s="228">
        <v>4</v>
      </c>
      <c r="CM176" s="228">
        <v>-1</v>
      </c>
      <c r="CN176" s="229">
        <v>-0.1648</v>
      </c>
      <c r="CO176" s="228">
        <v>727</v>
      </c>
      <c r="CP176" s="228">
        <v>689</v>
      </c>
      <c r="CQ176" s="228">
        <v>37</v>
      </c>
      <c r="CR176" s="229">
        <v>5.3999999999999999E-2</v>
      </c>
      <c r="CS176" s="228">
        <v>646</v>
      </c>
      <c r="CT176" s="228">
        <v>623</v>
      </c>
      <c r="CU176" s="228">
        <v>23</v>
      </c>
      <c r="CV176" s="229">
        <v>3.7199999999999997E-2</v>
      </c>
      <c r="CW176" s="230">
        <v>3805</v>
      </c>
      <c r="CX176" s="230">
        <v>3735</v>
      </c>
      <c r="CY176" s="228">
        <v>70</v>
      </c>
      <c r="CZ176" s="229">
        <v>1.8599999999999998E-2</v>
      </c>
      <c r="DA176" s="228">
        <v>34.83</v>
      </c>
      <c r="DB176" s="228">
        <v>34.729999999999997</v>
      </c>
      <c r="DC176" s="228">
        <v>0.1</v>
      </c>
      <c r="DD176" s="228">
        <v>0.1</v>
      </c>
      <c r="DE176" s="228">
        <v>42.89</v>
      </c>
      <c r="DF176" s="228">
        <v>42.96</v>
      </c>
      <c r="DG176" s="228">
        <v>-8.06</v>
      </c>
      <c r="DH176" s="228">
        <v>-7.0000000000000007E-2</v>
      </c>
      <c r="DI176" s="228">
        <v>33.44</v>
      </c>
      <c r="DJ176" s="228">
        <v>33.06</v>
      </c>
      <c r="DK176" s="228">
        <v>0.38</v>
      </c>
      <c r="DL176" s="228">
        <v>0.38</v>
      </c>
      <c r="DM176" s="228">
        <v>37.54</v>
      </c>
      <c r="DN176" s="228">
        <v>37.39</v>
      </c>
      <c r="DO176" s="228">
        <v>0.15</v>
      </c>
      <c r="DP176" s="228">
        <v>0.15</v>
      </c>
      <c r="DQ176" s="228">
        <v>0.89</v>
      </c>
      <c r="DR176" s="228">
        <v>0.9</v>
      </c>
      <c r="DS176" s="228">
        <v>-0.01</v>
      </c>
      <c r="DT176" s="229">
        <v>-1.11E-2</v>
      </c>
      <c r="DU176" s="228">
        <v>350</v>
      </c>
      <c r="DV176" s="228">
        <v>330</v>
      </c>
      <c r="DW176" s="228">
        <v>0.51</v>
      </c>
      <c r="DX176" s="228">
        <v>0.63</v>
      </c>
      <c r="DY176" s="228">
        <v>-0.12</v>
      </c>
      <c r="DZ176" s="229">
        <v>-0.1905</v>
      </c>
      <c r="EA176" s="229">
        <v>6.9699999999999998E-2</v>
      </c>
      <c r="EB176" s="230">
        <v>4716600</v>
      </c>
      <c r="EC176" s="229">
        <v>5.7000000000000002E-3</v>
      </c>
      <c r="ED176" s="229">
        <v>6.9699999999999998E-2</v>
      </c>
      <c r="EE176" s="228">
        <v>2.1</v>
      </c>
      <c r="EF176" s="229">
        <v>6.0000000000000001E-3</v>
      </c>
      <c r="EG176" s="230">
        <v>2428239</v>
      </c>
      <c r="EH176" s="230">
        <v>3522096</v>
      </c>
      <c r="EI176" s="229">
        <v>-0.31059999999999999</v>
      </c>
      <c r="EJ176" s="229">
        <v>0.3569</v>
      </c>
      <c r="EK176" s="231">
        <v>1096.9000000000001</v>
      </c>
      <c r="EL176" s="228">
        <v>518.20000000000005</v>
      </c>
      <c r="EM176" s="228">
        <v>304.08</v>
      </c>
      <c r="EN176" s="228">
        <v>50.14</v>
      </c>
      <c r="EO176" s="231">
        <v>1919.17</v>
      </c>
      <c r="EP176" s="231">
        <v>1617.39</v>
      </c>
      <c r="EQ176" s="228">
        <v>301.77999999999997</v>
      </c>
      <c r="ER176" s="229">
        <v>0.18659999999999999</v>
      </c>
      <c r="ES176" s="228">
        <v>722.74</v>
      </c>
      <c r="ET176" s="228">
        <v>613.75</v>
      </c>
      <c r="EU176" s="231">
        <v>2432.86</v>
      </c>
      <c r="EV176" s="231">
        <v>187084550</v>
      </c>
      <c r="EW176" s="231">
        <v>3769.36</v>
      </c>
      <c r="EX176" s="231">
        <v>3661.7</v>
      </c>
      <c r="EY176" s="228">
        <v>107.66</v>
      </c>
      <c r="EZ176" s="229">
        <v>2.9399999999999999E-2</v>
      </c>
      <c r="FA176" s="229">
        <v>0.58409999999999995</v>
      </c>
      <c r="FB176" s="227" t="s">
        <v>555</v>
      </c>
      <c r="FC176">
        <f t="shared" si="3"/>
        <v>0</v>
      </c>
    </row>
    <row r="177" spans="1:159" ht="17.25" thickBot="1" x14ac:dyDescent="0.3">
      <c r="A177" s="226">
        <v>46121</v>
      </c>
      <c r="B177" s="227" t="s">
        <v>193</v>
      </c>
      <c r="C177" s="227" t="s">
        <v>281</v>
      </c>
      <c r="D177" s="228">
        <v>500</v>
      </c>
      <c r="E177" s="228">
        <v>19</v>
      </c>
      <c r="F177" s="231">
        <v>1335.7</v>
      </c>
      <c r="G177" s="231">
        <v>1351</v>
      </c>
      <c r="H177" s="228">
        <v>-15.3</v>
      </c>
      <c r="I177" s="229">
        <v>-1.1299999999999999E-2</v>
      </c>
      <c r="J177" s="231">
        <v>1330</v>
      </c>
      <c r="K177" s="231">
        <v>1347.8</v>
      </c>
      <c r="L177" s="228">
        <v>-17.8</v>
      </c>
      <c r="M177" s="229">
        <v>-1.32E-2</v>
      </c>
      <c r="N177" s="231">
        <v>1335.7</v>
      </c>
      <c r="O177" s="231">
        <v>1351</v>
      </c>
      <c r="P177" s="228">
        <v>-15.3</v>
      </c>
      <c r="Q177" s="229">
        <v>-1.1299999999999999E-2</v>
      </c>
      <c r="R177" s="231">
        <v>1342.4</v>
      </c>
      <c r="S177" s="231">
        <v>1359</v>
      </c>
      <c r="T177" s="228">
        <v>-16.600000000000001</v>
      </c>
      <c r="U177" s="229">
        <v>-1.2200000000000001E-2</v>
      </c>
      <c r="V177" s="231">
        <v>1351.8</v>
      </c>
      <c r="W177" s="231">
        <v>1367.1</v>
      </c>
      <c r="X177" s="228">
        <v>-15.3</v>
      </c>
      <c r="Y177" s="229">
        <v>-1.12E-2</v>
      </c>
      <c r="Z177" s="228">
        <v>5.7</v>
      </c>
      <c r="AA177" s="228">
        <v>3.2</v>
      </c>
      <c r="AB177" s="228">
        <v>2.5</v>
      </c>
      <c r="AC177" s="229">
        <v>4.3E-3</v>
      </c>
      <c r="AD177" s="228">
        <v>5.7</v>
      </c>
      <c r="AE177" s="228">
        <v>3.2</v>
      </c>
      <c r="AF177" s="228">
        <v>2.5</v>
      </c>
      <c r="AG177" s="229">
        <v>4.3E-3</v>
      </c>
      <c r="AH177" s="228">
        <v>12.4</v>
      </c>
      <c r="AI177" s="228">
        <v>11.2</v>
      </c>
      <c r="AJ177" s="228">
        <v>1.2</v>
      </c>
      <c r="AK177" s="229">
        <v>9.2999999999999992E-3</v>
      </c>
      <c r="AL177" s="228">
        <v>21.8</v>
      </c>
      <c r="AM177" s="228">
        <v>19.3</v>
      </c>
      <c r="AN177" s="228">
        <v>2.5</v>
      </c>
      <c r="AO177" s="229">
        <v>1.6400000000000001E-2</v>
      </c>
      <c r="AP177" s="231">
        <v>1340.1</v>
      </c>
      <c r="AQ177" s="231">
        <v>1346.86</v>
      </c>
      <c r="AR177" s="228">
        <v>0</v>
      </c>
      <c r="AS177" s="230">
        <v>1463</v>
      </c>
      <c r="AT177" s="230">
        <v>2824</v>
      </c>
      <c r="AU177" s="230">
        <v>-1361</v>
      </c>
      <c r="AV177" s="229">
        <v>-0.48209999999999997</v>
      </c>
      <c r="AW177" s="230">
        <v>1180</v>
      </c>
      <c r="AX177" s="230">
        <v>2480</v>
      </c>
      <c r="AY177" s="230">
        <v>-1300</v>
      </c>
      <c r="AZ177" s="229">
        <v>-0.52400000000000002</v>
      </c>
      <c r="BA177" s="228">
        <v>246</v>
      </c>
      <c r="BB177" s="228">
        <v>270</v>
      </c>
      <c r="BC177" s="228">
        <v>-24</v>
      </c>
      <c r="BD177" s="229">
        <v>-8.9099999999999999E-2</v>
      </c>
      <c r="BE177" s="228">
        <v>36</v>
      </c>
      <c r="BF177" s="228">
        <v>74</v>
      </c>
      <c r="BG177" s="228">
        <v>-38</v>
      </c>
      <c r="BH177" s="229">
        <v>-0.51319999999999999</v>
      </c>
      <c r="BI177" s="230">
        <v>7863</v>
      </c>
      <c r="BJ177" s="230">
        <v>18894</v>
      </c>
      <c r="BK177" s="230">
        <v>-11030</v>
      </c>
      <c r="BL177" s="229">
        <v>-0.58379999999999999</v>
      </c>
      <c r="BM177" s="230">
        <v>4820</v>
      </c>
      <c r="BN177" s="230">
        <v>7254</v>
      </c>
      <c r="BO177" s="230">
        <v>-2434</v>
      </c>
      <c r="BP177" s="229">
        <v>-0.33550000000000002</v>
      </c>
      <c r="BQ177" s="230">
        <v>14146</v>
      </c>
      <c r="BR177" s="230">
        <v>28971</v>
      </c>
      <c r="BS177" s="230">
        <v>-14825</v>
      </c>
      <c r="BT177" s="229">
        <v>-0.51170000000000004</v>
      </c>
      <c r="BU177" s="230">
        <v>24255909</v>
      </c>
      <c r="BV177" s="230">
        <v>23760879</v>
      </c>
      <c r="BW177" s="230">
        <v>495030</v>
      </c>
      <c r="BX177" s="229">
        <v>2.0799999999999999E-2</v>
      </c>
      <c r="BY177" s="230">
        <v>12494</v>
      </c>
      <c r="BZ177" s="230">
        <v>12273</v>
      </c>
      <c r="CA177" s="228">
        <v>221</v>
      </c>
      <c r="CB177" s="229">
        <v>1.7999999999999999E-2</v>
      </c>
      <c r="CC177" s="230">
        <v>10577</v>
      </c>
      <c r="CD177" s="230">
        <v>10491</v>
      </c>
      <c r="CE177" s="228">
        <v>86</v>
      </c>
      <c r="CF177" s="229">
        <v>8.2000000000000007E-3</v>
      </c>
      <c r="CG177" s="230">
        <v>1717</v>
      </c>
      <c r="CH177" s="230">
        <v>1598</v>
      </c>
      <c r="CI177" s="228">
        <v>119</v>
      </c>
      <c r="CJ177" s="229">
        <v>7.4300000000000005E-2</v>
      </c>
      <c r="CK177" s="228">
        <v>200</v>
      </c>
      <c r="CL177" s="228">
        <v>184</v>
      </c>
      <c r="CM177" s="228">
        <v>17</v>
      </c>
      <c r="CN177" s="229">
        <v>9.01E-2</v>
      </c>
      <c r="CO177" s="230">
        <v>10743</v>
      </c>
      <c r="CP177" s="230">
        <v>10671</v>
      </c>
      <c r="CQ177" s="228">
        <v>72</v>
      </c>
      <c r="CR177" s="229">
        <v>6.7999999999999996E-3</v>
      </c>
      <c r="CS177" s="230">
        <v>4676</v>
      </c>
      <c r="CT177" s="230">
        <v>4629</v>
      </c>
      <c r="CU177" s="228">
        <v>47</v>
      </c>
      <c r="CV177" s="229">
        <v>1.0200000000000001E-2</v>
      </c>
      <c r="CW177" s="230">
        <v>27913</v>
      </c>
      <c r="CX177" s="230">
        <v>27573</v>
      </c>
      <c r="CY177" s="228">
        <v>340</v>
      </c>
      <c r="CZ177" s="229">
        <v>1.23E-2</v>
      </c>
      <c r="DA177" s="228">
        <v>24.67</v>
      </c>
      <c r="DB177" s="228">
        <v>23.89</v>
      </c>
      <c r="DC177" s="228">
        <v>0.78</v>
      </c>
      <c r="DD177" s="228">
        <v>0.78</v>
      </c>
      <c r="DE177" s="228">
        <v>26.22</v>
      </c>
      <c r="DF177" s="228">
        <v>26.23</v>
      </c>
      <c r="DG177" s="228">
        <v>-1.55</v>
      </c>
      <c r="DH177" s="228">
        <v>-0.01</v>
      </c>
      <c r="DI177" s="228">
        <v>24.91</v>
      </c>
      <c r="DJ177" s="228">
        <v>23.62</v>
      </c>
      <c r="DK177" s="228">
        <v>1.29</v>
      </c>
      <c r="DL177" s="228">
        <v>1.29</v>
      </c>
      <c r="DM177" s="228">
        <v>24.29</v>
      </c>
      <c r="DN177" s="228">
        <v>24.57</v>
      </c>
      <c r="DO177" s="228">
        <v>-0.28000000000000003</v>
      </c>
      <c r="DP177" s="228">
        <v>-0.28000000000000003</v>
      </c>
      <c r="DQ177" s="228">
        <v>0.44</v>
      </c>
      <c r="DR177" s="228">
        <v>0.43</v>
      </c>
      <c r="DS177" s="228">
        <v>0.01</v>
      </c>
      <c r="DT177" s="229">
        <v>2.3300000000000001E-2</v>
      </c>
      <c r="DU177" s="231">
        <v>1400</v>
      </c>
      <c r="DV177" s="231">
        <v>1300</v>
      </c>
      <c r="DW177" s="228">
        <v>0.61</v>
      </c>
      <c r="DX177" s="228">
        <v>0.38</v>
      </c>
      <c r="DY177" s="228">
        <v>0.23</v>
      </c>
      <c r="DZ177" s="229">
        <v>0.60529999999999995</v>
      </c>
      <c r="EA177" s="229">
        <v>0.1535</v>
      </c>
      <c r="EB177" s="230">
        <v>13341500</v>
      </c>
      <c r="EC177" s="229">
        <v>5.0000000000000001E-3</v>
      </c>
      <c r="ED177" s="229">
        <v>0.1535</v>
      </c>
      <c r="EE177" s="228">
        <v>6.76</v>
      </c>
      <c r="EF177" s="229">
        <v>5.0000000000000001E-3</v>
      </c>
      <c r="EG177" s="230">
        <v>7995860</v>
      </c>
      <c r="EH177" s="230">
        <v>11593835</v>
      </c>
      <c r="EI177" s="229">
        <v>-0.31030000000000002</v>
      </c>
      <c r="EJ177" s="229">
        <v>0.3296</v>
      </c>
      <c r="EK177" s="231">
        <v>8281.9699999999993</v>
      </c>
      <c r="EL177" s="231">
        <v>4769.8</v>
      </c>
      <c r="EM177" s="231">
        <v>1469.02</v>
      </c>
      <c r="EN177" s="228">
        <v>386.14</v>
      </c>
      <c r="EO177" s="231">
        <v>14520.79</v>
      </c>
      <c r="EP177" s="231">
        <v>29926.94</v>
      </c>
      <c r="EQ177" s="231">
        <v>-15406.14</v>
      </c>
      <c r="ER177" s="229">
        <v>-0.51480000000000004</v>
      </c>
      <c r="ES177" s="231">
        <v>11260.89</v>
      </c>
      <c r="ET177" s="231">
        <v>4696.4399999999996</v>
      </c>
      <c r="EU177" s="231">
        <v>12504.97</v>
      </c>
      <c r="EV177" s="231">
        <v>664381721</v>
      </c>
      <c r="EW177" s="231">
        <v>28462.3</v>
      </c>
      <c r="EX177" s="231">
        <v>28270.85</v>
      </c>
      <c r="EY177" s="228">
        <v>191.45</v>
      </c>
      <c r="EZ177" s="229">
        <v>6.7999999999999996E-3</v>
      </c>
      <c r="FA177" s="229">
        <v>0.3145</v>
      </c>
      <c r="FB177" s="227" t="s">
        <v>566</v>
      </c>
      <c r="FC177">
        <f t="shared" si="3"/>
        <v>0</v>
      </c>
    </row>
    <row r="178" spans="1:159" ht="17.25" thickBot="1" x14ac:dyDescent="0.3">
      <c r="A178" s="226">
        <v>46121</v>
      </c>
      <c r="B178" s="227" t="s">
        <v>215</v>
      </c>
      <c r="C178" s="227" t="s">
        <v>673</v>
      </c>
      <c r="D178" s="228">
        <v>1525</v>
      </c>
      <c r="E178" s="228">
        <v>19</v>
      </c>
      <c r="F178" s="228">
        <v>271.77999999999997</v>
      </c>
      <c r="G178" s="228">
        <v>272.68</v>
      </c>
      <c r="H178" s="228">
        <v>-0.9</v>
      </c>
      <c r="I178" s="229">
        <v>-3.3E-3</v>
      </c>
      <c r="J178" s="228">
        <v>272.83</v>
      </c>
      <c r="K178" s="228">
        <v>274.94</v>
      </c>
      <c r="L178" s="228">
        <v>-2.11</v>
      </c>
      <c r="M178" s="229">
        <v>-7.7000000000000002E-3</v>
      </c>
      <c r="N178" s="228">
        <v>271.77999999999997</v>
      </c>
      <c r="O178" s="228">
        <v>272.68</v>
      </c>
      <c r="P178" s="228">
        <v>-0.9</v>
      </c>
      <c r="Q178" s="229">
        <v>-3.3E-3</v>
      </c>
      <c r="R178" s="228">
        <v>261.52</v>
      </c>
      <c r="S178" s="228">
        <v>262.98</v>
      </c>
      <c r="T178" s="228">
        <v>-1.46</v>
      </c>
      <c r="U178" s="229">
        <v>-5.5999999999999999E-3</v>
      </c>
      <c r="V178" s="228">
        <v>254.8</v>
      </c>
      <c r="W178" s="228">
        <v>256.92</v>
      </c>
      <c r="X178" s="228">
        <v>-2.12</v>
      </c>
      <c r="Y178" s="229">
        <v>-8.3000000000000001E-3</v>
      </c>
      <c r="Z178" s="228">
        <v>-1.05</v>
      </c>
      <c r="AA178" s="228">
        <v>-2.2599999999999998</v>
      </c>
      <c r="AB178" s="228">
        <v>1.21</v>
      </c>
      <c r="AC178" s="229">
        <v>-3.8E-3</v>
      </c>
      <c r="AD178" s="228">
        <v>-1.05</v>
      </c>
      <c r="AE178" s="228">
        <v>-2.2599999999999998</v>
      </c>
      <c r="AF178" s="228">
        <v>1.21</v>
      </c>
      <c r="AG178" s="229">
        <v>-3.8E-3</v>
      </c>
      <c r="AH178" s="228">
        <v>-11.31</v>
      </c>
      <c r="AI178" s="228">
        <v>-11.96</v>
      </c>
      <c r="AJ178" s="228">
        <v>0.65</v>
      </c>
      <c r="AK178" s="229">
        <v>-4.1500000000000002E-2</v>
      </c>
      <c r="AL178" s="228">
        <v>-18.03</v>
      </c>
      <c r="AM178" s="228">
        <v>-18.02</v>
      </c>
      <c r="AN178" s="228">
        <v>-0.01</v>
      </c>
      <c r="AO178" s="229">
        <v>-6.6100000000000006E-2</v>
      </c>
      <c r="AP178" s="228">
        <v>270.39</v>
      </c>
      <c r="AQ178" s="228">
        <v>259.75</v>
      </c>
      <c r="AR178" s="228">
        <v>0</v>
      </c>
      <c r="AS178" s="228">
        <v>251</v>
      </c>
      <c r="AT178" s="228">
        <v>300</v>
      </c>
      <c r="AU178" s="228">
        <v>-50</v>
      </c>
      <c r="AV178" s="229">
        <v>-0.16539999999999999</v>
      </c>
      <c r="AW178" s="228">
        <v>172</v>
      </c>
      <c r="AX178" s="228">
        <v>207</v>
      </c>
      <c r="AY178" s="228">
        <v>-35</v>
      </c>
      <c r="AZ178" s="229">
        <v>-0.16800000000000001</v>
      </c>
      <c r="BA178" s="228">
        <v>72</v>
      </c>
      <c r="BB178" s="228">
        <v>85</v>
      </c>
      <c r="BC178" s="228">
        <v>-13</v>
      </c>
      <c r="BD178" s="229">
        <v>-0.15429999999999999</v>
      </c>
      <c r="BE178" s="228">
        <v>6</v>
      </c>
      <c r="BF178" s="228">
        <v>8</v>
      </c>
      <c r="BG178" s="228">
        <v>-2</v>
      </c>
      <c r="BH178" s="229">
        <v>-0.2147</v>
      </c>
      <c r="BI178" s="228">
        <v>366</v>
      </c>
      <c r="BJ178" s="228">
        <v>499</v>
      </c>
      <c r="BK178" s="228">
        <v>-133</v>
      </c>
      <c r="BL178" s="229">
        <v>-0.2666</v>
      </c>
      <c r="BM178" s="228">
        <v>114</v>
      </c>
      <c r="BN178" s="228">
        <v>191</v>
      </c>
      <c r="BO178" s="228">
        <v>-77</v>
      </c>
      <c r="BP178" s="229">
        <v>-0.40110000000000001</v>
      </c>
      <c r="BQ178" s="228">
        <v>731</v>
      </c>
      <c r="BR178" s="228">
        <v>991</v>
      </c>
      <c r="BS178" s="228">
        <v>-259</v>
      </c>
      <c r="BT178" s="229">
        <v>-0.26190000000000002</v>
      </c>
      <c r="BU178" s="230">
        <v>8401549</v>
      </c>
      <c r="BV178" s="230">
        <v>7593630</v>
      </c>
      <c r="BW178" s="230">
        <v>807919</v>
      </c>
      <c r="BX178" s="229">
        <v>0.10639999999999999</v>
      </c>
      <c r="BY178" s="230">
        <v>1367</v>
      </c>
      <c r="BZ178" s="230">
        <v>1355</v>
      </c>
      <c r="CA178" s="228">
        <v>13</v>
      </c>
      <c r="CB178" s="229">
        <v>9.2999999999999992E-3</v>
      </c>
      <c r="CC178" s="230">
        <v>1199</v>
      </c>
      <c r="CD178" s="230">
        <v>1219</v>
      </c>
      <c r="CE178" s="228">
        <v>-20</v>
      </c>
      <c r="CF178" s="229">
        <v>-1.6500000000000001E-2</v>
      </c>
      <c r="CG178" s="228">
        <v>151</v>
      </c>
      <c r="CH178" s="228">
        <v>122</v>
      </c>
      <c r="CI178" s="228">
        <v>30</v>
      </c>
      <c r="CJ178" s="229">
        <v>0.24229999999999999</v>
      </c>
      <c r="CK178" s="228">
        <v>17</v>
      </c>
      <c r="CL178" s="228">
        <v>13</v>
      </c>
      <c r="CM178" s="228">
        <v>3</v>
      </c>
      <c r="CN178" s="229">
        <v>0.2407</v>
      </c>
      <c r="CO178" s="228">
        <v>410</v>
      </c>
      <c r="CP178" s="228">
        <v>390</v>
      </c>
      <c r="CQ178" s="228">
        <v>20</v>
      </c>
      <c r="CR178" s="229">
        <v>5.2499999999999998E-2</v>
      </c>
      <c r="CS178" s="228">
        <v>293</v>
      </c>
      <c r="CT178" s="228">
        <v>285</v>
      </c>
      <c r="CU178" s="228">
        <v>7</v>
      </c>
      <c r="CV178" s="229">
        <v>2.5999999999999999E-2</v>
      </c>
      <c r="CW178" s="230">
        <v>2070</v>
      </c>
      <c r="CX178" s="230">
        <v>2030</v>
      </c>
      <c r="CY178" s="228">
        <v>40</v>
      </c>
      <c r="CZ178" s="229">
        <v>1.9900000000000001E-2</v>
      </c>
      <c r="DA178" s="228">
        <v>45.42</v>
      </c>
      <c r="DB178" s="228">
        <v>45.5</v>
      </c>
      <c r="DC178" s="228">
        <v>-0.08</v>
      </c>
      <c r="DD178" s="228">
        <v>-0.08</v>
      </c>
      <c r="DE178" s="228">
        <v>58.47</v>
      </c>
      <c r="DF178" s="228">
        <v>58.61</v>
      </c>
      <c r="DG178" s="228">
        <v>-13.05</v>
      </c>
      <c r="DH178" s="228">
        <v>-0.14000000000000001</v>
      </c>
      <c r="DI178" s="228">
        <v>44.78</v>
      </c>
      <c r="DJ178" s="228">
        <v>44.62</v>
      </c>
      <c r="DK178" s="228">
        <v>0.16</v>
      </c>
      <c r="DL178" s="228">
        <v>0.16</v>
      </c>
      <c r="DM178" s="228">
        <v>47.48</v>
      </c>
      <c r="DN178" s="228">
        <v>47.79</v>
      </c>
      <c r="DO178" s="228">
        <v>-0.31</v>
      </c>
      <c r="DP178" s="228">
        <v>-0.31</v>
      </c>
      <c r="DQ178" s="228">
        <v>0.71</v>
      </c>
      <c r="DR178" s="228">
        <v>0.73</v>
      </c>
      <c r="DS178" s="228">
        <v>-0.02</v>
      </c>
      <c r="DT178" s="229">
        <v>-2.7400000000000001E-2</v>
      </c>
      <c r="DU178" s="228">
        <v>300</v>
      </c>
      <c r="DV178" s="228">
        <v>250</v>
      </c>
      <c r="DW178" s="228">
        <v>0.31</v>
      </c>
      <c r="DX178" s="228">
        <v>0.38</v>
      </c>
      <c r="DY178" s="228">
        <v>-7.0000000000000007E-2</v>
      </c>
      <c r="DZ178" s="229">
        <v>-0.1842</v>
      </c>
      <c r="EA178" s="229">
        <v>0.1229</v>
      </c>
      <c r="EB178" s="230">
        <v>4976075</v>
      </c>
      <c r="EC178" s="229">
        <v>-3.78E-2</v>
      </c>
      <c r="ED178" s="229">
        <v>0.1229</v>
      </c>
      <c r="EE178" s="228">
        <v>-10.64</v>
      </c>
      <c r="EF178" s="229">
        <v>-3.9399999999999998E-2</v>
      </c>
      <c r="EG178" s="230">
        <v>1658056</v>
      </c>
      <c r="EH178" s="230">
        <v>2308758</v>
      </c>
      <c r="EI178" s="229">
        <v>-0.28179999999999999</v>
      </c>
      <c r="EJ178" s="229">
        <v>0.19739999999999999</v>
      </c>
      <c r="EK178" s="228">
        <v>398.01</v>
      </c>
      <c r="EL178" s="228">
        <v>114.1</v>
      </c>
      <c r="EM178" s="228">
        <v>246.14</v>
      </c>
      <c r="EN178" s="228">
        <v>50.18</v>
      </c>
      <c r="EO178" s="228">
        <v>758.25</v>
      </c>
      <c r="EP178" s="231">
        <v>1028.99</v>
      </c>
      <c r="EQ178" s="228">
        <v>-270.75</v>
      </c>
      <c r="ER178" s="229">
        <v>-0.2631</v>
      </c>
      <c r="ES178" s="228">
        <v>436.39</v>
      </c>
      <c r="ET178" s="228">
        <v>283.77</v>
      </c>
      <c r="EU178" s="231">
        <v>1360.56</v>
      </c>
      <c r="EV178" s="231">
        <v>84941460</v>
      </c>
      <c r="EW178" s="231">
        <v>2080.7199999999998</v>
      </c>
      <c r="EX178" s="231">
        <v>2042.59</v>
      </c>
      <c r="EY178" s="228">
        <v>38.130000000000003</v>
      </c>
      <c r="EZ178" s="229">
        <v>1.8700000000000001E-2</v>
      </c>
      <c r="FA178" s="229">
        <v>0.89680000000000004</v>
      </c>
      <c r="FB178" s="227" t="s">
        <v>566</v>
      </c>
      <c r="FC178">
        <f t="shared" si="3"/>
        <v>0</v>
      </c>
    </row>
    <row r="179" spans="1:159" ht="17.25" thickBot="1" x14ac:dyDescent="0.3">
      <c r="A179" s="226">
        <v>46121</v>
      </c>
      <c r="B179" s="227" t="s">
        <v>227</v>
      </c>
      <c r="C179" s="227" t="s">
        <v>282</v>
      </c>
      <c r="D179" s="228">
        <v>4700</v>
      </c>
      <c r="E179" s="228">
        <v>19</v>
      </c>
      <c r="F179" s="228">
        <v>166.73</v>
      </c>
      <c r="G179" s="228">
        <v>165.45</v>
      </c>
      <c r="H179" s="228">
        <v>1.28</v>
      </c>
      <c r="I179" s="229">
        <v>7.7000000000000002E-3</v>
      </c>
      <c r="J179" s="228">
        <v>163.35</v>
      </c>
      <c r="K179" s="228">
        <v>164.41</v>
      </c>
      <c r="L179" s="228">
        <v>-1.06</v>
      </c>
      <c r="M179" s="229">
        <v>-6.4000000000000003E-3</v>
      </c>
      <c r="N179" s="228">
        <v>166.73</v>
      </c>
      <c r="O179" s="228">
        <v>165.45</v>
      </c>
      <c r="P179" s="228">
        <v>1.28</v>
      </c>
      <c r="Q179" s="229">
        <v>7.7000000000000002E-3</v>
      </c>
      <c r="R179" s="228">
        <v>167.83</v>
      </c>
      <c r="S179" s="228">
        <v>166.26</v>
      </c>
      <c r="T179" s="228">
        <v>1.57</v>
      </c>
      <c r="U179" s="229">
        <v>9.4000000000000004E-3</v>
      </c>
      <c r="V179" s="228">
        <v>167.1</v>
      </c>
      <c r="W179" s="228">
        <v>168.11</v>
      </c>
      <c r="X179" s="228">
        <v>-1.01</v>
      </c>
      <c r="Y179" s="229">
        <v>-6.0000000000000001E-3</v>
      </c>
      <c r="Z179" s="228">
        <v>3.38</v>
      </c>
      <c r="AA179" s="228">
        <v>1.04</v>
      </c>
      <c r="AB179" s="228">
        <v>2.34</v>
      </c>
      <c r="AC179" s="229">
        <v>2.07E-2</v>
      </c>
      <c r="AD179" s="228">
        <v>3.38</v>
      </c>
      <c r="AE179" s="228">
        <v>1.04</v>
      </c>
      <c r="AF179" s="228">
        <v>2.34</v>
      </c>
      <c r="AG179" s="229">
        <v>2.07E-2</v>
      </c>
      <c r="AH179" s="228">
        <v>4.4800000000000004</v>
      </c>
      <c r="AI179" s="228">
        <v>1.85</v>
      </c>
      <c r="AJ179" s="228">
        <v>2.63</v>
      </c>
      <c r="AK179" s="229">
        <v>2.7400000000000001E-2</v>
      </c>
      <c r="AL179" s="228">
        <v>3.75</v>
      </c>
      <c r="AM179" s="228">
        <v>3.7</v>
      </c>
      <c r="AN179" s="228">
        <v>0.05</v>
      </c>
      <c r="AO179" s="229">
        <v>2.3E-2</v>
      </c>
      <c r="AP179" s="228">
        <v>166.78</v>
      </c>
      <c r="AQ179" s="228">
        <v>168.37</v>
      </c>
      <c r="AR179" s="228">
        <v>0</v>
      </c>
      <c r="AS179" s="228">
        <v>81</v>
      </c>
      <c r="AT179" s="228">
        <v>530</v>
      </c>
      <c r="AU179" s="228">
        <v>-450</v>
      </c>
      <c r="AV179" s="229">
        <v>-0.84809999999999997</v>
      </c>
      <c r="AW179" s="228">
        <v>78</v>
      </c>
      <c r="AX179" s="228">
        <v>473</v>
      </c>
      <c r="AY179" s="228">
        <v>-395</v>
      </c>
      <c r="AZ179" s="229">
        <v>-0.83550000000000002</v>
      </c>
      <c r="BA179" s="228">
        <v>3</v>
      </c>
      <c r="BB179" s="228">
        <v>53</v>
      </c>
      <c r="BC179" s="228">
        <v>-50</v>
      </c>
      <c r="BD179" s="229">
        <v>-0.94979999999999998</v>
      </c>
      <c r="BE179" s="228">
        <v>0</v>
      </c>
      <c r="BF179" s="228">
        <v>4</v>
      </c>
      <c r="BG179" s="228">
        <v>-4</v>
      </c>
      <c r="BH179" s="229">
        <v>-0.98109999999999997</v>
      </c>
      <c r="BI179" s="228">
        <v>28</v>
      </c>
      <c r="BJ179" s="228">
        <v>556</v>
      </c>
      <c r="BK179" s="228">
        <v>-528</v>
      </c>
      <c r="BL179" s="229">
        <v>-0.94979999999999998</v>
      </c>
      <c r="BM179" s="228">
        <v>10</v>
      </c>
      <c r="BN179" s="228">
        <v>251</v>
      </c>
      <c r="BO179" s="228">
        <v>-241</v>
      </c>
      <c r="BP179" s="229">
        <v>-0.96160000000000001</v>
      </c>
      <c r="BQ179" s="228">
        <v>118</v>
      </c>
      <c r="BR179" s="230">
        <v>1338</v>
      </c>
      <c r="BS179" s="230">
        <v>-1219</v>
      </c>
      <c r="BT179" s="229">
        <v>-0.91169999999999995</v>
      </c>
      <c r="BU179" s="230">
        <v>22693008</v>
      </c>
      <c r="BV179" s="230">
        <v>37878756</v>
      </c>
      <c r="BW179" s="230">
        <v>-15185748</v>
      </c>
      <c r="BX179" s="229">
        <v>-0.40089999999999998</v>
      </c>
      <c r="BY179" s="230">
        <v>3470</v>
      </c>
      <c r="BZ179" s="230">
        <v>3531</v>
      </c>
      <c r="CA179" s="228">
        <v>-61</v>
      </c>
      <c r="CB179" s="229">
        <v>-1.7299999999999999E-2</v>
      </c>
      <c r="CC179" s="230">
        <v>2863</v>
      </c>
      <c r="CD179" s="230">
        <v>2923</v>
      </c>
      <c r="CE179" s="228">
        <v>-60</v>
      </c>
      <c r="CF179" s="229">
        <v>-2.0500000000000001E-2</v>
      </c>
      <c r="CG179" s="228">
        <v>601</v>
      </c>
      <c r="CH179" s="228">
        <v>602</v>
      </c>
      <c r="CI179" s="228">
        <v>-1</v>
      </c>
      <c r="CJ179" s="229">
        <v>-1.6999999999999999E-3</v>
      </c>
      <c r="CK179" s="228">
        <v>6</v>
      </c>
      <c r="CL179" s="228">
        <v>6</v>
      </c>
      <c r="CM179" s="228">
        <v>0</v>
      </c>
      <c r="CN179" s="229">
        <v>-1.2800000000000001E-2</v>
      </c>
      <c r="CO179" s="228">
        <v>201</v>
      </c>
      <c r="CP179" s="228">
        <v>215</v>
      </c>
      <c r="CQ179" s="228">
        <v>-15</v>
      </c>
      <c r="CR179" s="229">
        <v>-6.8099999999999994E-2</v>
      </c>
      <c r="CS179" s="228">
        <v>143</v>
      </c>
      <c r="CT179" s="228">
        <v>147</v>
      </c>
      <c r="CU179" s="228">
        <v>-4</v>
      </c>
      <c r="CV179" s="229">
        <v>-2.8199999999999999E-2</v>
      </c>
      <c r="CW179" s="230">
        <v>3814</v>
      </c>
      <c r="CX179" s="230">
        <v>3893</v>
      </c>
      <c r="CY179" s="228">
        <v>-80</v>
      </c>
      <c r="CZ179" s="229">
        <v>-2.0500000000000001E-2</v>
      </c>
      <c r="DA179" s="228">
        <v>33.799999999999997</v>
      </c>
      <c r="DB179" s="228">
        <v>38.75</v>
      </c>
      <c r="DC179" s="228">
        <v>-4.95</v>
      </c>
      <c r="DD179" s="228">
        <v>-4.95</v>
      </c>
      <c r="DE179" s="228">
        <v>45.05</v>
      </c>
      <c r="DF179" s="228">
        <v>45.15</v>
      </c>
      <c r="DG179" s="228">
        <v>-11.25</v>
      </c>
      <c r="DH179" s="228">
        <v>-0.1</v>
      </c>
      <c r="DI179" s="228">
        <v>32.46</v>
      </c>
      <c r="DJ179" s="228">
        <v>38.590000000000003</v>
      </c>
      <c r="DK179" s="228">
        <v>-6.13</v>
      </c>
      <c r="DL179" s="228">
        <v>-6.13</v>
      </c>
      <c r="DM179" s="228">
        <v>37.65</v>
      </c>
      <c r="DN179" s="228">
        <v>39.090000000000003</v>
      </c>
      <c r="DO179" s="228">
        <v>-1.44</v>
      </c>
      <c r="DP179" s="228">
        <v>-1.44</v>
      </c>
      <c r="DQ179" s="228">
        <v>0.71</v>
      </c>
      <c r="DR179" s="228">
        <v>0.68</v>
      </c>
      <c r="DS179" s="228">
        <v>0.03</v>
      </c>
      <c r="DT179" s="229">
        <v>4.41E-2</v>
      </c>
      <c r="DU179" s="228">
        <v>170</v>
      </c>
      <c r="DV179" s="228">
        <v>160</v>
      </c>
      <c r="DW179" s="228">
        <v>0.35</v>
      </c>
      <c r="DX179" s="228">
        <v>0.45</v>
      </c>
      <c r="DY179" s="228">
        <v>-0.1</v>
      </c>
      <c r="DZ179" s="229">
        <v>-0.22220000000000001</v>
      </c>
      <c r="EA179" s="229">
        <v>0.1749</v>
      </c>
      <c r="EB179" s="230">
        <v>36457900</v>
      </c>
      <c r="EC179" s="229">
        <v>6.6E-3</v>
      </c>
      <c r="ED179" s="229">
        <v>0.1749</v>
      </c>
      <c r="EE179" s="228">
        <v>1.59</v>
      </c>
      <c r="EF179" s="229">
        <v>9.4999999999999998E-3</v>
      </c>
      <c r="EG179" s="230">
        <v>8104126</v>
      </c>
      <c r="EH179" s="230">
        <v>18787898</v>
      </c>
      <c r="EI179" s="229">
        <v>-0.56869999999999998</v>
      </c>
      <c r="EJ179" s="229">
        <v>0.35709999999999997</v>
      </c>
      <c r="EK179" s="228">
        <v>29.15</v>
      </c>
      <c r="EL179" s="228">
        <v>9.35</v>
      </c>
      <c r="EM179" s="228">
        <v>80.61</v>
      </c>
      <c r="EN179" s="228">
        <v>88.19</v>
      </c>
      <c r="EO179" s="228">
        <v>119.11</v>
      </c>
      <c r="EP179" s="231">
        <v>1350.2</v>
      </c>
      <c r="EQ179" s="231">
        <v>-1231.0899999999999</v>
      </c>
      <c r="ER179" s="229">
        <v>-0.91180000000000005</v>
      </c>
      <c r="ES179" s="228">
        <v>199.92</v>
      </c>
      <c r="ET179" s="228">
        <v>131.62</v>
      </c>
      <c r="EU179" s="231">
        <v>3473.89</v>
      </c>
      <c r="EV179" s="231">
        <v>216861410</v>
      </c>
      <c r="EW179" s="231">
        <v>3805.43</v>
      </c>
      <c r="EX179" s="231">
        <v>3857.22</v>
      </c>
      <c r="EY179" s="228">
        <v>-51.79</v>
      </c>
      <c r="EZ179" s="229">
        <v>-1.34E-2</v>
      </c>
      <c r="FA179" s="229">
        <v>1.0547</v>
      </c>
      <c r="FB179" s="227" t="s">
        <v>694</v>
      </c>
      <c r="FC179">
        <f t="shared" si="3"/>
        <v>0</v>
      </c>
    </row>
    <row r="180" spans="1:159" ht="17.25" thickBot="1" x14ac:dyDescent="0.3">
      <c r="A180" s="226">
        <v>46121</v>
      </c>
      <c r="B180" s="227" t="s">
        <v>175</v>
      </c>
      <c r="C180" s="227" t="s">
        <v>684</v>
      </c>
      <c r="D180" s="228">
        <v>4300</v>
      </c>
      <c r="E180" s="228">
        <v>19</v>
      </c>
      <c r="F180" s="228">
        <v>153.91</v>
      </c>
      <c r="G180" s="228">
        <v>153.07</v>
      </c>
      <c r="H180" s="228">
        <v>0.84</v>
      </c>
      <c r="I180" s="229">
        <v>5.4999999999999997E-3</v>
      </c>
      <c r="J180" s="228">
        <v>153.55000000000001</v>
      </c>
      <c r="K180" s="228">
        <v>152.69999999999999</v>
      </c>
      <c r="L180" s="228">
        <v>0.85</v>
      </c>
      <c r="M180" s="229">
        <v>5.5999999999999999E-3</v>
      </c>
      <c r="N180" s="228">
        <v>153.91</v>
      </c>
      <c r="O180" s="228">
        <v>153.07</v>
      </c>
      <c r="P180" s="228">
        <v>0.84</v>
      </c>
      <c r="Q180" s="229">
        <v>5.4999999999999997E-3</v>
      </c>
      <c r="R180" s="228">
        <v>153.65</v>
      </c>
      <c r="S180" s="228">
        <v>153.76</v>
      </c>
      <c r="T180" s="228">
        <v>-0.11</v>
      </c>
      <c r="U180" s="229">
        <v>-6.9999999999999999E-4</v>
      </c>
      <c r="V180" s="228">
        <v>153.80000000000001</v>
      </c>
      <c r="W180" s="228">
        <v>153.80000000000001</v>
      </c>
      <c r="X180" s="228">
        <v>0</v>
      </c>
      <c r="Y180" s="229">
        <v>0</v>
      </c>
      <c r="Z180" s="228">
        <v>0.36</v>
      </c>
      <c r="AA180" s="228">
        <v>0.37</v>
      </c>
      <c r="AB180" s="228">
        <v>-0.01</v>
      </c>
      <c r="AC180" s="229">
        <v>2.3E-3</v>
      </c>
      <c r="AD180" s="228">
        <v>0.36</v>
      </c>
      <c r="AE180" s="228">
        <v>0.37</v>
      </c>
      <c r="AF180" s="228">
        <v>-0.01</v>
      </c>
      <c r="AG180" s="229">
        <v>2.3E-3</v>
      </c>
      <c r="AH180" s="228">
        <v>0.1</v>
      </c>
      <c r="AI180" s="228">
        <v>1.06</v>
      </c>
      <c r="AJ180" s="228">
        <v>-0.96</v>
      </c>
      <c r="AK180" s="229">
        <v>6.9999999999999999E-4</v>
      </c>
      <c r="AL180" s="228">
        <v>0.25</v>
      </c>
      <c r="AM180" s="228">
        <v>1.1000000000000001</v>
      </c>
      <c r="AN180" s="228">
        <v>-0.85</v>
      </c>
      <c r="AO180" s="229">
        <v>1.6000000000000001E-3</v>
      </c>
      <c r="AP180" s="228">
        <v>153.37</v>
      </c>
      <c r="AQ180" s="228">
        <v>153.19</v>
      </c>
      <c r="AR180" s="228">
        <v>0</v>
      </c>
      <c r="AS180" s="228">
        <v>19</v>
      </c>
      <c r="AT180" s="228">
        <v>129</v>
      </c>
      <c r="AU180" s="228">
        <v>-110</v>
      </c>
      <c r="AV180" s="229">
        <v>-0.85619999999999996</v>
      </c>
      <c r="AW180" s="228">
        <v>17</v>
      </c>
      <c r="AX180" s="228">
        <v>126</v>
      </c>
      <c r="AY180" s="228">
        <v>-109</v>
      </c>
      <c r="AZ180" s="229">
        <v>-0.86450000000000005</v>
      </c>
      <c r="BA180" s="228">
        <v>1</v>
      </c>
      <c r="BB180" s="228">
        <v>2</v>
      </c>
      <c r="BC180" s="228">
        <v>-1</v>
      </c>
      <c r="BD180" s="229">
        <v>-0.34379999999999999</v>
      </c>
      <c r="BE180" s="228">
        <v>0</v>
      </c>
      <c r="BF180" s="228">
        <v>0</v>
      </c>
      <c r="BG180" s="228">
        <v>0</v>
      </c>
      <c r="BH180" s="229">
        <v>-1</v>
      </c>
      <c r="BI180" s="228">
        <v>11</v>
      </c>
      <c r="BJ180" s="228">
        <v>67</v>
      </c>
      <c r="BK180" s="228">
        <v>-56</v>
      </c>
      <c r="BL180" s="229">
        <v>-0.83069999999999999</v>
      </c>
      <c r="BM180" s="228">
        <v>7</v>
      </c>
      <c r="BN180" s="228">
        <v>58</v>
      </c>
      <c r="BO180" s="228">
        <v>-50</v>
      </c>
      <c r="BP180" s="229">
        <v>-0.878</v>
      </c>
      <c r="BQ180" s="228">
        <v>37</v>
      </c>
      <c r="BR180" s="228">
        <v>254</v>
      </c>
      <c r="BS180" s="228">
        <v>-217</v>
      </c>
      <c r="BT180" s="229">
        <v>-0.85440000000000005</v>
      </c>
      <c r="BU180" s="230">
        <v>10707020</v>
      </c>
      <c r="BV180" s="230">
        <v>22879444</v>
      </c>
      <c r="BW180" s="230">
        <v>-12172424</v>
      </c>
      <c r="BX180" s="229">
        <v>-0.53200000000000003</v>
      </c>
      <c r="BY180" s="230">
        <v>1645</v>
      </c>
      <c r="BZ180" s="230">
        <v>1661</v>
      </c>
      <c r="CA180" s="228">
        <v>-17</v>
      </c>
      <c r="CB180" s="229">
        <v>-0.01</v>
      </c>
      <c r="CC180" s="230">
        <v>1578</v>
      </c>
      <c r="CD180" s="230">
        <v>1593</v>
      </c>
      <c r="CE180" s="228">
        <v>-15</v>
      </c>
      <c r="CF180" s="229">
        <v>-9.5999999999999992E-3</v>
      </c>
      <c r="CG180" s="228">
        <v>62</v>
      </c>
      <c r="CH180" s="228">
        <v>64</v>
      </c>
      <c r="CI180" s="228">
        <v>-1</v>
      </c>
      <c r="CJ180" s="229">
        <v>-2.18E-2</v>
      </c>
      <c r="CK180" s="228">
        <v>4</v>
      </c>
      <c r="CL180" s="228">
        <v>4</v>
      </c>
      <c r="CM180" s="228">
        <v>0</v>
      </c>
      <c r="CN180" s="229">
        <v>0</v>
      </c>
      <c r="CO180" s="228">
        <v>306</v>
      </c>
      <c r="CP180" s="228">
        <v>314</v>
      </c>
      <c r="CQ180" s="228">
        <v>-8</v>
      </c>
      <c r="CR180" s="229">
        <v>-2.47E-2</v>
      </c>
      <c r="CS180" s="228">
        <v>320</v>
      </c>
      <c r="CT180" s="228">
        <v>324</v>
      </c>
      <c r="CU180" s="228">
        <v>-4</v>
      </c>
      <c r="CV180" s="229">
        <v>-1.21E-2</v>
      </c>
      <c r="CW180" s="230">
        <v>2271</v>
      </c>
      <c r="CX180" s="230">
        <v>2299</v>
      </c>
      <c r="CY180" s="228">
        <v>-28</v>
      </c>
      <c r="CZ180" s="229">
        <v>-1.23E-2</v>
      </c>
      <c r="DA180" s="228">
        <v>28.01</v>
      </c>
      <c r="DB180" s="228">
        <v>30.54</v>
      </c>
      <c r="DC180" s="228">
        <v>-2.5299999999999998</v>
      </c>
      <c r="DD180" s="228">
        <v>-2.5299999999999998</v>
      </c>
      <c r="DE180" s="228">
        <v>53.98</v>
      </c>
      <c r="DF180" s="228">
        <v>54.11</v>
      </c>
      <c r="DG180" s="228">
        <v>-25.97</v>
      </c>
      <c r="DH180" s="228">
        <v>-0.13</v>
      </c>
      <c r="DI180" s="228">
        <v>28.83</v>
      </c>
      <c r="DJ180" s="228">
        <v>31.08</v>
      </c>
      <c r="DK180" s="228">
        <v>-2.25</v>
      </c>
      <c r="DL180" s="228">
        <v>-2.25</v>
      </c>
      <c r="DM180" s="228">
        <v>26.69</v>
      </c>
      <c r="DN180" s="228">
        <v>29.9</v>
      </c>
      <c r="DO180" s="228">
        <v>-3.21</v>
      </c>
      <c r="DP180" s="228">
        <v>-3.21</v>
      </c>
      <c r="DQ180" s="228">
        <v>1.05</v>
      </c>
      <c r="DR180" s="228">
        <v>1.03</v>
      </c>
      <c r="DS180" s="228">
        <v>0.02</v>
      </c>
      <c r="DT180" s="229">
        <v>1.9400000000000001E-2</v>
      </c>
      <c r="DU180" s="228">
        <v>150</v>
      </c>
      <c r="DV180" s="228">
        <v>140</v>
      </c>
      <c r="DW180" s="228">
        <v>0.62</v>
      </c>
      <c r="DX180" s="228">
        <v>0.86</v>
      </c>
      <c r="DY180" s="228">
        <v>-0.24</v>
      </c>
      <c r="DZ180" s="229">
        <v>-0.27910000000000001</v>
      </c>
      <c r="EA180" s="229">
        <v>4.0599999999999997E-2</v>
      </c>
      <c r="EB180" s="230">
        <v>4433300</v>
      </c>
      <c r="EC180" s="229">
        <v>-1.6999999999999999E-3</v>
      </c>
      <c r="ED180" s="229">
        <v>4.0599999999999997E-2</v>
      </c>
      <c r="EE180" s="228">
        <v>-0.18</v>
      </c>
      <c r="EF180" s="229">
        <v>-1.1999999999999999E-3</v>
      </c>
      <c r="EG180" s="230">
        <v>4916434</v>
      </c>
      <c r="EH180" s="230">
        <v>11776908</v>
      </c>
      <c r="EI180" s="229">
        <v>-0.58250000000000002</v>
      </c>
      <c r="EJ180" s="229">
        <v>0.4592</v>
      </c>
      <c r="EK180" s="228">
        <v>11.73</v>
      </c>
      <c r="EL180" s="228">
        <v>6.75</v>
      </c>
      <c r="EM180" s="228">
        <v>18.46</v>
      </c>
      <c r="EN180" s="228">
        <v>18.809999999999999</v>
      </c>
      <c r="EO180" s="228">
        <v>36.94</v>
      </c>
      <c r="EP180" s="228">
        <v>248.62</v>
      </c>
      <c r="EQ180" s="228">
        <v>-211.67</v>
      </c>
      <c r="ER180" s="229">
        <v>-0.85140000000000005</v>
      </c>
      <c r="ES180" s="228">
        <v>309.82</v>
      </c>
      <c r="ET180" s="228">
        <v>293.20999999999998</v>
      </c>
      <c r="EU180" s="231">
        <v>1644.5</v>
      </c>
      <c r="EV180" s="231">
        <v>122372064</v>
      </c>
      <c r="EW180" s="231">
        <v>2247.5300000000002</v>
      </c>
      <c r="EX180" s="231">
        <v>2267.06</v>
      </c>
      <c r="EY180" s="228">
        <v>-19.53</v>
      </c>
      <c r="EZ180" s="229">
        <v>-8.6E-3</v>
      </c>
      <c r="FA180" s="229">
        <v>1.2057</v>
      </c>
      <c r="FB180" s="227" t="s">
        <v>694</v>
      </c>
      <c r="FC180">
        <f t="shared" si="3"/>
        <v>0</v>
      </c>
    </row>
    <row r="181" spans="1:159" ht="17.25" thickBot="1" x14ac:dyDescent="0.3">
      <c r="A181" s="226">
        <v>46121</v>
      </c>
      <c r="B181" s="227" t="s">
        <v>175</v>
      </c>
      <c r="C181" s="227" t="s">
        <v>536</v>
      </c>
      <c r="D181" s="228">
        <v>800</v>
      </c>
      <c r="E181" s="228">
        <v>19</v>
      </c>
      <c r="F181" s="228">
        <v>666.5</v>
      </c>
      <c r="G181" s="228">
        <v>667.9</v>
      </c>
      <c r="H181" s="228">
        <v>-1.4</v>
      </c>
      <c r="I181" s="229">
        <v>-2.0999999999999999E-3</v>
      </c>
      <c r="J181" s="228">
        <v>668.9</v>
      </c>
      <c r="K181" s="228">
        <v>671.25</v>
      </c>
      <c r="L181" s="228">
        <v>-2.35</v>
      </c>
      <c r="M181" s="229">
        <v>-3.5000000000000001E-3</v>
      </c>
      <c r="N181" s="228">
        <v>666.5</v>
      </c>
      <c r="O181" s="228">
        <v>667.9</v>
      </c>
      <c r="P181" s="228">
        <v>-1.4</v>
      </c>
      <c r="Q181" s="229">
        <v>-2.0999999999999999E-3</v>
      </c>
      <c r="R181" s="228">
        <v>650.85</v>
      </c>
      <c r="S181" s="228">
        <v>653.15</v>
      </c>
      <c r="T181" s="228">
        <v>-2.2999999999999998</v>
      </c>
      <c r="U181" s="229">
        <v>-3.5000000000000001E-3</v>
      </c>
      <c r="V181" s="228">
        <v>640.45000000000005</v>
      </c>
      <c r="W181" s="228">
        <v>642.9</v>
      </c>
      <c r="X181" s="228">
        <v>-2.4500000000000002</v>
      </c>
      <c r="Y181" s="229">
        <v>-3.8E-3</v>
      </c>
      <c r="Z181" s="228">
        <v>-2.4</v>
      </c>
      <c r="AA181" s="228">
        <v>-3.35</v>
      </c>
      <c r="AB181" s="228">
        <v>0.95</v>
      </c>
      <c r="AC181" s="229">
        <v>-3.5999999999999999E-3</v>
      </c>
      <c r="AD181" s="228">
        <v>-2.4</v>
      </c>
      <c r="AE181" s="228">
        <v>-3.35</v>
      </c>
      <c r="AF181" s="228">
        <v>0.95</v>
      </c>
      <c r="AG181" s="229">
        <v>-3.5999999999999999E-3</v>
      </c>
      <c r="AH181" s="228">
        <v>-18.05</v>
      </c>
      <c r="AI181" s="228">
        <v>-18.100000000000001</v>
      </c>
      <c r="AJ181" s="228">
        <v>0.05</v>
      </c>
      <c r="AK181" s="229">
        <v>-2.7E-2</v>
      </c>
      <c r="AL181" s="228">
        <v>-28.45</v>
      </c>
      <c r="AM181" s="228">
        <v>-28.35</v>
      </c>
      <c r="AN181" s="228">
        <v>-0.1</v>
      </c>
      <c r="AO181" s="229">
        <v>-4.2500000000000003E-2</v>
      </c>
      <c r="AP181" s="228">
        <v>665.78</v>
      </c>
      <c r="AQ181" s="228">
        <v>649.69000000000005</v>
      </c>
      <c r="AR181" s="228">
        <v>0</v>
      </c>
      <c r="AS181" s="228">
        <v>208</v>
      </c>
      <c r="AT181" s="228">
        <v>384</v>
      </c>
      <c r="AU181" s="228">
        <v>-175</v>
      </c>
      <c r="AV181" s="229">
        <v>-0.45689999999999997</v>
      </c>
      <c r="AW181" s="228">
        <v>146</v>
      </c>
      <c r="AX181" s="228">
        <v>317</v>
      </c>
      <c r="AY181" s="228">
        <v>-172</v>
      </c>
      <c r="AZ181" s="229">
        <v>-0.5413</v>
      </c>
      <c r="BA181" s="228">
        <v>47</v>
      </c>
      <c r="BB181" s="228">
        <v>49</v>
      </c>
      <c r="BC181" s="228">
        <v>-2</v>
      </c>
      <c r="BD181" s="229">
        <v>-3.9399999999999998E-2</v>
      </c>
      <c r="BE181" s="228">
        <v>16</v>
      </c>
      <c r="BF181" s="228">
        <v>18</v>
      </c>
      <c r="BG181" s="228">
        <v>-2</v>
      </c>
      <c r="BH181" s="229">
        <v>-9.3100000000000002E-2</v>
      </c>
      <c r="BI181" s="228">
        <v>238</v>
      </c>
      <c r="BJ181" s="228">
        <v>582</v>
      </c>
      <c r="BK181" s="228">
        <v>-344</v>
      </c>
      <c r="BL181" s="229">
        <v>-0.59050000000000002</v>
      </c>
      <c r="BM181" s="228">
        <v>148</v>
      </c>
      <c r="BN181" s="228">
        <v>264</v>
      </c>
      <c r="BO181" s="228">
        <v>-117</v>
      </c>
      <c r="BP181" s="229">
        <v>-0.44209999999999999</v>
      </c>
      <c r="BQ181" s="228">
        <v>594</v>
      </c>
      <c r="BR181" s="230">
        <v>1230</v>
      </c>
      <c r="BS181" s="228">
        <v>-636</v>
      </c>
      <c r="BT181" s="229">
        <v>-0.51690000000000003</v>
      </c>
      <c r="BU181" s="230">
        <v>968249</v>
      </c>
      <c r="BV181" s="230">
        <v>1796242</v>
      </c>
      <c r="BW181" s="230">
        <v>-827993</v>
      </c>
      <c r="BX181" s="229">
        <v>-0.46100000000000002</v>
      </c>
      <c r="BY181" s="230">
        <v>1662</v>
      </c>
      <c r="BZ181" s="230">
        <v>1649</v>
      </c>
      <c r="CA181" s="228">
        <v>13</v>
      </c>
      <c r="CB181" s="229">
        <v>7.7999999999999996E-3</v>
      </c>
      <c r="CC181" s="230">
        <v>1532</v>
      </c>
      <c r="CD181" s="230">
        <v>1537</v>
      </c>
      <c r="CE181" s="228">
        <v>-6</v>
      </c>
      <c r="CF181" s="229">
        <v>-3.7000000000000002E-3</v>
      </c>
      <c r="CG181" s="228">
        <v>98</v>
      </c>
      <c r="CH181" s="228">
        <v>89</v>
      </c>
      <c r="CI181" s="228">
        <v>8</v>
      </c>
      <c r="CJ181" s="229">
        <v>9.5100000000000004E-2</v>
      </c>
      <c r="CK181" s="228">
        <v>33</v>
      </c>
      <c r="CL181" s="228">
        <v>23</v>
      </c>
      <c r="CM181" s="228">
        <v>10</v>
      </c>
      <c r="CN181" s="229">
        <v>0.44369999999999998</v>
      </c>
      <c r="CO181" s="228">
        <v>403</v>
      </c>
      <c r="CP181" s="228">
        <v>377</v>
      </c>
      <c r="CQ181" s="228">
        <v>27</v>
      </c>
      <c r="CR181" s="229">
        <v>7.0300000000000001E-2</v>
      </c>
      <c r="CS181" s="228">
        <v>305</v>
      </c>
      <c r="CT181" s="228">
        <v>317</v>
      </c>
      <c r="CU181" s="228">
        <v>-12</v>
      </c>
      <c r="CV181" s="229">
        <v>-3.7499999999999999E-2</v>
      </c>
      <c r="CW181" s="230">
        <v>2370</v>
      </c>
      <c r="CX181" s="230">
        <v>2343</v>
      </c>
      <c r="CY181" s="228">
        <v>27</v>
      </c>
      <c r="CZ181" s="229">
        <v>1.17E-2</v>
      </c>
      <c r="DA181" s="228">
        <v>36.83</v>
      </c>
      <c r="DB181" s="228">
        <v>36.06</v>
      </c>
      <c r="DC181" s="228">
        <v>0.77</v>
      </c>
      <c r="DD181" s="228">
        <v>0.77</v>
      </c>
      <c r="DE181" s="228">
        <v>32.35</v>
      </c>
      <c r="DF181" s="228">
        <v>32.42</v>
      </c>
      <c r="DG181" s="228">
        <v>4.4800000000000004</v>
      </c>
      <c r="DH181" s="228">
        <v>-7.0000000000000007E-2</v>
      </c>
      <c r="DI181" s="228">
        <v>35.549999999999997</v>
      </c>
      <c r="DJ181" s="228">
        <v>35.17</v>
      </c>
      <c r="DK181" s="228">
        <v>0.38</v>
      </c>
      <c r="DL181" s="228">
        <v>0.38</v>
      </c>
      <c r="DM181" s="228">
        <v>38.9</v>
      </c>
      <c r="DN181" s="228">
        <v>38.03</v>
      </c>
      <c r="DO181" s="228">
        <v>0.87</v>
      </c>
      <c r="DP181" s="228">
        <v>0.87</v>
      </c>
      <c r="DQ181" s="228">
        <v>0.76</v>
      </c>
      <c r="DR181" s="228">
        <v>0.84</v>
      </c>
      <c r="DS181" s="228">
        <v>-0.08</v>
      </c>
      <c r="DT181" s="229">
        <v>-9.5200000000000007E-2</v>
      </c>
      <c r="DU181" s="228">
        <v>800</v>
      </c>
      <c r="DV181" s="228">
        <v>700</v>
      </c>
      <c r="DW181" s="228">
        <v>0.62</v>
      </c>
      <c r="DX181" s="228">
        <v>0.45</v>
      </c>
      <c r="DY181" s="228">
        <v>0.17</v>
      </c>
      <c r="DZ181" s="229">
        <v>0.37780000000000002</v>
      </c>
      <c r="EA181" s="229">
        <v>7.85E-2</v>
      </c>
      <c r="EB181" s="230">
        <v>1678400</v>
      </c>
      <c r="EC181" s="229">
        <v>-2.35E-2</v>
      </c>
      <c r="ED181" s="229">
        <v>7.85E-2</v>
      </c>
      <c r="EE181" s="228">
        <v>-16.09</v>
      </c>
      <c r="EF181" s="229">
        <v>-2.4199999999999999E-2</v>
      </c>
      <c r="EG181" s="230">
        <v>438572</v>
      </c>
      <c r="EH181" s="230">
        <v>757978</v>
      </c>
      <c r="EI181" s="229">
        <v>-0.4214</v>
      </c>
      <c r="EJ181" s="229">
        <v>0.45300000000000001</v>
      </c>
      <c r="EK181" s="228">
        <v>259.25</v>
      </c>
      <c r="EL181" s="228">
        <v>141.81</v>
      </c>
      <c r="EM181" s="228">
        <v>206.46</v>
      </c>
      <c r="EN181" s="228">
        <v>47.63</v>
      </c>
      <c r="EO181" s="228">
        <v>607.52</v>
      </c>
      <c r="EP181" s="231">
        <v>1262.3599999999999</v>
      </c>
      <c r="EQ181" s="228">
        <v>-654.83000000000004</v>
      </c>
      <c r="ER181" s="229">
        <v>-0.51870000000000005</v>
      </c>
      <c r="ES181" s="228">
        <v>430.72</v>
      </c>
      <c r="ET181" s="228">
        <v>302.11</v>
      </c>
      <c r="EU181" s="231">
        <v>1658.36</v>
      </c>
      <c r="EV181" s="231">
        <v>44841373</v>
      </c>
      <c r="EW181" s="231">
        <v>2391.19</v>
      </c>
      <c r="EX181" s="231">
        <v>2361.7600000000002</v>
      </c>
      <c r="EY181" s="228">
        <v>29.43</v>
      </c>
      <c r="EZ181" s="229">
        <v>1.2500000000000001E-2</v>
      </c>
      <c r="FA181" s="229">
        <v>0.79300000000000004</v>
      </c>
      <c r="FB181" s="227" t="s">
        <v>566</v>
      </c>
      <c r="FC181">
        <f t="shared" si="3"/>
        <v>0</v>
      </c>
    </row>
    <row r="182" spans="1:159" ht="17.25" thickBot="1" x14ac:dyDescent="0.3">
      <c r="A182" s="226">
        <v>46121</v>
      </c>
      <c r="B182" s="227" t="s">
        <v>175</v>
      </c>
      <c r="C182" s="227" t="s">
        <v>462</v>
      </c>
      <c r="D182" s="228">
        <v>375</v>
      </c>
      <c r="E182" s="228">
        <v>19</v>
      </c>
      <c r="F182" s="231">
        <v>1911.9</v>
      </c>
      <c r="G182" s="231">
        <v>1917.6</v>
      </c>
      <c r="H182" s="228">
        <v>-5.7</v>
      </c>
      <c r="I182" s="229">
        <v>-3.0000000000000001E-3</v>
      </c>
      <c r="J182" s="231">
        <v>1904</v>
      </c>
      <c r="K182" s="231">
        <v>1907.6</v>
      </c>
      <c r="L182" s="228">
        <v>-3.6</v>
      </c>
      <c r="M182" s="229">
        <v>-1.9E-3</v>
      </c>
      <c r="N182" s="231">
        <v>1911.9</v>
      </c>
      <c r="O182" s="231">
        <v>1917.6</v>
      </c>
      <c r="P182" s="228">
        <v>-5.7</v>
      </c>
      <c r="Q182" s="229">
        <v>-3.0000000000000001E-3</v>
      </c>
      <c r="R182" s="231">
        <v>1924.9</v>
      </c>
      <c r="S182" s="231">
        <v>1929.5</v>
      </c>
      <c r="T182" s="228">
        <v>-4.5999999999999996</v>
      </c>
      <c r="U182" s="229">
        <v>-2.3999999999999998E-3</v>
      </c>
      <c r="V182" s="231">
        <v>1920.1</v>
      </c>
      <c r="W182" s="231">
        <v>1939</v>
      </c>
      <c r="X182" s="228">
        <v>-18.899999999999999</v>
      </c>
      <c r="Y182" s="229">
        <v>-9.7000000000000003E-3</v>
      </c>
      <c r="Z182" s="228">
        <v>7.9</v>
      </c>
      <c r="AA182" s="228">
        <v>10</v>
      </c>
      <c r="AB182" s="228">
        <v>-2.1</v>
      </c>
      <c r="AC182" s="229">
        <v>4.1000000000000003E-3</v>
      </c>
      <c r="AD182" s="228">
        <v>7.9</v>
      </c>
      <c r="AE182" s="228">
        <v>10</v>
      </c>
      <c r="AF182" s="228">
        <v>-2.1</v>
      </c>
      <c r="AG182" s="229">
        <v>4.1000000000000003E-3</v>
      </c>
      <c r="AH182" s="228">
        <v>20.9</v>
      </c>
      <c r="AI182" s="228">
        <v>21.9</v>
      </c>
      <c r="AJ182" s="228">
        <v>-1</v>
      </c>
      <c r="AK182" s="229">
        <v>1.0999999999999999E-2</v>
      </c>
      <c r="AL182" s="228">
        <v>16.100000000000001</v>
      </c>
      <c r="AM182" s="228">
        <v>31.4</v>
      </c>
      <c r="AN182" s="228">
        <v>-15.3</v>
      </c>
      <c r="AO182" s="229">
        <v>8.5000000000000006E-3</v>
      </c>
      <c r="AP182" s="231">
        <v>1916.19</v>
      </c>
      <c r="AQ182" s="231">
        <v>1929.87</v>
      </c>
      <c r="AR182" s="228">
        <v>0</v>
      </c>
      <c r="AS182" s="228">
        <v>157</v>
      </c>
      <c r="AT182" s="228">
        <v>278</v>
      </c>
      <c r="AU182" s="228">
        <v>-121</v>
      </c>
      <c r="AV182" s="229">
        <v>-0.43490000000000001</v>
      </c>
      <c r="AW182" s="228">
        <v>148</v>
      </c>
      <c r="AX182" s="228">
        <v>264</v>
      </c>
      <c r="AY182" s="228">
        <v>-116</v>
      </c>
      <c r="AZ182" s="229">
        <v>-0.44019999999999998</v>
      </c>
      <c r="BA182" s="228">
        <v>9</v>
      </c>
      <c r="BB182" s="228">
        <v>12</v>
      </c>
      <c r="BC182" s="228">
        <v>-3</v>
      </c>
      <c r="BD182" s="229">
        <v>-0.25290000000000001</v>
      </c>
      <c r="BE182" s="228">
        <v>1</v>
      </c>
      <c r="BF182" s="228">
        <v>2</v>
      </c>
      <c r="BG182" s="228">
        <v>-2</v>
      </c>
      <c r="BH182" s="229">
        <v>-0.78790000000000004</v>
      </c>
      <c r="BI182" s="228">
        <v>176</v>
      </c>
      <c r="BJ182" s="228">
        <v>256</v>
      </c>
      <c r="BK182" s="228">
        <v>-80</v>
      </c>
      <c r="BL182" s="229">
        <v>-0.31269999999999998</v>
      </c>
      <c r="BM182" s="228">
        <v>147</v>
      </c>
      <c r="BN182" s="228">
        <v>260</v>
      </c>
      <c r="BO182" s="228">
        <v>-113</v>
      </c>
      <c r="BP182" s="229">
        <v>-0.4345</v>
      </c>
      <c r="BQ182" s="228">
        <v>480</v>
      </c>
      <c r="BR182" s="228">
        <v>793</v>
      </c>
      <c r="BS182" s="228">
        <v>-314</v>
      </c>
      <c r="BT182" s="229">
        <v>-0.39539999999999997</v>
      </c>
      <c r="BU182" s="230">
        <v>1352490</v>
      </c>
      <c r="BV182" s="230">
        <v>1121085</v>
      </c>
      <c r="BW182" s="230">
        <v>231405</v>
      </c>
      <c r="BX182" s="229">
        <v>0.2064</v>
      </c>
      <c r="BY182" s="230">
        <v>2049</v>
      </c>
      <c r="BZ182" s="230">
        <v>2066</v>
      </c>
      <c r="CA182" s="228">
        <v>-17</v>
      </c>
      <c r="CB182" s="229">
        <v>-8.3000000000000001E-3</v>
      </c>
      <c r="CC182" s="230">
        <v>1999</v>
      </c>
      <c r="CD182" s="230">
        <v>2020</v>
      </c>
      <c r="CE182" s="228">
        <v>-21</v>
      </c>
      <c r="CF182" s="229">
        <v>-1.0200000000000001E-2</v>
      </c>
      <c r="CG182" s="228">
        <v>42</v>
      </c>
      <c r="CH182" s="228">
        <v>38</v>
      </c>
      <c r="CI182" s="228">
        <v>3</v>
      </c>
      <c r="CJ182" s="229">
        <v>8.2100000000000006E-2</v>
      </c>
      <c r="CK182" s="228">
        <v>8</v>
      </c>
      <c r="CL182" s="228">
        <v>8</v>
      </c>
      <c r="CM182" s="228">
        <v>0</v>
      </c>
      <c r="CN182" s="229">
        <v>2.8000000000000001E-2</v>
      </c>
      <c r="CO182" s="228">
        <v>153</v>
      </c>
      <c r="CP182" s="228">
        <v>131</v>
      </c>
      <c r="CQ182" s="228">
        <v>22</v>
      </c>
      <c r="CR182" s="229">
        <v>0.1636</v>
      </c>
      <c r="CS182" s="228">
        <v>230</v>
      </c>
      <c r="CT182" s="228">
        <v>233</v>
      </c>
      <c r="CU182" s="228">
        <v>-3</v>
      </c>
      <c r="CV182" s="229">
        <v>-1.0800000000000001E-2</v>
      </c>
      <c r="CW182" s="230">
        <v>2432</v>
      </c>
      <c r="CX182" s="230">
        <v>2430</v>
      </c>
      <c r="CY182" s="228">
        <v>2</v>
      </c>
      <c r="CZ182" s="229">
        <v>6.9999999999999999E-4</v>
      </c>
      <c r="DA182" s="228">
        <v>27.83</v>
      </c>
      <c r="DB182" s="228">
        <v>27.49</v>
      </c>
      <c r="DC182" s="228">
        <v>0.34</v>
      </c>
      <c r="DD182" s="228">
        <v>0.34</v>
      </c>
      <c r="DE182" s="228">
        <v>25.9</v>
      </c>
      <c r="DF182" s="228">
        <v>25.96</v>
      </c>
      <c r="DG182" s="228">
        <v>1.93</v>
      </c>
      <c r="DH182" s="228">
        <v>-0.06</v>
      </c>
      <c r="DI182" s="228">
        <v>26.54</v>
      </c>
      <c r="DJ182" s="228">
        <v>26.04</v>
      </c>
      <c r="DK182" s="228">
        <v>0.5</v>
      </c>
      <c r="DL182" s="228">
        <v>0.5</v>
      </c>
      <c r="DM182" s="228">
        <v>29.38</v>
      </c>
      <c r="DN182" s="228">
        <v>28.93</v>
      </c>
      <c r="DO182" s="228">
        <v>0.45</v>
      </c>
      <c r="DP182" s="228">
        <v>0.45</v>
      </c>
      <c r="DQ182" s="228">
        <v>1.5</v>
      </c>
      <c r="DR182" s="228">
        <v>1.77</v>
      </c>
      <c r="DS182" s="228">
        <v>-0.27</v>
      </c>
      <c r="DT182" s="229">
        <v>-0.1525</v>
      </c>
      <c r="DU182" s="231">
        <v>2100</v>
      </c>
      <c r="DV182" s="231">
        <v>1600</v>
      </c>
      <c r="DW182" s="228">
        <v>0.84</v>
      </c>
      <c r="DX182" s="228">
        <v>1.02</v>
      </c>
      <c r="DY182" s="228">
        <v>-0.18</v>
      </c>
      <c r="DZ182" s="229">
        <v>-0.17649999999999999</v>
      </c>
      <c r="EA182" s="229">
        <v>2.41E-2</v>
      </c>
      <c r="EB182" s="230">
        <v>241125</v>
      </c>
      <c r="EC182" s="229">
        <v>6.7999999999999996E-3</v>
      </c>
      <c r="ED182" s="229">
        <v>2.41E-2</v>
      </c>
      <c r="EE182" s="228">
        <v>13.68</v>
      </c>
      <c r="EF182" s="229">
        <v>7.1000000000000004E-3</v>
      </c>
      <c r="EG182" s="230">
        <v>727618</v>
      </c>
      <c r="EH182" s="230">
        <v>642644</v>
      </c>
      <c r="EI182" s="229">
        <v>0.13220000000000001</v>
      </c>
      <c r="EJ182" s="229">
        <v>0.53800000000000003</v>
      </c>
      <c r="EK182" s="228">
        <v>184.92</v>
      </c>
      <c r="EL182" s="228">
        <v>143.22999999999999</v>
      </c>
      <c r="EM182" s="228">
        <v>157.58000000000001</v>
      </c>
      <c r="EN182" s="228">
        <v>29.64</v>
      </c>
      <c r="EO182" s="228">
        <v>485.74</v>
      </c>
      <c r="EP182" s="228">
        <v>790.62</v>
      </c>
      <c r="EQ182" s="228">
        <v>-304.88</v>
      </c>
      <c r="ER182" s="229">
        <v>-0.3856</v>
      </c>
      <c r="ES182" s="228">
        <v>156.41</v>
      </c>
      <c r="ET182" s="228">
        <v>205.58</v>
      </c>
      <c r="EU182" s="231">
        <v>2049.04</v>
      </c>
      <c r="EV182" s="231">
        <v>45527821</v>
      </c>
      <c r="EW182" s="231">
        <v>2411.02</v>
      </c>
      <c r="EX182" s="231">
        <v>2413.15</v>
      </c>
      <c r="EY182" s="228">
        <v>-2.13</v>
      </c>
      <c r="EZ182" s="229">
        <v>-8.9999999999999998E-4</v>
      </c>
      <c r="FA182" s="229">
        <v>0.27939999999999998</v>
      </c>
      <c r="FB182" s="227" t="s">
        <v>567</v>
      </c>
      <c r="FC182">
        <f t="shared" si="3"/>
        <v>0</v>
      </c>
    </row>
    <row r="183" spans="1:159" ht="17.25" thickBot="1" x14ac:dyDescent="0.3">
      <c r="A183" s="226">
        <v>46121</v>
      </c>
      <c r="B183" s="227" t="s">
        <v>172</v>
      </c>
      <c r="C183" s="227" t="s">
        <v>283</v>
      </c>
      <c r="D183" s="228">
        <v>750</v>
      </c>
      <c r="E183" s="228">
        <v>19</v>
      </c>
      <c r="F183" s="231">
        <v>1045.7</v>
      </c>
      <c r="G183" s="231">
        <v>1067.2</v>
      </c>
      <c r="H183" s="228">
        <v>-21.5</v>
      </c>
      <c r="I183" s="229">
        <v>-2.01E-2</v>
      </c>
      <c r="J183" s="231">
        <v>1040.95</v>
      </c>
      <c r="K183" s="231">
        <v>1061.45</v>
      </c>
      <c r="L183" s="228">
        <v>-20.5</v>
      </c>
      <c r="M183" s="229">
        <v>-1.9300000000000001E-2</v>
      </c>
      <c r="N183" s="231">
        <v>1045.7</v>
      </c>
      <c r="O183" s="231">
        <v>1067.2</v>
      </c>
      <c r="P183" s="228">
        <v>-21.5</v>
      </c>
      <c r="Q183" s="229">
        <v>-2.01E-2</v>
      </c>
      <c r="R183" s="231">
        <v>1040.95</v>
      </c>
      <c r="S183" s="231">
        <v>1062.6500000000001</v>
      </c>
      <c r="T183" s="228">
        <v>-21.7</v>
      </c>
      <c r="U183" s="229">
        <v>-2.0400000000000001E-2</v>
      </c>
      <c r="V183" s="231">
        <v>1042.7</v>
      </c>
      <c r="W183" s="231">
        <v>1064.4000000000001</v>
      </c>
      <c r="X183" s="228">
        <v>-21.7</v>
      </c>
      <c r="Y183" s="229">
        <v>-2.0400000000000001E-2</v>
      </c>
      <c r="Z183" s="228">
        <v>4.75</v>
      </c>
      <c r="AA183" s="228">
        <v>5.75</v>
      </c>
      <c r="AB183" s="228">
        <v>-1</v>
      </c>
      <c r="AC183" s="229">
        <v>4.5999999999999999E-3</v>
      </c>
      <c r="AD183" s="228">
        <v>4.75</v>
      </c>
      <c r="AE183" s="228">
        <v>5.75</v>
      </c>
      <c r="AF183" s="228">
        <v>-1</v>
      </c>
      <c r="AG183" s="229">
        <v>4.5999999999999999E-3</v>
      </c>
      <c r="AH183" s="228">
        <v>0</v>
      </c>
      <c r="AI183" s="228">
        <v>1.2</v>
      </c>
      <c r="AJ183" s="228">
        <v>-1.2</v>
      </c>
      <c r="AK183" s="229">
        <v>0</v>
      </c>
      <c r="AL183" s="228">
        <v>1.75</v>
      </c>
      <c r="AM183" s="228">
        <v>2.95</v>
      </c>
      <c r="AN183" s="228">
        <v>-1.2</v>
      </c>
      <c r="AO183" s="229">
        <v>1.6999999999999999E-3</v>
      </c>
      <c r="AP183" s="231">
        <v>1053.8599999999999</v>
      </c>
      <c r="AQ183" s="231">
        <v>1047.8900000000001</v>
      </c>
      <c r="AR183" s="228">
        <v>0</v>
      </c>
      <c r="AS183" s="230">
        <v>1351</v>
      </c>
      <c r="AT183" s="230">
        <v>2338</v>
      </c>
      <c r="AU183" s="228">
        <v>-987</v>
      </c>
      <c r="AV183" s="229">
        <v>-0.42230000000000001</v>
      </c>
      <c r="AW183" s="230">
        <v>1196</v>
      </c>
      <c r="AX183" s="230">
        <v>2149</v>
      </c>
      <c r="AY183" s="228">
        <v>-953</v>
      </c>
      <c r="AZ183" s="229">
        <v>-0.44350000000000001</v>
      </c>
      <c r="BA183" s="228">
        <v>135</v>
      </c>
      <c r="BB183" s="228">
        <v>160</v>
      </c>
      <c r="BC183" s="228">
        <v>-24</v>
      </c>
      <c r="BD183" s="229">
        <v>-0.15290000000000001</v>
      </c>
      <c r="BE183" s="228">
        <v>20</v>
      </c>
      <c r="BF183" s="228">
        <v>30</v>
      </c>
      <c r="BG183" s="228">
        <v>-10</v>
      </c>
      <c r="BH183" s="229">
        <v>-0.33939999999999998</v>
      </c>
      <c r="BI183" s="230">
        <v>5856</v>
      </c>
      <c r="BJ183" s="230">
        <v>9201</v>
      </c>
      <c r="BK183" s="230">
        <v>-3345</v>
      </c>
      <c r="BL183" s="229">
        <v>-0.36359999999999998</v>
      </c>
      <c r="BM183" s="230">
        <v>4018</v>
      </c>
      <c r="BN183" s="230">
        <v>5254</v>
      </c>
      <c r="BO183" s="230">
        <v>-1236</v>
      </c>
      <c r="BP183" s="229">
        <v>-0.23530000000000001</v>
      </c>
      <c r="BQ183" s="230">
        <v>11224</v>
      </c>
      <c r="BR183" s="230">
        <v>16793</v>
      </c>
      <c r="BS183" s="230">
        <v>-5569</v>
      </c>
      <c r="BT183" s="229">
        <v>-0.33160000000000001</v>
      </c>
      <c r="BU183" s="230">
        <v>27146495</v>
      </c>
      <c r="BV183" s="230">
        <v>29963002</v>
      </c>
      <c r="BW183" s="230">
        <v>-2816507</v>
      </c>
      <c r="BX183" s="229">
        <v>-9.4E-2</v>
      </c>
      <c r="BY183" s="230">
        <v>8596</v>
      </c>
      <c r="BZ183" s="230">
        <v>8351</v>
      </c>
      <c r="CA183" s="228">
        <v>245</v>
      </c>
      <c r="CB183" s="229">
        <v>2.93E-2</v>
      </c>
      <c r="CC183" s="230">
        <v>8063</v>
      </c>
      <c r="CD183" s="230">
        <v>7901</v>
      </c>
      <c r="CE183" s="228">
        <v>162</v>
      </c>
      <c r="CF183" s="229">
        <v>2.0500000000000001E-2</v>
      </c>
      <c r="CG183" s="228">
        <v>379</v>
      </c>
      <c r="CH183" s="228">
        <v>306</v>
      </c>
      <c r="CI183" s="228">
        <v>73</v>
      </c>
      <c r="CJ183" s="229">
        <v>0.23860000000000001</v>
      </c>
      <c r="CK183" s="228">
        <v>154</v>
      </c>
      <c r="CL183" s="228">
        <v>144</v>
      </c>
      <c r="CM183" s="228">
        <v>10</v>
      </c>
      <c r="CN183" s="229">
        <v>6.7500000000000004E-2</v>
      </c>
      <c r="CO183" s="230">
        <v>4414</v>
      </c>
      <c r="CP183" s="230">
        <v>3891</v>
      </c>
      <c r="CQ183" s="228">
        <v>524</v>
      </c>
      <c r="CR183" s="229">
        <v>0.13469999999999999</v>
      </c>
      <c r="CS183" s="230">
        <v>2857</v>
      </c>
      <c r="CT183" s="230">
        <v>2776</v>
      </c>
      <c r="CU183" s="228">
        <v>81</v>
      </c>
      <c r="CV183" s="229">
        <v>2.92E-2</v>
      </c>
      <c r="CW183" s="230">
        <v>15868</v>
      </c>
      <c r="CX183" s="230">
        <v>15018</v>
      </c>
      <c r="CY183" s="228">
        <v>849</v>
      </c>
      <c r="CZ183" s="229">
        <v>5.6599999999999998E-2</v>
      </c>
      <c r="DA183" s="228">
        <v>30.48</v>
      </c>
      <c r="DB183" s="228">
        <v>30.46</v>
      </c>
      <c r="DC183" s="228">
        <v>0.02</v>
      </c>
      <c r="DD183" s="228">
        <v>0.02</v>
      </c>
      <c r="DE183" s="228">
        <v>29.29</v>
      </c>
      <c r="DF183" s="228">
        <v>29.24</v>
      </c>
      <c r="DG183" s="228">
        <v>1.19</v>
      </c>
      <c r="DH183" s="228">
        <v>0.05</v>
      </c>
      <c r="DI183" s="228">
        <v>30</v>
      </c>
      <c r="DJ183" s="228">
        <v>29.33</v>
      </c>
      <c r="DK183" s="228">
        <v>0.67</v>
      </c>
      <c r="DL183" s="228">
        <v>0.67</v>
      </c>
      <c r="DM183" s="228">
        <v>31.17</v>
      </c>
      <c r="DN183" s="228">
        <v>32.43</v>
      </c>
      <c r="DO183" s="228">
        <v>-1.26</v>
      </c>
      <c r="DP183" s="228">
        <v>-1.26</v>
      </c>
      <c r="DQ183" s="228">
        <v>0.65</v>
      </c>
      <c r="DR183" s="228">
        <v>0.71</v>
      </c>
      <c r="DS183" s="228">
        <v>-0.06</v>
      </c>
      <c r="DT183" s="229">
        <v>-8.4500000000000006E-2</v>
      </c>
      <c r="DU183" s="231">
        <v>1100</v>
      </c>
      <c r="DV183" s="231">
        <v>1100</v>
      </c>
      <c r="DW183" s="228">
        <v>0.69</v>
      </c>
      <c r="DX183" s="228">
        <v>0.56999999999999995</v>
      </c>
      <c r="DY183" s="228">
        <v>0.12</v>
      </c>
      <c r="DZ183" s="229">
        <v>0.21049999999999999</v>
      </c>
      <c r="EA183" s="229">
        <v>6.1899999999999997E-2</v>
      </c>
      <c r="EB183" s="230">
        <v>4300500</v>
      </c>
      <c r="EC183" s="229">
        <v>-4.4999999999999997E-3</v>
      </c>
      <c r="ED183" s="229">
        <v>6.1899999999999997E-2</v>
      </c>
      <c r="EE183" s="228">
        <v>-5.97</v>
      </c>
      <c r="EF183" s="229">
        <v>-5.7000000000000002E-3</v>
      </c>
      <c r="EG183" s="230">
        <v>11070557</v>
      </c>
      <c r="EH183" s="230">
        <v>15304014</v>
      </c>
      <c r="EI183" s="229">
        <v>-0.27660000000000001</v>
      </c>
      <c r="EJ183" s="229">
        <v>0.4078</v>
      </c>
      <c r="EK183" s="231">
        <v>6234.14</v>
      </c>
      <c r="EL183" s="231">
        <v>3995.08</v>
      </c>
      <c r="EM183" s="231">
        <v>1360.55</v>
      </c>
      <c r="EN183" s="228">
        <v>239.72</v>
      </c>
      <c r="EO183" s="231">
        <v>11589.78</v>
      </c>
      <c r="EP183" s="231">
        <v>17515.53</v>
      </c>
      <c r="EQ183" s="231">
        <v>-5925.75</v>
      </c>
      <c r="ER183" s="229">
        <v>-0.33829999999999999</v>
      </c>
      <c r="ES183" s="231">
        <v>4668.97</v>
      </c>
      <c r="ET183" s="231">
        <v>2799.66</v>
      </c>
      <c r="EU183" s="231">
        <v>8593.65</v>
      </c>
      <c r="EV183" s="231">
        <v>580324288</v>
      </c>
      <c r="EW183" s="231">
        <v>16062.27</v>
      </c>
      <c r="EX183" s="231">
        <v>15357.1</v>
      </c>
      <c r="EY183" s="228">
        <v>705.17</v>
      </c>
      <c r="EZ183" s="229">
        <v>4.5900000000000003E-2</v>
      </c>
      <c r="FA183" s="229">
        <v>0.26150000000000001</v>
      </c>
      <c r="FB183" s="227" t="s">
        <v>566</v>
      </c>
      <c r="FC183">
        <f t="shared" si="3"/>
        <v>0</v>
      </c>
    </row>
    <row r="184" spans="1:159" ht="17.25" thickBot="1" x14ac:dyDescent="0.3">
      <c r="A184" s="226">
        <v>46121</v>
      </c>
      <c r="B184" s="227" t="s">
        <v>157</v>
      </c>
      <c r="C184" s="227" t="s">
        <v>284</v>
      </c>
      <c r="D184" s="228">
        <v>25</v>
      </c>
      <c r="E184" s="228">
        <v>19</v>
      </c>
      <c r="F184" s="231">
        <v>23975</v>
      </c>
      <c r="G184" s="231">
        <v>24375</v>
      </c>
      <c r="H184" s="228">
        <v>-400</v>
      </c>
      <c r="I184" s="229">
        <v>-1.6400000000000001E-2</v>
      </c>
      <c r="J184" s="231">
        <v>23990</v>
      </c>
      <c r="K184" s="231">
        <v>24360</v>
      </c>
      <c r="L184" s="228">
        <v>-370</v>
      </c>
      <c r="M184" s="229">
        <v>-1.52E-2</v>
      </c>
      <c r="N184" s="231">
        <v>23975</v>
      </c>
      <c r="O184" s="231">
        <v>24375</v>
      </c>
      <c r="P184" s="228">
        <v>-400</v>
      </c>
      <c r="Q184" s="229">
        <v>-1.6400000000000001E-2</v>
      </c>
      <c r="R184" s="231">
        <v>23800</v>
      </c>
      <c r="S184" s="231">
        <v>24220</v>
      </c>
      <c r="T184" s="228">
        <v>-420</v>
      </c>
      <c r="U184" s="229">
        <v>-1.7299999999999999E-2</v>
      </c>
      <c r="V184" s="231">
        <v>23745</v>
      </c>
      <c r="W184" s="231">
        <v>24005</v>
      </c>
      <c r="X184" s="228">
        <v>-260</v>
      </c>
      <c r="Y184" s="229">
        <v>-1.0800000000000001E-2</v>
      </c>
      <c r="Z184" s="228">
        <v>-15</v>
      </c>
      <c r="AA184" s="228">
        <v>15</v>
      </c>
      <c r="AB184" s="228">
        <v>-30</v>
      </c>
      <c r="AC184" s="229">
        <v>-5.9999999999999995E-4</v>
      </c>
      <c r="AD184" s="228">
        <v>-15</v>
      </c>
      <c r="AE184" s="228">
        <v>15</v>
      </c>
      <c r="AF184" s="228">
        <v>-30</v>
      </c>
      <c r="AG184" s="229">
        <v>-5.9999999999999995E-4</v>
      </c>
      <c r="AH184" s="228">
        <v>-190</v>
      </c>
      <c r="AI184" s="228">
        <v>-140</v>
      </c>
      <c r="AJ184" s="228">
        <v>-50</v>
      </c>
      <c r="AK184" s="229">
        <v>-7.9000000000000008E-3</v>
      </c>
      <c r="AL184" s="228">
        <v>-245</v>
      </c>
      <c r="AM184" s="228">
        <v>-355</v>
      </c>
      <c r="AN184" s="228">
        <v>110</v>
      </c>
      <c r="AO184" s="229">
        <v>-1.0200000000000001E-2</v>
      </c>
      <c r="AP184" s="231">
        <v>24012.13</v>
      </c>
      <c r="AQ184" s="231">
        <v>23831.919999999998</v>
      </c>
      <c r="AR184" s="228">
        <v>0</v>
      </c>
      <c r="AS184" s="228">
        <v>144</v>
      </c>
      <c r="AT184" s="228">
        <v>146</v>
      </c>
      <c r="AU184" s="228">
        <v>-2</v>
      </c>
      <c r="AV184" s="229">
        <v>-1.6E-2</v>
      </c>
      <c r="AW184" s="228">
        <v>137</v>
      </c>
      <c r="AX184" s="228">
        <v>138</v>
      </c>
      <c r="AY184" s="228">
        <v>-1</v>
      </c>
      <c r="AZ184" s="229">
        <v>-8.2000000000000007E-3</v>
      </c>
      <c r="BA184" s="228">
        <v>6</v>
      </c>
      <c r="BB184" s="228">
        <v>7</v>
      </c>
      <c r="BC184" s="228">
        <v>-1</v>
      </c>
      <c r="BD184" s="229">
        <v>-0.1239</v>
      </c>
      <c r="BE184" s="228">
        <v>1</v>
      </c>
      <c r="BF184" s="228">
        <v>1</v>
      </c>
      <c r="BG184" s="228">
        <v>0</v>
      </c>
      <c r="BH184" s="229">
        <v>-0.4</v>
      </c>
      <c r="BI184" s="228">
        <v>125</v>
      </c>
      <c r="BJ184" s="228">
        <v>239</v>
      </c>
      <c r="BK184" s="228">
        <v>-114</v>
      </c>
      <c r="BL184" s="229">
        <v>-0.47639999999999999</v>
      </c>
      <c r="BM184" s="228">
        <v>38</v>
      </c>
      <c r="BN184" s="228">
        <v>95</v>
      </c>
      <c r="BO184" s="228">
        <v>-57</v>
      </c>
      <c r="BP184" s="229">
        <v>-0.60140000000000005</v>
      </c>
      <c r="BQ184" s="228">
        <v>307</v>
      </c>
      <c r="BR184" s="228">
        <v>480</v>
      </c>
      <c r="BS184" s="228">
        <v>-174</v>
      </c>
      <c r="BT184" s="229">
        <v>-0.36120000000000002</v>
      </c>
      <c r="BU184" s="230">
        <v>106793</v>
      </c>
      <c r="BV184" s="230">
        <v>32719</v>
      </c>
      <c r="BW184" s="230">
        <v>74074</v>
      </c>
      <c r="BX184" s="229">
        <v>2.2639</v>
      </c>
      <c r="BY184" s="228">
        <v>927</v>
      </c>
      <c r="BZ184" s="228">
        <v>893</v>
      </c>
      <c r="CA184" s="228">
        <v>35</v>
      </c>
      <c r="CB184" s="229">
        <v>3.8699999999999998E-2</v>
      </c>
      <c r="CC184" s="228">
        <v>901</v>
      </c>
      <c r="CD184" s="228">
        <v>869</v>
      </c>
      <c r="CE184" s="228">
        <v>32</v>
      </c>
      <c r="CF184" s="229">
        <v>3.6799999999999999E-2</v>
      </c>
      <c r="CG184" s="228">
        <v>25</v>
      </c>
      <c r="CH184" s="228">
        <v>23</v>
      </c>
      <c r="CI184" s="228">
        <v>2</v>
      </c>
      <c r="CJ184" s="229">
        <v>9.1899999999999996E-2</v>
      </c>
      <c r="CK184" s="228">
        <v>1</v>
      </c>
      <c r="CL184" s="228">
        <v>1</v>
      </c>
      <c r="CM184" s="228">
        <v>0</v>
      </c>
      <c r="CN184" s="229">
        <v>0.4667</v>
      </c>
      <c r="CO184" s="228">
        <v>137</v>
      </c>
      <c r="CP184" s="228">
        <v>121</v>
      </c>
      <c r="CQ184" s="228">
        <v>16</v>
      </c>
      <c r="CR184" s="229">
        <v>0.1323</v>
      </c>
      <c r="CS184" s="228">
        <v>91</v>
      </c>
      <c r="CT184" s="228">
        <v>86</v>
      </c>
      <c r="CU184" s="228">
        <v>5</v>
      </c>
      <c r="CV184" s="229">
        <v>5.7799999999999997E-2</v>
      </c>
      <c r="CW184" s="230">
        <v>1155</v>
      </c>
      <c r="CX184" s="230">
        <v>1100</v>
      </c>
      <c r="CY184" s="228">
        <v>56</v>
      </c>
      <c r="CZ184" s="229">
        <v>5.0500000000000003E-2</v>
      </c>
      <c r="DA184" s="228">
        <v>29.76</v>
      </c>
      <c r="DB184" s="228">
        <v>28.56</v>
      </c>
      <c r="DC184" s="228">
        <v>1.2</v>
      </c>
      <c r="DD184" s="228">
        <v>1.2</v>
      </c>
      <c r="DE184" s="228">
        <v>27.77</v>
      </c>
      <c r="DF184" s="228">
        <v>27.75</v>
      </c>
      <c r="DG184" s="228">
        <v>1.99</v>
      </c>
      <c r="DH184" s="228">
        <v>0.02</v>
      </c>
      <c r="DI184" s="228">
        <v>28.97</v>
      </c>
      <c r="DJ184" s="228">
        <v>27.99</v>
      </c>
      <c r="DK184" s="228">
        <v>0.98</v>
      </c>
      <c r="DL184" s="228">
        <v>0.98</v>
      </c>
      <c r="DM184" s="228">
        <v>32.369999999999997</v>
      </c>
      <c r="DN184" s="228">
        <v>29.99</v>
      </c>
      <c r="DO184" s="228">
        <v>2.38</v>
      </c>
      <c r="DP184" s="228">
        <v>2.38</v>
      </c>
      <c r="DQ184" s="228">
        <v>0.67</v>
      </c>
      <c r="DR184" s="228">
        <v>0.71</v>
      </c>
      <c r="DS184" s="228">
        <v>-0.04</v>
      </c>
      <c r="DT184" s="229">
        <v>-5.6300000000000003E-2</v>
      </c>
      <c r="DU184" s="231">
        <v>24000</v>
      </c>
      <c r="DV184" s="231">
        <v>24000</v>
      </c>
      <c r="DW184" s="228">
        <v>0.3</v>
      </c>
      <c r="DX184" s="228">
        <v>0.4</v>
      </c>
      <c r="DY184" s="228">
        <v>-0.1</v>
      </c>
      <c r="DZ184" s="229">
        <v>-0.25</v>
      </c>
      <c r="EA184" s="229">
        <v>2.8299999999999999E-2</v>
      </c>
      <c r="EB184" s="230">
        <v>9900</v>
      </c>
      <c r="EC184" s="229">
        <v>-7.3000000000000001E-3</v>
      </c>
      <c r="ED184" s="229">
        <v>2.8299999999999999E-2</v>
      </c>
      <c r="EE184" s="228">
        <v>-180.21</v>
      </c>
      <c r="EF184" s="229">
        <v>-7.4999999999999997E-3</v>
      </c>
      <c r="EG184" s="230">
        <v>58612</v>
      </c>
      <c r="EH184" s="230">
        <v>14112</v>
      </c>
      <c r="EI184" s="229">
        <v>3.1533000000000002</v>
      </c>
      <c r="EJ184" s="229">
        <v>0.54879999999999995</v>
      </c>
      <c r="EK184" s="228">
        <v>132.04</v>
      </c>
      <c r="EL184" s="228">
        <v>36.89</v>
      </c>
      <c r="EM184" s="228">
        <v>143.96</v>
      </c>
      <c r="EN184" s="228">
        <v>17.899999999999999</v>
      </c>
      <c r="EO184" s="228">
        <v>312.89999999999998</v>
      </c>
      <c r="EP184" s="228">
        <v>497.2</v>
      </c>
      <c r="EQ184" s="228">
        <v>-184.3</v>
      </c>
      <c r="ER184" s="229">
        <v>-0.37069999999999997</v>
      </c>
      <c r="ES184" s="228">
        <v>138.62</v>
      </c>
      <c r="ET184" s="228">
        <v>88.03</v>
      </c>
      <c r="EU184" s="228">
        <v>927.1</v>
      </c>
      <c r="EV184" s="231">
        <v>1655049</v>
      </c>
      <c r="EW184" s="231">
        <v>1153.75</v>
      </c>
      <c r="EX184" s="231">
        <v>1112.3699999999999</v>
      </c>
      <c r="EY184" s="228">
        <v>41.38</v>
      </c>
      <c r="EZ184" s="229">
        <v>3.7199999999999997E-2</v>
      </c>
      <c r="FA184" s="229">
        <v>0.29120000000000001</v>
      </c>
      <c r="FB184" s="227" t="s">
        <v>566</v>
      </c>
      <c r="FC184">
        <f t="shared" si="3"/>
        <v>0</v>
      </c>
    </row>
    <row r="185" spans="1:159" ht="17.25" thickBot="1" x14ac:dyDescent="0.3">
      <c r="A185" s="226">
        <v>46121</v>
      </c>
      <c r="B185" s="227" t="s">
        <v>175</v>
      </c>
      <c r="C185" s="227" t="s">
        <v>561</v>
      </c>
      <c r="D185" s="228">
        <v>825</v>
      </c>
      <c r="E185" s="228">
        <v>19</v>
      </c>
      <c r="F185" s="228">
        <v>999.8</v>
      </c>
      <c r="G185" s="231">
        <v>1026.1500000000001</v>
      </c>
      <c r="H185" s="228">
        <v>-26.35</v>
      </c>
      <c r="I185" s="229">
        <v>-2.5700000000000001E-2</v>
      </c>
      <c r="J185" s="228">
        <v>996.3</v>
      </c>
      <c r="K185" s="231">
        <v>1023.2</v>
      </c>
      <c r="L185" s="228">
        <v>-26.9</v>
      </c>
      <c r="M185" s="229">
        <v>-2.63E-2</v>
      </c>
      <c r="N185" s="228">
        <v>999.8</v>
      </c>
      <c r="O185" s="231">
        <v>1026.1500000000001</v>
      </c>
      <c r="P185" s="228">
        <v>-26.35</v>
      </c>
      <c r="Q185" s="229">
        <v>-2.5700000000000001E-2</v>
      </c>
      <c r="R185" s="231">
        <v>1006.1</v>
      </c>
      <c r="S185" s="231">
        <v>1032.3499999999999</v>
      </c>
      <c r="T185" s="228">
        <v>-26.25</v>
      </c>
      <c r="U185" s="229">
        <v>-2.5399999999999999E-2</v>
      </c>
      <c r="V185" s="231">
        <v>1010.2</v>
      </c>
      <c r="W185" s="231">
        <v>1036.45</v>
      </c>
      <c r="X185" s="228">
        <v>-26.25</v>
      </c>
      <c r="Y185" s="229">
        <v>-2.53E-2</v>
      </c>
      <c r="Z185" s="228">
        <v>3.5</v>
      </c>
      <c r="AA185" s="228">
        <v>2.95</v>
      </c>
      <c r="AB185" s="228">
        <v>0.55000000000000004</v>
      </c>
      <c r="AC185" s="229">
        <v>3.5000000000000001E-3</v>
      </c>
      <c r="AD185" s="228">
        <v>3.5</v>
      </c>
      <c r="AE185" s="228">
        <v>2.95</v>
      </c>
      <c r="AF185" s="228">
        <v>0.55000000000000004</v>
      </c>
      <c r="AG185" s="229">
        <v>3.5000000000000001E-3</v>
      </c>
      <c r="AH185" s="228">
        <v>9.8000000000000007</v>
      </c>
      <c r="AI185" s="228">
        <v>9.15</v>
      </c>
      <c r="AJ185" s="228">
        <v>0.65</v>
      </c>
      <c r="AK185" s="229">
        <v>9.7999999999999997E-3</v>
      </c>
      <c r="AL185" s="228">
        <v>13.9</v>
      </c>
      <c r="AM185" s="228">
        <v>13.25</v>
      </c>
      <c r="AN185" s="228">
        <v>0.65</v>
      </c>
      <c r="AO185" s="229">
        <v>1.4E-2</v>
      </c>
      <c r="AP185" s="231">
        <v>1005.09</v>
      </c>
      <c r="AQ185" s="231">
        <v>1012.36</v>
      </c>
      <c r="AR185" s="228">
        <v>0</v>
      </c>
      <c r="AS185" s="228">
        <v>659</v>
      </c>
      <c r="AT185" s="230">
        <v>1673</v>
      </c>
      <c r="AU185" s="230">
        <v>-1014</v>
      </c>
      <c r="AV185" s="229">
        <v>-0.60629999999999995</v>
      </c>
      <c r="AW185" s="228">
        <v>616</v>
      </c>
      <c r="AX185" s="230">
        <v>1565</v>
      </c>
      <c r="AY185" s="228">
        <v>-949</v>
      </c>
      <c r="AZ185" s="229">
        <v>-0.60640000000000005</v>
      </c>
      <c r="BA185" s="228">
        <v>36</v>
      </c>
      <c r="BB185" s="228">
        <v>90</v>
      </c>
      <c r="BC185" s="228">
        <v>-55</v>
      </c>
      <c r="BD185" s="229">
        <v>-0.60680000000000001</v>
      </c>
      <c r="BE185" s="228">
        <v>7</v>
      </c>
      <c r="BF185" s="228">
        <v>17</v>
      </c>
      <c r="BG185" s="228">
        <v>-10</v>
      </c>
      <c r="BH185" s="229">
        <v>-0.59519999999999995</v>
      </c>
      <c r="BI185" s="230">
        <v>1592</v>
      </c>
      <c r="BJ185" s="230">
        <v>4812</v>
      </c>
      <c r="BK185" s="230">
        <v>-3220</v>
      </c>
      <c r="BL185" s="229">
        <v>-0.66930000000000001</v>
      </c>
      <c r="BM185" s="230">
        <v>1167</v>
      </c>
      <c r="BN185" s="230">
        <v>2217</v>
      </c>
      <c r="BO185" s="230">
        <v>-1050</v>
      </c>
      <c r="BP185" s="229">
        <v>-0.47370000000000001</v>
      </c>
      <c r="BQ185" s="230">
        <v>3417</v>
      </c>
      <c r="BR185" s="230">
        <v>8702</v>
      </c>
      <c r="BS185" s="230">
        <v>-5285</v>
      </c>
      <c r="BT185" s="229">
        <v>-0.60729999999999995</v>
      </c>
      <c r="BU185" s="230">
        <v>7945220</v>
      </c>
      <c r="BV185" s="230">
        <v>18717276</v>
      </c>
      <c r="BW185" s="230">
        <v>-10772056</v>
      </c>
      <c r="BX185" s="229">
        <v>-0.57550000000000001</v>
      </c>
      <c r="BY185" s="230">
        <v>4270</v>
      </c>
      <c r="BZ185" s="230">
        <v>4319</v>
      </c>
      <c r="CA185" s="228">
        <v>-49</v>
      </c>
      <c r="CB185" s="229">
        <v>-1.14E-2</v>
      </c>
      <c r="CC185" s="230">
        <v>4040</v>
      </c>
      <c r="CD185" s="230">
        <v>4107</v>
      </c>
      <c r="CE185" s="228">
        <v>-67</v>
      </c>
      <c r="CF185" s="229">
        <v>-1.6299999999999999E-2</v>
      </c>
      <c r="CG185" s="228">
        <v>202</v>
      </c>
      <c r="CH185" s="228">
        <v>188</v>
      </c>
      <c r="CI185" s="228">
        <v>15</v>
      </c>
      <c r="CJ185" s="229">
        <v>7.7799999999999994E-2</v>
      </c>
      <c r="CK185" s="228">
        <v>28</v>
      </c>
      <c r="CL185" s="228">
        <v>25</v>
      </c>
      <c r="CM185" s="228">
        <v>3</v>
      </c>
      <c r="CN185" s="229">
        <v>0.13420000000000001</v>
      </c>
      <c r="CO185" s="230">
        <v>1175</v>
      </c>
      <c r="CP185" s="230">
        <v>1092</v>
      </c>
      <c r="CQ185" s="228">
        <v>84</v>
      </c>
      <c r="CR185" s="229">
        <v>7.6899999999999996E-2</v>
      </c>
      <c r="CS185" s="228">
        <v>820</v>
      </c>
      <c r="CT185" s="228">
        <v>817</v>
      </c>
      <c r="CU185" s="228">
        <v>3</v>
      </c>
      <c r="CV185" s="229">
        <v>3.8E-3</v>
      </c>
      <c r="CW185" s="230">
        <v>6266</v>
      </c>
      <c r="CX185" s="230">
        <v>6228</v>
      </c>
      <c r="CY185" s="228">
        <v>38</v>
      </c>
      <c r="CZ185" s="229">
        <v>6.1000000000000004E-3</v>
      </c>
      <c r="DA185" s="228">
        <v>42.94</v>
      </c>
      <c r="DB185" s="228">
        <v>43</v>
      </c>
      <c r="DC185" s="228">
        <v>-0.06</v>
      </c>
      <c r="DD185" s="228">
        <v>-0.06</v>
      </c>
      <c r="DE185" s="228">
        <v>45.29</v>
      </c>
      <c r="DF185" s="228">
        <v>45.26</v>
      </c>
      <c r="DG185" s="228">
        <v>-2.35</v>
      </c>
      <c r="DH185" s="228">
        <v>0.03</v>
      </c>
      <c r="DI185" s="228">
        <v>42.39</v>
      </c>
      <c r="DJ185" s="228">
        <v>41.73</v>
      </c>
      <c r="DK185" s="228">
        <v>0.66</v>
      </c>
      <c r="DL185" s="228">
        <v>0.66</v>
      </c>
      <c r="DM185" s="228">
        <v>43.69</v>
      </c>
      <c r="DN185" s="228">
        <v>45.76</v>
      </c>
      <c r="DO185" s="228">
        <v>-2.0699999999999998</v>
      </c>
      <c r="DP185" s="228">
        <v>-2.0699999999999998</v>
      </c>
      <c r="DQ185" s="228">
        <v>0.7</v>
      </c>
      <c r="DR185" s="228">
        <v>0.75</v>
      </c>
      <c r="DS185" s="228">
        <v>-0.05</v>
      </c>
      <c r="DT185" s="229">
        <v>-6.6699999999999995E-2</v>
      </c>
      <c r="DU185" s="231">
        <v>1000</v>
      </c>
      <c r="DV185" s="231">
        <v>1000</v>
      </c>
      <c r="DW185" s="228">
        <v>0.73</v>
      </c>
      <c r="DX185" s="228">
        <v>0.46</v>
      </c>
      <c r="DY185" s="228">
        <v>0.27</v>
      </c>
      <c r="DZ185" s="229">
        <v>0.58699999999999997</v>
      </c>
      <c r="EA185" s="229">
        <v>5.3900000000000003E-2</v>
      </c>
      <c r="EB185" s="230">
        <v>2123550</v>
      </c>
      <c r="EC185" s="229">
        <v>6.3E-3</v>
      </c>
      <c r="ED185" s="229">
        <v>5.3900000000000003E-2</v>
      </c>
      <c r="EE185" s="228">
        <v>7.27</v>
      </c>
      <c r="EF185" s="229">
        <v>7.1999999999999998E-3</v>
      </c>
      <c r="EG185" s="230">
        <v>3562398</v>
      </c>
      <c r="EH185" s="230">
        <v>8709692</v>
      </c>
      <c r="EI185" s="229">
        <v>-0.59099999999999997</v>
      </c>
      <c r="EJ185" s="229">
        <v>0.44840000000000002</v>
      </c>
      <c r="EK185" s="231">
        <v>1707.98</v>
      </c>
      <c r="EL185" s="231">
        <v>1163.1400000000001</v>
      </c>
      <c r="EM185" s="228">
        <v>662.54</v>
      </c>
      <c r="EN185" s="228">
        <v>116.11</v>
      </c>
      <c r="EO185" s="231">
        <v>3533.65</v>
      </c>
      <c r="EP185" s="231">
        <v>9071.98</v>
      </c>
      <c r="EQ185" s="231">
        <v>-5538.33</v>
      </c>
      <c r="ER185" s="229">
        <v>-0.61050000000000004</v>
      </c>
      <c r="ES185" s="231">
        <v>1192.31</v>
      </c>
      <c r="ET185" s="228">
        <v>761.8</v>
      </c>
      <c r="EU185" s="231">
        <v>4271.41</v>
      </c>
      <c r="EV185" s="231">
        <v>210567108</v>
      </c>
      <c r="EW185" s="231">
        <v>6225.51</v>
      </c>
      <c r="EX185" s="231">
        <v>6296.38</v>
      </c>
      <c r="EY185" s="228">
        <v>-70.87</v>
      </c>
      <c r="EZ185" s="229">
        <v>-1.1299999999999999E-2</v>
      </c>
      <c r="FA185" s="229">
        <v>0.29759999999999998</v>
      </c>
      <c r="FB185" s="227" t="s">
        <v>567</v>
      </c>
      <c r="FC185">
        <f t="shared" si="3"/>
        <v>0</v>
      </c>
    </row>
    <row r="186" spans="1:159" ht="17.25" thickBot="1" x14ac:dyDescent="0.3">
      <c r="A186" s="226">
        <v>46121</v>
      </c>
      <c r="B186" s="227" t="s">
        <v>184</v>
      </c>
      <c r="C186" s="227" t="s">
        <v>285</v>
      </c>
      <c r="D186" s="228">
        <v>175</v>
      </c>
      <c r="E186" s="228">
        <v>19</v>
      </c>
      <c r="F186" s="231">
        <v>3238.6</v>
      </c>
      <c r="G186" s="231">
        <v>3242.9</v>
      </c>
      <c r="H186" s="228">
        <v>-4.3</v>
      </c>
      <c r="I186" s="229">
        <v>-1.2999999999999999E-3</v>
      </c>
      <c r="J186" s="231">
        <v>3222.5</v>
      </c>
      <c r="K186" s="231">
        <v>3226.1</v>
      </c>
      <c r="L186" s="228">
        <v>-3.6</v>
      </c>
      <c r="M186" s="229">
        <v>-1.1000000000000001E-3</v>
      </c>
      <c r="N186" s="231">
        <v>3238.6</v>
      </c>
      <c r="O186" s="231">
        <v>3242.9</v>
      </c>
      <c r="P186" s="228">
        <v>-4.3</v>
      </c>
      <c r="Q186" s="229">
        <v>-1.2999999999999999E-3</v>
      </c>
      <c r="R186" s="231">
        <v>3244.7</v>
      </c>
      <c r="S186" s="231">
        <v>3247.2</v>
      </c>
      <c r="T186" s="228">
        <v>-2.5</v>
      </c>
      <c r="U186" s="229">
        <v>-8.0000000000000004E-4</v>
      </c>
      <c r="V186" s="231">
        <v>3244</v>
      </c>
      <c r="W186" s="231">
        <v>3255.4</v>
      </c>
      <c r="X186" s="228">
        <v>-11.4</v>
      </c>
      <c r="Y186" s="229">
        <v>-3.5000000000000001E-3</v>
      </c>
      <c r="Z186" s="228">
        <v>16.100000000000001</v>
      </c>
      <c r="AA186" s="228">
        <v>16.8</v>
      </c>
      <c r="AB186" s="228">
        <v>-0.7</v>
      </c>
      <c r="AC186" s="229">
        <v>5.0000000000000001E-3</v>
      </c>
      <c r="AD186" s="228">
        <v>16.100000000000001</v>
      </c>
      <c r="AE186" s="228">
        <v>16.8</v>
      </c>
      <c r="AF186" s="228">
        <v>-0.7</v>
      </c>
      <c r="AG186" s="229">
        <v>5.0000000000000001E-3</v>
      </c>
      <c r="AH186" s="228">
        <v>22.2</v>
      </c>
      <c r="AI186" s="228">
        <v>21.1</v>
      </c>
      <c r="AJ186" s="228">
        <v>1.1000000000000001</v>
      </c>
      <c r="AK186" s="229">
        <v>6.8999999999999999E-3</v>
      </c>
      <c r="AL186" s="228">
        <v>21.5</v>
      </c>
      <c r="AM186" s="228">
        <v>29.3</v>
      </c>
      <c r="AN186" s="228">
        <v>-7.8</v>
      </c>
      <c r="AO186" s="229">
        <v>6.7000000000000002E-3</v>
      </c>
      <c r="AP186" s="231">
        <v>3235.53</v>
      </c>
      <c r="AQ186" s="231">
        <v>3240.67</v>
      </c>
      <c r="AR186" s="228">
        <v>0</v>
      </c>
      <c r="AS186" s="228">
        <v>144</v>
      </c>
      <c r="AT186" s="228">
        <v>218</v>
      </c>
      <c r="AU186" s="228">
        <v>-74</v>
      </c>
      <c r="AV186" s="229">
        <v>-0.33989999999999998</v>
      </c>
      <c r="AW186" s="228">
        <v>135</v>
      </c>
      <c r="AX186" s="228">
        <v>206</v>
      </c>
      <c r="AY186" s="228">
        <v>-72</v>
      </c>
      <c r="AZ186" s="229">
        <v>-0.3473</v>
      </c>
      <c r="BA186" s="228">
        <v>8</v>
      </c>
      <c r="BB186" s="228">
        <v>11</v>
      </c>
      <c r="BC186" s="228">
        <v>-3</v>
      </c>
      <c r="BD186" s="229">
        <v>-0.26629999999999998</v>
      </c>
      <c r="BE186" s="228">
        <v>1</v>
      </c>
      <c r="BF186" s="228">
        <v>1</v>
      </c>
      <c r="BG186" s="228">
        <v>1</v>
      </c>
      <c r="BH186" s="229">
        <v>1</v>
      </c>
      <c r="BI186" s="228">
        <v>393</v>
      </c>
      <c r="BJ186" s="228">
        <v>764</v>
      </c>
      <c r="BK186" s="228">
        <v>-371</v>
      </c>
      <c r="BL186" s="229">
        <v>-0.4854</v>
      </c>
      <c r="BM186" s="228">
        <v>183</v>
      </c>
      <c r="BN186" s="228">
        <v>254</v>
      </c>
      <c r="BO186" s="228">
        <v>-71</v>
      </c>
      <c r="BP186" s="229">
        <v>-0.27929999999999999</v>
      </c>
      <c r="BQ186" s="228">
        <v>720</v>
      </c>
      <c r="BR186" s="230">
        <v>1236</v>
      </c>
      <c r="BS186" s="228">
        <v>-516</v>
      </c>
      <c r="BT186" s="229">
        <v>-0.41739999999999999</v>
      </c>
      <c r="BU186" s="230">
        <v>295563</v>
      </c>
      <c r="BV186" s="230">
        <v>411649</v>
      </c>
      <c r="BW186" s="230">
        <v>-116086</v>
      </c>
      <c r="BX186" s="229">
        <v>-0.28199999999999997</v>
      </c>
      <c r="BY186" s="228">
        <v>842</v>
      </c>
      <c r="BZ186" s="228">
        <v>843</v>
      </c>
      <c r="CA186" s="228">
        <v>-1</v>
      </c>
      <c r="CB186" s="229">
        <v>-8.0000000000000004E-4</v>
      </c>
      <c r="CC186" s="228">
        <v>828</v>
      </c>
      <c r="CD186" s="228">
        <v>829</v>
      </c>
      <c r="CE186" s="228">
        <v>-1</v>
      </c>
      <c r="CF186" s="229">
        <v>-1.6000000000000001E-3</v>
      </c>
      <c r="CG186" s="228">
        <v>14</v>
      </c>
      <c r="CH186" s="228">
        <v>14</v>
      </c>
      <c r="CI186" s="228">
        <v>0</v>
      </c>
      <c r="CJ186" s="229">
        <v>8.3000000000000001E-3</v>
      </c>
      <c r="CK186" s="228">
        <v>1</v>
      </c>
      <c r="CL186" s="228">
        <v>0</v>
      </c>
      <c r="CM186" s="228">
        <v>1</v>
      </c>
      <c r="CN186" s="229">
        <v>1.5</v>
      </c>
      <c r="CO186" s="228">
        <v>177</v>
      </c>
      <c r="CP186" s="228">
        <v>169</v>
      </c>
      <c r="CQ186" s="228">
        <v>7</v>
      </c>
      <c r="CR186" s="229">
        <v>4.3799999999999999E-2</v>
      </c>
      <c r="CS186" s="228">
        <v>122</v>
      </c>
      <c r="CT186" s="228">
        <v>113</v>
      </c>
      <c r="CU186" s="228">
        <v>10</v>
      </c>
      <c r="CV186" s="229">
        <v>8.6099999999999996E-2</v>
      </c>
      <c r="CW186" s="230">
        <v>1141</v>
      </c>
      <c r="CX186" s="230">
        <v>1125</v>
      </c>
      <c r="CY186" s="228">
        <v>16</v>
      </c>
      <c r="CZ186" s="229">
        <v>1.46E-2</v>
      </c>
      <c r="DA186" s="228">
        <v>36.11</v>
      </c>
      <c r="DB186" s="228">
        <v>37.79</v>
      </c>
      <c r="DC186" s="228">
        <v>-1.68</v>
      </c>
      <c r="DD186" s="228">
        <v>-1.68</v>
      </c>
      <c r="DE186" s="228">
        <v>40.11</v>
      </c>
      <c r="DF186" s="228">
        <v>40.21</v>
      </c>
      <c r="DG186" s="228">
        <v>-4</v>
      </c>
      <c r="DH186" s="228">
        <v>-0.1</v>
      </c>
      <c r="DI186" s="228">
        <v>35.51</v>
      </c>
      <c r="DJ186" s="228">
        <v>36.5</v>
      </c>
      <c r="DK186" s="228">
        <v>-0.99</v>
      </c>
      <c r="DL186" s="228">
        <v>-0.99</v>
      </c>
      <c r="DM186" s="228">
        <v>37.380000000000003</v>
      </c>
      <c r="DN186" s="228">
        <v>41.66</v>
      </c>
      <c r="DO186" s="228">
        <v>-4.28</v>
      </c>
      <c r="DP186" s="228">
        <v>-4.28</v>
      </c>
      <c r="DQ186" s="228">
        <v>0.69</v>
      </c>
      <c r="DR186" s="228">
        <v>0.66</v>
      </c>
      <c r="DS186" s="228">
        <v>0.03</v>
      </c>
      <c r="DT186" s="229">
        <v>4.5499999999999999E-2</v>
      </c>
      <c r="DU186" s="231">
        <v>3500</v>
      </c>
      <c r="DV186" s="231">
        <v>3200</v>
      </c>
      <c r="DW186" s="228">
        <v>0.47</v>
      </c>
      <c r="DX186" s="228">
        <v>0.33</v>
      </c>
      <c r="DY186" s="228">
        <v>0.14000000000000001</v>
      </c>
      <c r="DZ186" s="229">
        <v>0.42420000000000002</v>
      </c>
      <c r="EA186" s="229">
        <v>1.7299999999999999E-2</v>
      </c>
      <c r="EB186" s="230">
        <v>43050</v>
      </c>
      <c r="EC186" s="229">
        <v>1.9E-3</v>
      </c>
      <c r="ED186" s="229">
        <v>1.7299999999999999E-2</v>
      </c>
      <c r="EE186" s="228">
        <v>5.14</v>
      </c>
      <c r="EF186" s="229">
        <v>1.6000000000000001E-3</v>
      </c>
      <c r="EG186" s="230">
        <v>116470</v>
      </c>
      <c r="EH186" s="230">
        <v>175556</v>
      </c>
      <c r="EI186" s="229">
        <v>-0.33660000000000001</v>
      </c>
      <c r="EJ186" s="229">
        <v>0.39410000000000001</v>
      </c>
      <c r="EK186" s="228">
        <v>417</v>
      </c>
      <c r="EL186" s="228">
        <v>180</v>
      </c>
      <c r="EM186" s="228">
        <v>143.72</v>
      </c>
      <c r="EN186" s="228">
        <v>23.41</v>
      </c>
      <c r="EO186" s="228">
        <v>740.72</v>
      </c>
      <c r="EP186" s="231">
        <v>1248.96</v>
      </c>
      <c r="EQ186" s="228">
        <v>-508.24</v>
      </c>
      <c r="ER186" s="229">
        <v>-0.40689999999999998</v>
      </c>
      <c r="ES186" s="228">
        <v>180.87</v>
      </c>
      <c r="ET186" s="228">
        <v>114.28</v>
      </c>
      <c r="EU186" s="228">
        <v>842.28</v>
      </c>
      <c r="EV186" s="231">
        <v>10374894</v>
      </c>
      <c r="EW186" s="231">
        <v>1137.43</v>
      </c>
      <c r="EX186" s="231">
        <v>1120.82</v>
      </c>
      <c r="EY186" s="228">
        <v>16.61</v>
      </c>
      <c r="EZ186" s="229">
        <v>1.4800000000000001E-2</v>
      </c>
      <c r="FA186" s="229">
        <v>0.3397</v>
      </c>
      <c r="FB186" s="227" t="s">
        <v>567</v>
      </c>
      <c r="FC186">
        <f t="shared" si="3"/>
        <v>0</v>
      </c>
    </row>
    <row r="187" spans="1:159" ht="17.25" thickBot="1" x14ac:dyDescent="0.3">
      <c r="A187" s="226">
        <v>46121</v>
      </c>
      <c r="B187" s="227" t="s">
        <v>498</v>
      </c>
      <c r="C187" s="227" t="s">
        <v>645</v>
      </c>
      <c r="D187" s="228">
        <v>50</v>
      </c>
      <c r="E187" s="228">
        <v>19</v>
      </c>
      <c r="F187" s="231">
        <v>13996</v>
      </c>
      <c r="G187" s="231">
        <v>13689</v>
      </c>
      <c r="H187" s="228">
        <v>307</v>
      </c>
      <c r="I187" s="229">
        <v>2.24E-2</v>
      </c>
      <c r="J187" s="231">
        <v>13928</v>
      </c>
      <c r="K187" s="231">
        <v>13662</v>
      </c>
      <c r="L187" s="228">
        <v>266</v>
      </c>
      <c r="M187" s="229">
        <v>1.95E-2</v>
      </c>
      <c r="N187" s="231">
        <v>13996</v>
      </c>
      <c r="O187" s="231">
        <v>13689</v>
      </c>
      <c r="P187" s="228">
        <v>307</v>
      </c>
      <c r="Q187" s="229">
        <v>2.24E-2</v>
      </c>
      <c r="R187" s="231">
        <v>14045</v>
      </c>
      <c r="S187" s="231">
        <v>13756</v>
      </c>
      <c r="T187" s="228">
        <v>289</v>
      </c>
      <c r="U187" s="229">
        <v>2.1000000000000001E-2</v>
      </c>
      <c r="V187" s="231">
        <v>14133</v>
      </c>
      <c r="W187" s="231">
        <v>13820</v>
      </c>
      <c r="X187" s="228">
        <v>313</v>
      </c>
      <c r="Y187" s="229">
        <v>2.2599999999999999E-2</v>
      </c>
      <c r="Z187" s="228">
        <v>68</v>
      </c>
      <c r="AA187" s="228">
        <v>27</v>
      </c>
      <c r="AB187" s="228">
        <v>41</v>
      </c>
      <c r="AC187" s="229">
        <v>4.8999999999999998E-3</v>
      </c>
      <c r="AD187" s="228">
        <v>68</v>
      </c>
      <c r="AE187" s="228">
        <v>27</v>
      </c>
      <c r="AF187" s="228">
        <v>41</v>
      </c>
      <c r="AG187" s="229">
        <v>4.8999999999999998E-3</v>
      </c>
      <c r="AH187" s="228">
        <v>117</v>
      </c>
      <c r="AI187" s="228">
        <v>94</v>
      </c>
      <c r="AJ187" s="228">
        <v>23</v>
      </c>
      <c r="AK187" s="229">
        <v>8.3999999999999995E-3</v>
      </c>
      <c r="AL187" s="228">
        <v>205</v>
      </c>
      <c r="AM187" s="228">
        <v>158</v>
      </c>
      <c r="AN187" s="228">
        <v>47</v>
      </c>
      <c r="AO187" s="229">
        <v>1.47E-2</v>
      </c>
      <c r="AP187" s="231">
        <v>13963.68</v>
      </c>
      <c r="AQ187" s="231">
        <v>14005.71</v>
      </c>
      <c r="AR187" s="228">
        <v>0</v>
      </c>
      <c r="AS187" s="228">
        <v>215</v>
      </c>
      <c r="AT187" s="228">
        <v>232</v>
      </c>
      <c r="AU187" s="228">
        <v>-18</v>
      </c>
      <c r="AV187" s="229">
        <v>-7.6200000000000004E-2</v>
      </c>
      <c r="AW187" s="228">
        <v>192</v>
      </c>
      <c r="AX187" s="228">
        <v>188</v>
      </c>
      <c r="AY187" s="228">
        <v>4</v>
      </c>
      <c r="AZ187" s="229">
        <v>1.9300000000000001E-2</v>
      </c>
      <c r="BA187" s="228">
        <v>20</v>
      </c>
      <c r="BB187" s="228">
        <v>42</v>
      </c>
      <c r="BC187" s="228">
        <v>-22</v>
      </c>
      <c r="BD187" s="229">
        <v>-0.52010000000000001</v>
      </c>
      <c r="BE187" s="228">
        <v>3</v>
      </c>
      <c r="BF187" s="228">
        <v>2</v>
      </c>
      <c r="BG187" s="228">
        <v>0</v>
      </c>
      <c r="BH187" s="229">
        <v>0.1714</v>
      </c>
      <c r="BI187" s="228">
        <v>698</v>
      </c>
      <c r="BJ187" s="228">
        <v>285</v>
      </c>
      <c r="BK187" s="228">
        <v>414</v>
      </c>
      <c r="BL187" s="229">
        <v>1.4523999999999999</v>
      </c>
      <c r="BM187" s="228">
        <v>239</v>
      </c>
      <c r="BN187" s="228">
        <v>127</v>
      </c>
      <c r="BO187" s="228">
        <v>112</v>
      </c>
      <c r="BP187" s="229">
        <v>0.87529999999999997</v>
      </c>
      <c r="BQ187" s="230">
        <v>1152</v>
      </c>
      <c r="BR187" s="228">
        <v>645</v>
      </c>
      <c r="BS187" s="228">
        <v>507</v>
      </c>
      <c r="BT187" s="229">
        <v>0.78720000000000001</v>
      </c>
      <c r="BU187" s="230">
        <v>178104</v>
      </c>
      <c r="BV187" s="230">
        <v>201927</v>
      </c>
      <c r="BW187" s="230">
        <v>-23823</v>
      </c>
      <c r="BX187" s="229">
        <v>-0.11799999999999999</v>
      </c>
      <c r="BY187" s="230">
        <v>1081</v>
      </c>
      <c r="BZ187" s="230">
        <v>1073</v>
      </c>
      <c r="CA187" s="228">
        <v>8</v>
      </c>
      <c r="CB187" s="229">
        <v>7.1000000000000004E-3</v>
      </c>
      <c r="CC187" s="228">
        <v>950</v>
      </c>
      <c r="CD187" s="228">
        <v>944</v>
      </c>
      <c r="CE187" s="228">
        <v>6</v>
      </c>
      <c r="CF187" s="229">
        <v>6.4000000000000003E-3</v>
      </c>
      <c r="CG187" s="228">
        <v>108</v>
      </c>
      <c r="CH187" s="228">
        <v>106</v>
      </c>
      <c r="CI187" s="228">
        <v>1</v>
      </c>
      <c r="CJ187" s="229">
        <v>1.18E-2</v>
      </c>
      <c r="CK187" s="228">
        <v>23</v>
      </c>
      <c r="CL187" s="228">
        <v>23</v>
      </c>
      <c r="CM187" s="228">
        <v>0</v>
      </c>
      <c r="CN187" s="229">
        <v>1.54E-2</v>
      </c>
      <c r="CO187" s="228">
        <v>310</v>
      </c>
      <c r="CP187" s="228">
        <v>258</v>
      </c>
      <c r="CQ187" s="228">
        <v>52</v>
      </c>
      <c r="CR187" s="229">
        <v>0.20019999999999999</v>
      </c>
      <c r="CS187" s="228">
        <v>253</v>
      </c>
      <c r="CT187" s="228">
        <v>217</v>
      </c>
      <c r="CU187" s="228">
        <v>35</v>
      </c>
      <c r="CV187" s="229">
        <v>0.16250000000000001</v>
      </c>
      <c r="CW187" s="230">
        <v>1644</v>
      </c>
      <c r="CX187" s="230">
        <v>1549</v>
      </c>
      <c r="CY187" s="228">
        <v>95</v>
      </c>
      <c r="CZ187" s="229">
        <v>6.1100000000000002E-2</v>
      </c>
      <c r="DA187" s="228">
        <v>37.4</v>
      </c>
      <c r="DB187" s="228">
        <v>36.68</v>
      </c>
      <c r="DC187" s="228">
        <v>0.72</v>
      </c>
      <c r="DD187" s="228">
        <v>0.72</v>
      </c>
      <c r="DE187" s="228">
        <v>41.73</v>
      </c>
      <c r="DF187" s="228">
        <v>41.73</v>
      </c>
      <c r="DG187" s="228">
        <v>-4.33</v>
      </c>
      <c r="DH187" s="228">
        <v>0</v>
      </c>
      <c r="DI187" s="228">
        <v>37.119999999999997</v>
      </c>
      <c r="DJ187" s="228">
        <v>36.08</v>
      </c>
      <c r="DK187" s="228">
        <v>1.04</v>
      </c>
      <c r="DL187" s="228">
        <v>1.04</v>
      </c>
      <c r="DM187" s="228">
        <v>38.24</v>
      </c>
      <c r="DN187" s="228">
        <v>38.020000000000003</v>
      </c>
      <c r="DO187" s="228">
        <v>0.22</v>
      </c>
      <c r="DP187" s="228">
        <v>0.22</v>
      </c>
      <c r="DQ187" s="228">
        <v>0.82</v>
      </c>
      <c r="DR187" s="228">
        <v>0.84</v>
      </c>
      <c r="DS187" s="228">
        <v>-0.02</v>
      </c>
      <c r="DT187" s="229">
        <v>-2.3800000000000002E-2</v>
      </c>
      <c r="DU187" s="231">
        <v>15000</v>
      </c>
      <c r="DV187" s="231">
        <v>13000</v>
      </c>
      <c r="DW187" s="228">
        <v>0.34</v>
      </c>
      <c r="DX187" s="228">
        <v>0.45</v>
      </c>
      <c r="DY187" s="228">
        <v>-0.11</v>
      </c>
      <c r="DZ187" s="229">
        <v>-0.24440000000000001</v>
      </c>
      <c r="EA187" s="229">
        <v>0.12089999999999999</v>
      </c>
      <c r="EB187" s="230">
        <v>92200</v>
      </c>
      <c r="EC187" s="229">
        <v>3.5000000000000001E-3</v>
      </c>
      <c r="ED187" s="229">
        <v>0.12089999999999999</v>
      </c>
      <c r="EE187" s="228">
        <v>42.03</v>
      </c>
      <c r="EF187" s="229">
        <v>3.0000000000000001E-3</v>
      </c>
      <c r="EG187" s="230">
        <v>48080</v>
      </c>
      <c r="EH187" s="230">
        <v>82707</v>
      </c>
      <c r="EI187" s="229">
        <v>-0.41870000000000002</v>
      </c>
      <c r="EJ187" s="229">
        <v>0.27</v>
      </c>
      <c r="EK187" s="228">
        <v>745.08</v>
      </c>
      <c r="EL187" s="228">
        <v>228.93</v>
      </c>
      <c r="EM187" s="228">
        <v>214.29</v>
      </c>
      <c r="EN187" s="228">
        <v>26.43</v>
      </c>
      <c r="EO187" s="231">
        <v>1188.3</v>
      </c>
      <c r="EP187" s="228">
        <v>641.53</v>
      </c>
      <c r="EQ187" s="228">
        <v>546.77</v>
      </c>
      <c r="ER187" s="229">
        <v>0.85229999999999995</v>
      </c>
      <c r="ES187" s="228">
        <v>316.88</v>
      </c>
      <c r="ET187" s="228">
        <v>230.75</v>
      </c>
      <c r="EU187" s="231">
        <v>1081.44</v>
      </c>
      <c r="EV187" s="231">
        <v>3644817</v>
      </c>
      <c r="EW187" s="231">
        <v>1629.07</v>
      </c>
      <c r="EX187" s="231">
        <v>1506.25</v>
      </c>
      <c r="EY187" s="228">
        <v>122.82</v>
      </c>
      <c r="EZ187" s="229">
        <v>8.1500000000000003E-2</v>
      </c>
      <c r="FA187" s="229">
        <v>0.32219999999999999</v>
      </c>
      <c r="FB187" s="227" t="s">
        <v>555</v>
      </c>
      <c r="FC187">
        <f t="shared" si="3"/>
        <v>0</v>
      </c>
    </row>
    <row r="188" spans="1:159" ht="17.25" thickBot="1" x14ac:dyDescent="0.3">
      <c r="A188" s="226">
        <v>46121</v>
      </c>
      <c r="B188" s="227" t="s">
        <v>162</v>
      </c>
      <c r="C188" s="227" t="s">
        <v>613</v>
      </c>
      <c r="D188" s="228">
        <v>1225</v>
      </c>
      <c r="E188" s="228">
        <v>19</v>
      </c>
      <c r="F188" s="228">
        <v>523.4</v>
      </c>
      <c r="G188" s="228">
        <v>536.20000000000005</v>
      </c>
      <c r="H188" s="228">
        <v>-12.8</v>
      </c>
      <c r="I188" s="229">
        <v>-2.3900000000000001E-2</v>
      </c>
      <c r="J188" s="228">
        <v>523.04999999999995</v>
      </c>
      <c r="K188" s="228">
        <v>533.70000000000005</v>
      </c>
      <c r="L188" s="228">
        <v>-10.65</v>
      </c>
      <c r="M188" s="229">
        <v>-0.02</v>
      </c>
      <c r="N188" s="228">
        <v>523.4</v>
      </c>
      <c r="O188" s="228">
        <v>536.20000000000005</v>
      </c>
      <c r="P188" s="228">
        <v>-12.8</v>
      </c>
      <c r="Q188" s="229">
        <v>-2.3900000000000001E-2</v>
      </c>
      <c r="R188" s="228">
        <v>525.6</v>
      </c>
      <c r="S188" s="228">
        <v>538.45000000000005</v>
      </c>
      <c r="T188" s="228">
        <v>-12.85</v>
      </c>
      <c r="U188" s="229">
        <v>-2.3900000000000001E-2</v>
      </c>
      <c r="V188" s="228">
        <v>531.5</v>
      </c>
      <c r="W188" s="228">
        <v>540.75</v>
      </c>
      <c r="X188" s="228">
        <v>-9.25</v>
      </c>
      <c r="Y188" s="229">
        <v>-1.7100000000000001E-2</v>
      </c>
      <c r="Z188" s="228">
        <v>0.35</v>
      </c>
      <c r="AA188" s="228">
        <v>2.5</v>
      </c>
      <c r="AB188" s="228">
        <v>-2.15</v>
      </c>
      <c r="AC188" s="229">
        <v>6.9999999999999999E-4</v>
      </c>
      <c r="AD188" s="228">
        <v>0.35</v>
      </c>
      <c r="AE188" s="228">
        <v>2.5</v>
      </c>
      <c r="AF188" s="228">
        <v>-2.15</v>
      </c>
      <c r="AG188" s="229">
        <v>6.9999999999999999E-4</v>
      </c>
      <c r="AH188" s="228">
        <v>2.5499999999999998</v>
      </c>
      <c r="AI188" s="228">
        <v>4.75</v>
      </c>
      <c r="AJ188" s="228">
        <v>-2.2000000000000002</v>
      </c>
      <c r="AK188" s="229">
        <v>4.8999999999999998E-3</v>
      </c>
      <c r="AL188" s="228">
        <v>8.4499999999999993</v>
      </c>
      <c r="AM188" s="228">
        <v>7.05</v>
      </c>
      <c r="AN188" s="228">
        <v>1.4</v>
      </c>
      <c r="AO188" s="229">
        <v>1.6199999999999999E-2</v>
      </c>
      <c r="AP188" s="228">
        <v>529.47</v>
      </c>
      <c r="AQ188" s="228">
        <v>532.34</v>
      </c>
      <c r="AR188" s="228">
        <v>0</v>
      </c>
      <c r="AS188" s="228">
        <v>143</v>
      </c>
      <c r="AT188" s="228">
        <v>161</v>
      </c>
      <c r="AU188" s="228">
        <v>-18</v>
      </c>
      <c r="AV188" s="229">
        <v>-0.11070000000000001</v>
      </c>
      <c r="AW188" s="228">
        <v>140</v>
      </c>
      <c r="AX188" s="228">
        <v>155</v>
      </c>
      <c r="AY188" s="228">
        <v>-16</v>
      </c>
      <c r="AZ188" s="229">
        <v>-0.1002</v>
      </c>
      <c r="BA188" s="228">
        <v>3</v>
      </c>
      <c r="BB188" s="228">
        <v>5</v>
      </c>
      <c r="BC188" s="228">
        <v>-2</v>
      </c>
      <c r="BD188" s="229">
        <v>-0.42309999999999998</v>
      </c>
      <c r="BE188" s="228">
        <v>0</v>
      </c>
      <c r="BF188" s="228">
        <v>1</v>
      </c>
      <c r="BG188" s="228">
        <v>0</v>
      </c>
      <c r="BH188" s="229">
        <v>-0.22220000000000001</v>
      </c>
      <c r="BI188" s="228">
        <v>164</v>
      </c>
      <c r="BJ188" s="228">
        <v>341</v>
      </c>
      <c r="BK188" s="228">
        <v>-177</v>
      </c>
      <c r="BL188" s="229">
        <v>-0.5181</v>
      </c>
      <c r="BM188" s="228">
        <v>75</v>
      </c>
      <c r="BN188" s="228">
        <v>137</v>
      </c>
      <c r="BO188" s="228">
        <v>-62</v>
      </c>
      <c r="BP188" s="229">
        <v>-0.4551</v>
      </c>
      <c r="BQ188" s="228">
        <v>382</v>
      </c>
      <c r="BR188" s="228">
        <v>639</v>
      </c>
      <c r="BS188" s="228">
        <v>-257</v>
      </c>
      <c r="BT188" s="229">
        <v>-0.40179999999999999</v>
      </c>
      <c r="BU188" s="230">
        <v>1939461</v>
      </c>
      <c r="BV188" s="230">
        <v>4793316</v>
      </c>
      <c r="BW188" s="230">
        <v>-2853855</v>
      </c>
      <c r="BX188" s="229">
        <v>-0.59540000000000004</v>
      </c>
      <c r="BY188" s="228">
        <v>653</v>
      </c>
      <c r="BZ188" s="228">
        <v>661</v>
      </c>
      <c r="CA188" s="228">
        <v>-8</v>
      </c>
      <c r="CB188" s="229">
        <v>-1.23E-2</v>
      </c>
      <c r="CC188" s="228">
        <v>645</v>
      </c>
      <c r="CD188" s="228">
        <v>654</v>
      </c>
      <c r="CE188" s="228">
        <v>-9</v>
      </c>
      <c r="CF188" s="229">
        <v>-1.34E-2</v>
      </c>
      <c r="CG188" s="228">
        <v>7</v>
      </c>
      <c r="CH188" s="228">
        <v>6</v>
      </c>
      <c r="CI188" s="228">
        <v>0</v>
      </c>
      <c r="CJ188" s="229">
        <v>5.0500000000000003E-2</v>
      </c>
      <c r="CK188" s="228">
        <v>1</v>
      </c>
      <c r="CL188" s="228">
        <v>0</v>
      </c>
      <c r="CM188" s="228">
        <v>0</v>
      </c>
      <c r="CN188" s="229">
        <v>0.83330000000000004</v>
      </c>
      <c r="CO188" s="228">
        <v>182</v>
      </c>
      <c r="CP188" s="228">
        <v>162</v>
      </c>
      <c r="CQ188" s="228">
        <v>20</v>
      </c>
      <c r="CR188" s="229">
        <v>0.125</v>
      </c>
      <c r="CS188" s="228">
        <v>127</v>
      </c>
      <c r="CT188" s="228">
        <v>123</v>
      </c>
      <c r="CU188" s="228">
        <v>4</v>
      </c>
      <c r="CV188" s="229">
        <v>3.1399999999999997E-2</v>
      </c>
      <c r="CW188" s="228">
        <v>961</v>
      </c>
      <c r="CX188" s="228">
        <v>945</v>
      </c>
      <c r="CY188" s="228">
        <v>16</v>
      </c>
      <c r="CZ188" s="229">
        <v>1.6899999999999998E-2</v>
      </c>
      <c r="DA188" s="228">
        <v>38.56</v>
      </c>
      <c r="DB188" s="228">
        <v>38.979999999999997</v>
      </c>
      <c r="DC188" s="228">
        <v>-0.42</v>
      </c>
      <c r="DD188" s="228">
        <v>-0.42</v>
      </c>
      <c r="DE188" s="228">
        <v>40.67</v>
      </c>
      <c r="DF188" s="228">
        <v>40.64</v>
      </c>
      <c r="DG188" s="228">
        <v>-2.11</v>
      </c>
      <c r="DH188" s="228">
        <v>0.03</v>
      </c>
      <c r="DI188" s="228">
        <v>38.340000000000003</v>
      </c>
      <c r="DJ188" s="228">
        <v>39.020000000000003</v>
      </c>
      <c r="DK188" s="228">
        <v>-0.68</v>
      </c>
      <c r="DL188" s="228">
        <v>-0.68</v>
      </c>
      <c r="DM188" s="228">
        <v>39.04</v>
      </c>
      <c r="DN188" s="228">
        <v>38.880000000000003</v>
      </c>
      <c r="DO188" s="228">
        <v>0.16</v>
      </c>
      <c r="DP188" s="228">
        <v>0.16</v>
      </c>
      <c r="DQ188" s="228">
        <v>0.69</v>
      </c>
      <c r="DR188" s="228">
        <v>0.76</v>
      </c>
      <c r="DS188" s="228">
        <v>-7.0000000000000007E-2</v>
      </c>
      <c r="DT188" s="229">
        <v>-9.2100000000000001E-2</v>
      </c>
      <c r="DU188" s="228">
        <v>600</v>
      </c>
      <c r="DV188" s="228">
        <v>540</v>
      </c>
      <c r="DW188" s="228">
        <v>0.45</v>
      </c>
      <c r="DX188" s="228">
        <v>0.4</v>
      </c>
      <c r="DY188" s="228">
        <v>0.05</v>
      </c>
      <c r="DZ188" s="229">
        <v>0.125</v>
      </c>
      <c r="EA188" s="229">
        <v>1.1299999999999999E-2</v>
      </c>
      <c r="EB188" s="230">
        <v>128625</v>
      </c>
      <c r="EC188" s="229">
        <v>4.1999999999999997E-3</v>
      </c>
      <c r="ED188" s="229">
        <v>1.1299999999999999E-2</v>
      </c>
      <c r="EE188" s="228">
        <v>2.87</v>
      </c>
      <c r="EF188" s="229">
        <v>5.4000000000000003E-3</v>
      </c>
      <c r="EG188" s="230">
        <v>1094660</v>
      </c>
      <c r="EH188" s="230">
        <v>3410039</v>
      </c>
      <c r="EI188" s="229">
        <v>-0.67900000000000005</v>
      </c>
      <c r="EJ188" s="229">
        <v>0.56440000000000001</v>
      </c>
      <c r="EK188" s="228">
        <v>178.41</v>
      </c>
      <c r="EL188" s="228">
        <v>75.040000000000006</v>
      </c>
      <c r="EM188" s="228">
        <v>144.91999999999999</v>
      </c>
      <c r="EN188" s="228">
        <v>16.350000000000001</v>
      </c>
      <c r="EO188" s="228">
        <v>398.37</v>
      </c>
      <c r="EP188" s="228">
        <v>678.47</v>
      </c>
      <c r="EQ188" s="228">
        <v>-280.10000000000002</v>
      </c>
      <c r="ER188" s="229">
        <v>-0.4128</v>
      </c>
      <c r="ES188" s="228">
        <v>193.86</v>
      </c>
      <c r="ET188" s="228">
        <v>121.6</v>
      </c>
      <c r="EU188" s="228">
        <v>652.62</v>
      </c>
      <c r="EV188" s="231">
        <v>61283708</v>
      </c>
      <c r="EW188" s="228">
        <v>968.07</v>
      </c>
      <c r="EX188" s="228">
        <v>966.74</v>
      </c>
      <c r="EY188" s="228">
        <v>1.33</v>
      </c>
      <c r="EZ188" s="229">
        <v>1.4E-3</v>
      </c>
      <c r="FA188" s="229">
        <v>0.29970000000000002</v>
      </c>
      <c r="FB188" s="227" t="s">
        <v>567</v>
      </c>
      <c r="FC188">
        <f t="shared" si="3"/>
        <v>0</v>
      </c>
    </row>
    <row r="189" spans="1:159" ht="17.25" thickBot="1" x14ac:dyDescent="0.3">
      <c r="A189" s="226">
        <v>46121</v>
      </c>
      <c r="B189" s="227" t="s">
        <v>197</v>
      </c>
      <c r="C189" s="227" t="s">
        <v>286</v>
      </c>
      <c r="D189" s="228">
        <v>200</v>
      </c>
      <c r="E189" s="228">
        <v>19</v>
      </c>
      <c r="F189" s="231">
        <v>2411.6999999999998</v>
      </c>
      <c r="G189" s="231">
        <v>2448.1</v>
      </c>
      <c r="H189" s="228">
        <v>-36.4</v>
      </c>
      <c r="I189" s="229">
        <v>-1.49E-2</v>
      </c>
      <c r="J189" s="231">
        <v>2399.8000000000002</v>
      </c>
      <c r="K189" s="231">
        <v>2435.1</v>
      </c>
      <c r="L189" s="228">
        <v>-35.299999999999997</v>
      </c>
      <c r="M189" s="229">
        <v>-1.4500000000000001E-2</v>
      </c>
      <c r="N189" s="231">
        <v>2411.6999999999998</v>
      </c>
      <c r="O189" s="231">
        <v>2448.1</v>
      </c>
      <c r="P189" s="228">
        <v>-36.4</v>
      </c>
      <c r="Q189" s="229">
        <v>-1.49E-2</v>
      </c>
      <c r="R189" s="231">
        <v>2423.1</v>
      </c>
      <c r="S189" s="231">
        <v>2460.1</v>
      </c>
      <c r="T189" s="228">
        <v>-37</v>
      </c>
      <c r="U189" s="229">
        <v>-1.4999999999999999E-2</v>
      </c>
      <c r="V189" s="231">
        <v>2438.6999999999998</v>
      </c>
      <c r="W189" s="231">
        <v>2464.6</v>
      </c>
      <c r="X189" s="228">
        <v>-25.9</v>
      </c>
      <c r="Y189" s="229">
        <v>-1.0500000000000001E-2</v>
      </c>
      <c r="Z189" s="228">
        <v>11.9</v>
      </c>
      <c r="AA189" s="228">
        <v>13</v>
      </c>
      <c r="AB189" s="228">
        <v>-1.1000000000000001</v>
      </c>
      <c r="AC189" s="229">
        <v>5.0000000000000001E-3</v>
      </c>
      <c r="AD189" s="228">
        <v>11.9</v>
      </c>
      <c r="AE189" s="228">
        <v>13</v>
      </c>
      <c r="AF189" s="228">
        <v>-1.1000000000000001</v>
      </c>
      <c r="AG189" s="229">
        <v>5.0000000000000001E-3</v>
      </c>
      <c r="AH189" s="228">
        <v>23.3</v>
      </c>
      <c r="AI189" s="228">
        <v>25</v>
      </c>
      <c r="AJ189" s="228">
        <v>-1.7</v>
      </c>
      <c r="AK189" s="229">
        <v>9.7000000000000003E-3</v>
      </c>
      <c r="AL189" s="228">
        <v>38.9</v>
      </c>
      <c r="AM189" s="228">
        <v>29.5</v>
      </c>
      <c r="AN189" s="228">
        <v>9.4</v>
      </c>
      <c r="AO189" s="229">
        <v>1.6199999999999999E-2</v>
      </c>
      <c r="AP189" s="231">
        <v>2419.12</v>
      </c>
      <c r="AQ189" s="231">
        <v>2432.48</v>
      </c>
      <c r="AR189" s="228">
        <v>0</v>
      </c>
      <c r="AS189" s="228">
        <v>227</v>
      </c>
      <c r="AT189" s="228">
        <v>266</v>
      </c>
      <c r="AU189" s="228">
        <v>-39</v>
      </c>
      <c r="AV189" s="229">
        <v>-0.1462</v>
      </c>
      <c r="AW189" s="228">
        <v>212</v>
      </c>
      <c r="AX189" s="228">
        <v>251</v>
      </c>
      <c r="AY189" s="228">
        <v>-40</v>
      </c>
      <c r="AZ189" s="229">
        <v>-0.15790000000000001</v>
      </c>
      <c r="BA189" s="228">
        <v>13</v>
      </c>
      <c r="BB189" s="228">
        <v>12</v>
      </c>
      <c r="BC189" s="228">
        <v>1</v>
      </c>
      <c r="BD189" s="229">
        <v>8.1699999999999995E-2</v>
      </c>
      <c r="BE189" s="228">
        <v>2</v>
      </c>
      <c r="BF189" s="228">
        <v>2</v>
      </c>
      <c r="BG189" s="228">
        <v>0</v>
      </c>
      <c r="BH189" s="229">
        <v>-7.8899999999999998E-2</v>
      </c>
      <c r="BI189" s="228">
        <v>413</v>
      </c>
      <c r="BJ189" s="228">
        <v>681</v>
      </c>
      <c r="BK189" s="228">
        <v>-268</v>
      </c>
      <c r="BL189" s="229">
        <v>-0.39319999999999999</v>
      </c>
      <c r="BM189" s="228">
        <v>175</v>
      </c>
      <c r="BN189" s="228">
        <v>255</v>
      </c>
      <c r="BO189" s="228">
        <v>-80</v>
      </c>
      <c r="BP189" s="229">
        <v>-0.31490000000000001</v>
      </c>
      <c r="BQ189" s="228">
        <v>815</v>
      </c>
      <c r="BR189" s="230">
        <v>1201</v>
      </c>
      <c r="BS189" s="228">
        <v>-387</v>
      </c>
      <c r="BT189" s="229">
        <v>-0.32190000000000002</v>
      </c>
      <c r="BU189" s="230">
        <v>783294</v>
      </c>
      <c r="BV189" s="230">
        <v>917883</v>
      </c>
      <c r="BW189" s="230">
        <v>-134589</v>
      </c>
      <c r="BX189" s="229">
        <v>-0.14660000000000001</v>
      </c>
      <c r="BY189" s="230">
        <v>1056</v>
      </c>
      <c r="BZ189" s="228">
        <v>989</v>
      </c>
      <c r="CA189" s="228">
        <v>66</v>
      </c>
      <c r="CB189" s="229">
        <v>6.6900000000000001E-2</v>
      </c>
      <c r="CC189" s="230">
        <v>1032</v>
      </c>
      <c r="CD189" s="228">
        <v>971</v>
      </c>
      <c r="CE189" s="228">
        <v>60</v>
      </c>
      <c r="CF189" s="229">
        <v>6.2100000000000002E-2</v>
      </c>
      <c r="CG189" s="228">
        <v>21</v>
      </c>
      <c r="CH189" s="228">
        <v>16</v>
      </c>
      <c r="CI189" s="228">
        <v>5</v>
      </c>
      <c r="CJ189" s="229">
        <v>0.32819999999999999</v>
      </c>
      <c r="CK189" s="228">
        <v>3</v>
      </c>
      <c r="CL189" s="228">
        <v>2</v>
      </c>
      <c r="CM189" s="228">
        <v>1</v>
      </c>
      <c r="CN189" s="229">
        <v>0.3478</v>
      </c>
      <c r="CO189" s="228">
        <v>372</v>
      </c>
      <c r="CP189" s="228">
        <v>330</v>
      </c>
      <c r="CQ189" s="228">
        <v>42</v>
      </c>
      <c r="CR189" s="229">
        <v>0.12790000000000001</v>
      </c>
      <c r="CS189" s="228">
        <v>249</v>
      </c>
      <c r="CT189" s="228">
        <v>237</v>
      </c>
      <c r="CU189" s="228">
        <v>12</v>
      </c>
      <c r="CV189" s="229">
        <v>5.2200000000000003E-2</v>
      </c>
      <c r="CW189" s="230">
        <v>1677</v>
      </c>
      <c r="CX189" s="230">
        <v>1556</v>
      </c>
      <c r="CY189" s="228">
        <v>121</v>
      </c>
      <c r="CZ189" s="229">
        <v>7.7600000000000002E-2</v>
      </c>
      <c r="DA189" s="228">
        <v>36.9</v>
      </c>
      <c r="DB189" s="228">
        <v>37.22</v>
      </c>
      <c r="DC189" s="228">
        <v>-0.32</v>
      </c>
      <c r="DD189" s="228">
        <v>-0.32</v>
      </c>
      <c r="DE189" s="228">
        <v>36.67</v>
      </c>
      <c r="DF189" s="228">
        <v>36.71</v>
      </c>
      <c r="DG189" s="228">
        <v>0.23</v>
      </c>
      <c r="DH189" s="228">
        <v>-0.04</v>
      </c>
      <c r="DI189" s="228">
        <v>36.729999999999997</v>
      </c>
      <c r="DJ189" s="228">
        <v>37.04</v>
      </c>
      <c r="DK189" s="228">
        <v>-0.31</v>
      </c>
      <c r="DL189" s="228">
        <v>-0.31</v>
      </c>
      <c r="DM189" s="228">
        <v>37.29</v>
      </c>
      <c r="DN189" s="228">
        <v>37.71</v>
      </c>
      <c r="DO189" s="228">
        <v>-0.42</v>
      </c>
      <c r="DP189" s="228">
        <v>-0.42</v>
      </c>
      <c r="DQ189" s="228">
        <v>0.67</v>
      </c>
      <c r="DR189" s="228">
        <v>0.72</v>
      </c>
      <c r="DS189" s="228">
        <v>-0.05</v>
      </c>
      <c r="DT189" s="229">
        <v>-6.9400000000000003E-2</v>
      </c>
      <c r="DU189" s="231">
        <v>2600</v>
      </c>
      <c r="DV189" s="231">
        <v>2400</v>
      </c>
      <c r="DW189" s="228">
        <v>0.42</v>
      </c>
      <c r="DX189" s="228">
        <v>0.37</v>
      </c>
      <c r="DY189" s="228">
        <v>0.05</v>
      </c>
      <c r="DZ189" s="229">
        <v>0.1351</v>
      </c>
      <c r="EA189" s="229">
        <v>2.2599999999999999E-2</v>
      </c>
      <c r="EB189" s="230">
        <v>74400</v>
      </c>
      <c r="EC189" s="229">
        <v>4.7000000000000002E-3</v>
      </c>
      <c r="ED189" s="229">
        <v>2.2599999999999999E-2</v>
      </c>
      <c r="EE189" s="228">
        <v>13.36</v>
      </c>
      <c r="EF189" s="229">
        <v>5.4999999999999997E-3</v>
      </c>
      <c r="EG189" s="230">
        <v>338602</v>
      </c>
      <c r="EH189" s="230">
        <v>502550</v>
      </c>
      <c r="EI189" s="229">
        <v>-0.32619999999999999</v>
      </c>
      <c r="EJ189" s="229">
        <v>0.43230000000000002</v>
      </c>
      <c r="EK189" s="228">
        <v>441.67</v>
      </c>
      <c r="EL189" s="228">
        <v>176.93</v>
      </c>
      <c r="EM189" s="228">
        <v>227.59</v>
      </c>
      <c r="EN189" s="228">
        <v>46.43</v>
      </c>
      <c r="EO189" s="228">
        <v>846.18</v>
      </c>
      <c r="EP189" s="231">
        <v>1283.31</v>
      </c>
      <c r="EQ189" s="228">
        <v>-437.13</v>
      </c>
      <c r="ER189" s="229">
        <v>-0.34060000000000001</v>
      </c>
      <c r="ES189" s="228">
        <v>398.59</v>
      </c>
      <c r="ET189" s="228">
        <v>250.77</v>
      </c>
      <c r="EU189" s="231">
        <v>1055.78</v>
      </c>
      <c r="EV189" s="231">
        <v>19721628</v>
      </c>
      <c r="EW189" s="231">
        <v>1705.15</v>
      </c>
      <c r="EX189" s="231">
        <v>1596.66</v>
      </c>
      <c r="EY189" s="228">
        <v>108.49</v>
      </c>
      <c r="EZ189" s="229">
        <v>6.7900000000000002E-2</v>
      </c>
      <c r="FA189" s="229">
        <v>0.35260000000000002</v>
      </c>
      <c r="FB189" s="227" t="s">
        <v>566</v>
      </c>
      <c r="FC189">
        <f t="shared" si="3"/>
        <v>0</v>
      </c>
    </row>
    <row r="190" spans="1:159" ht="17.25" thickBot="1" x14ac:dyDescent="0.3">
      <c r="A190" s="226">
        <v>46121</v>
      </c>
      <c r="B190" s="227" t="s">
        <v>170</v>
      </c>
      <c r="C190" s="227" t="s">
        <v>288</v>
      </c>
      <c r="D190" s="228">
        <v>350</v>
      </c>
      <c r="E190" s="228">
        <v>19</v>
      </c>
      <c r="F190" s="231">
        <v>1725</v>
      </c>
      <c r="G190" s="231">
        <v>1722.5</v>
      </c>
      <c r="H190" s="228">
        <v>2.5</v>
      </c>
      <c r="I190" s="229">
        <v>1.5E-3</v>
      </c>
      <c r="J190" s="231">
        <v>1717.1</v>
      </c>
      <c r="K190" s="231">
        <v>1714.6</v>
      </c>
      <c r="L190" s="228">
        <v>2.5</v>
      </c>
      <c r="M190" s="229">
        <v>1.5E-3</v>
      </c>
      <c r="N190" s="231">
        <v>1725</v>
      </c>
      <c r="O190" s="231">
        <v>1722.5</v>
      </c>
      <c r="P190" s="228">
        <v>2.5</v>
      </c>
      <c r="Q190" s="229">
        <v>1.5E-3</v>
      </c>
      <c r="R190" s="231">
        <v>1733.8</v>
      </c>
      <c r="S190" s="231">
        <v>1731.9</v>
      </c>
      <c r="T190" s="228">
        <v>1.9</v>
      </c>
      <c r="U190" s="229">
        <v>1.1000000000000001E-3</v>
      </c>
      <c r="V190" s="231">
        <v>1746.1</v>
      </c>
      <c r="W190" s="231">
        <v>1744.4</v>
      </c>
      <c r="X190" s="228">
        <v>1.7</v>
      </c>
      <c r="Y190" s="229">
        <v>1E-3</v>
      </c>
      <c r="Z190" s="228">
        <v>7.9</v>
      </c>
      <c r="AA190" s="228">
        <v>7.9</v>
      </c>
      <c r="AB190" s="228">
        <v>0</v>
      </c>
      <c r="AC190" s="229">
        <v>4.5999999999999999E-3</v>
      </c>
      <c r="AD190" s="228">
        <v>7.9</v>
      </c>
      <c r="AE190" s="228">
        <v>7.9</v>
      </c>
      <c r="AF190" s="228">
        <v>0</v>
      </c>
      <c r="AG190" s="229">
        <v>4.5999999999999999E-3</v>
      </c>
      <c r="AH190" s="228">
        <v>16.7</v>
      </c>
      <c r="AI190" s="228">
        <v>17.3</v>
      </c>
      <c r="AJ190" s="228">
        <v>-0.6</v>
      </c>
      <c r="AK190" s="229">
        <v>9.7000000000000003E-3</v>
      </c>
      <c r="AL190" s="228">
        <v>29</v>
      </c>
      <c r="AM190" s="228">
        <v>29.8</v>
      </c>
      <c r="AN190" s="228">
        <v>-0.8</v>
      </c>
      <c r="AO190" s="229">
        <v>1.6899999999999998E-2</v>
      </c>
      <c r="AP190" s="231">
        <v>1727.67</v>
      </c>
      <c r="AQ190" s="231">
        <v>1734.83</v>
      </c>
      <c r="AR190" s="228">
        <v>0</v>
      </c>
      <c r="AS190" s="228">
        <v>284</v>
      </c>
      <c r="AT190" s="228">
        <v>514</v>
      </c>
      <c r="AU190" s="228">
        <v>-230</v>
      </c>
      <c r="AV190" s="229">
        <v>-0.44790000000000002</v>
      </c>
      <c r="AW190" s="228">
        <v>228</v>
      </c>
      <c r="AX190" s="228">
        <v>432</v>
      </c>
      <c r="AY190" s="228">
        <v>-204</v>
      </c>
      <c r="AZ190" s="229">
        <v>-0.47170000000000001</v>
      </c>
      <c r="BA190" s="228">
        <v>55</v>
      </c>
      <c r="BB190" s="228">
        <v>69</v>
      </c>
      <c r="BC190" s="228">
        <v>-14</v>
      </c>
      <c r="BD190" s="229">
        <v>-0.2014</v>
      </c>
      <c r="BE190" s="228">
        <v>1</v>
      </c>
      <c r="BF190" s="228">
        <v>13</v>
      </c>
      <c r="BG190" s="228">
        <v>-13</v>
      </c>
      <c r="BH190" s="229">
        <v>-0.95020000000000004</v>
      </c>
      <c r="BI190" s="230">
        <v>1025</v>
      </c>
      <c r="BJ190" s="230">
        <v>2006</v>
      </c>
      <c r="BK190" s="228">
        <v>-981</v>
      </c>
      <c r="BL190" s="229">
        <v>-0.48899999999999999</v>
      </c>
      <c r="BM190" s="228">
        <v>639</v>
      </c>
      <c r="BN190" s="230">
        <v>1342</v>
      </c>
      <c r="BO190" s="228">
        <v>-703</v>
      </c>
      <c r="BP190" s="229">
        <v>-0.52380000000000004</v>
      </c>
      <c r="BQ190" s="230">
        <v>1948</v>
      </c>
      <c r="BR190" s="230">
        <v>3862</v>
      </c>
      <c r="BS190" s="230">
        <v>-1914</v>
      </c>
      <c r="BT190" s="229">
        <v>-0.49559999999999998</v>
      </c>
      <c r="BU190" s="230">
        <v>3368476</v>
      </c>
      <c r="BV190" s="230">
        <v>5089267</v>
      </c>
      <c r="BW190" s="230">
        <v>-1720791</v>
      </c>
      <c r="BX190" s="229">
        <v>-0.33810000000000001</v>
      </c>
      <c r="BY190" s="230">
        <v>3285</v>
      </c>
      <c r="BZ190" s="230">
        <v>3227</v>
      </c>
      <c r="CA190" s="228">
        <v>59</v>
      </c>
      <c r="CB190" s="229">
        <v>1.8100000000000002E-2</v>
      </c>
      <c r="CC190" s="230">
        <v>2847</v>
      </c>
      <c r="CD190" s="230">
        <v>2832</v>
      </c>
      <c r="CE190" s="228">
        <v>16</v>
      </c>
      <c r="CF190" s="229">
        <v>5.5999999999999999E-3</v>
      </c>
      <c r="CG190" s="228">
        <v>382</v>
      </c>
      <c r="CH190" s="228">
        <v>340</v>
      </c>
      <c r="CI190" s="228">
        <v>43</v>
      </c>
      <c r="CJ190" s="229">
        <v>0.12590000000000001</v>
      </c>
      <c r="CK190" s="228">
        <v>55</v>
      </c>
      <c r="CL190" s="228">
        <v>55</v>
      </c>
      <c r="CM190" s="228">
        <v>0</v>
      </c>
      <c r="CN190" s="229">
        <v>-1.1000000000000001E-3</v>
      </c>
      <c r="CO190" s="228">
        <v>799</v>
      </c>
      <c r="CP190" s="228">
        <v>822</v>
      </c>
      <c r="CQ190" s="228">
        <v>-24</v>
      </c>
      <c r="CR190" s="229">
        <v>-2.87E-2</v>
      </c>
      <c r="CS190" s="228">
        <v>713</v>
      </c>
      <c r="CT190" s="228">
        <v>726</v>
      </c>
      <c r="CU190" s="228">
        <v>-13</v>
      </c>
      <c r="CV190" s="229">
        <v>-1.7399999999999999E-2</v>
      </c>
      <c r="CW190" s="230">
        <v>4797</v>
      </c>
      <c r="CX190" s="230">
        <v>4775</v>
      </c>
      <c r="CY190" s="228">
        <v>22</v>
      </c>
      <c r="CZ190" s="229">
        <v>4.7000000000000002E-3</v>
      </c>
      <c r="DA190" s="228">
        <v>21.72</v>
      </c>
      <c r="DB190" s="228">
        <v>21.6</v>
      </c>
      <c r="DC190" s="228">
        <v>0.12</v>
      </c>
      <c r="DD190" s="228">
        <v>0.12</v>
      </c>
      <c r="DE190" s="228">
        <v>23.2</v>
      </c>
      <c r="DF190" s="228">
        <v>23.25</v>
      </c>
      <c r="DG190" s="228">
        <v>-1.48</v>
      </c>
      <c r="DH190" s="228">
        <v>-0.05</v>
      </c>
      <c r="DI190" s="228">
        <v>21.32</v>
      </c>
      <c r="DJ190" s="228">
        <v>21.19</v>
      </c>
      <c r="DK190" s="228">
        <v>0.13</v>
      </c>
      <c r="DL190" s="228">
        <v>0.13</v>
      </c>
      <c r="DM190" s="228">
        <v>22.37</v>
      </c>
      <c r="DN190" s="228">
        <v>22.21</v>
      </c>
      <c r="DO190" s="228">
        <v>0.16</v>
      </c>
      <c r="DP190" s="228">
        <v>0.16</v>
      </c>
      <c r="DQ190" s="228">
        <v>0.89</v>
      </c>
      <c r="DR190" s="228">
        <v>0.88</v>
      </c>
      <c r="DS190" s="228">
        <v>0.01</v>
      </c>
      <c r="DT190" s="229">
        <v>1.14E-2</v>
      </c>
      <c r="DU190" s="231">
        <v>1800</v>
      </c>
      <c r="DV190" s="231">
        <v>1690</v>
      </c>
      <c r="DW190" s="228">
        <v>0.62</v>
      </c>
      <c r="DX190" s="228">
        <v>0.67</v>
      </c>
      <c r="DY190" s="228">
        <v>-0.05</v>
      </c>
      <c r="DZ190" s="229">
        <v>-7.46E-2</v>
      </c>
      <c r="EA190" s="229">
        <v>0.1333</v>
      </c>
      <c r="EB190" s="230">
        <v>2290400</v>
      </c>
      <c r="EC190" s="229">
        <v>5.1000000000000004E-3</v>
      </c>
      <c r="ED190" s="229">
        <v>0.1333</v>
      </c>
      <c r="EE190" s="228">
        <v>7.16</v>
      </c>
      <c r="EF190" s="229">
        <v>4.1000000000000003E-3</v>
      </c>
      <c r="EG190" s="230">
        <v>2235813</v>
      </c>
      <c r="EH190" s="230">
        <v>3410555</v>
      </c>
      <c r="EI190" s="229">
        <v>-0.34439999999999998</v>
      </c>
      <c r="EJ190" s="229">
        <v>0.66369999999999996</v>
      </c>
      <c r="EK190" s="231">
        <v>1057.6500000000001</v>
      </c>
      <c r="EL190" s="228">
        <v>635.95000000000005</v>
      </c>
      <c r="EM190" s="228">
        <v>284.56</v>
      </c>
      <c r="EN190" s="228">
        <v>79.2</v>
      </c>
      <c r="EO190" s="231">
        <v>1978.16</v>
      </c>
      <c r="EP190" s="231">
        <v>3903.09</v>
      </c>
      <c r="EQ190" s="231">
        <v>-1924.94</v>
      </c>
      <c r="ER190" s="229">
        <v>-0.49320000000000003</v>
      </c>
      <c r="ES190" s="228">
        <v>824.6</v>
      </c>
      <c r="ET190" s="228">
        <v>692.86</v>
      </c>
      <c r="EU190" s="231">
        <v>3287.87</v>
      </c>
      <c r="EV190" s="231">
        <v>121755902</v>
      </c>
      <c r="EW190" s="231">
        <v>4805.33</v>
      </c>
      <c r="EX190" s="231">
        <v>4776.51</v>
      </c>
      <c r="EY190" s="228">
        <v>28.82</v>
      </c>
      <c r="EZ190" s="229">
        <v>6.0000000000000001E-3</v>
      </c>
      <c r="FA190" s="229">
        <v>0.22839999999999999</v>
      </c>
      <c r="FB190" s="227" t="s">
        <v>555</v>
      </c>
      <c r="FC190">
        <f t="shared" si="3"/>
        <v>0</v>
      </c>
    </row>
    <row r="191" spans="1:159" ht="17.25" thickBot="1" x14ac:dyDescent="0.3">
      <c r="A191" s="226">
        <v>46121</v>
      </c>
      <c r="B191" s="227" t="s">
        <v>184</v>
      </c>
      <c r="C191" s="227" t="s">
        <v>573</v>
      </c>
      <c r="D191" s="228">
        <v>175</v>
      </c>
      <c r="E191" s="228">
        <v>19</v>
      </c>
      <c r="F191" s="231">
        <v>3790</v>
      </c>
      <c r="G191" s="231">
        <v>3804.4</v>
      </c>
      <c r="H191" s="228">
        <v>-14.4</v>
      </c>
      <c r="I191" s="229">
        <v>-3.8E-3</v>
      </c>
      <c r="J191" s="231">
        <v>3771.9</v>
      </c>
      <c r="K191" s="231">
        <v>3787.9</v>
      </c>
      <c r="L191" s="228">
        <v>-16</v>
      </c>
      <c r="M191" s="229">
        <v>-4.1999999999999997E-3</v>
      </c>
      <c r="N191" s="231">
        <v>3790</v>
      </c>
      <c r="O191" s="231">
        <v>3804.4</v>
      </c>
      <c r="P191" s="228">
        <v>-14.4</v>
      </c>
      <c r="Q191" s="229">
        <v>-3.8E-3</v>
      </c>
      <c r="R191" s="231">
        <v>3798.2</v>
      </c>
      <c r="S191" s="231">
        <v>3815.7</v>
      </c>
      <c r="T191" s="228">
        <v>-17.5</v>
      </c>
      <c r="U191" s="229">
        <v>-4.5999999999999999E-3</v>
      </c>
      <c r="V191" s="231">
        <v>3890</v>
      </c>
      <c r="W191" s="231">
        <v>3890</v>
      </c>
      <c r="X191" s="228">
        <v>0</v>
      </c>
      <c r="Y191" s="229">
        <v>0</v>
      </c>
      <c r="Z191" s="228">
        <v>18.100000000000001</v>
      </c>
      <c r="AA191" s="228">
        <v>16.5</v>
      </c>
      <c r="AB191" s="228">
        <v>1.6</v>
      </c>
      <c r="AC191" s="229">
        <v>4.7999999999999996E-3</v>
      </c>
      <c r="AD191" s="228">
        <v>18.100000000000001</v>
      </c>
      <c r="AE191" s="228">
        <v>16.5</v>
      </c>
      <c r="AF191" s="228">
        <v>1.6</v>
      </c>
      <c r="AG191" s="229">
        <v>4.7999999999999996E-3</v>
      </c>
      <c r="AH191" s="228">
        <v>26.3</v>
      </c>
      <c r="AI191" s="228">
        <v>27.8</v>
      </c>
      <c r="AJ191" s="228">
        <v>-1.5</v>
      </c>
      <c r="AK191" s="229">
        <v>7.0000000000000001E-3</v>
      </c>
      <c r="AL191" s="228">
        <v>118.1</v>
      </c>
      <c r="AM191" s="228">
        <v>102.1</v>
      </c>
      <c r="AN191" s="228">
        <v>16</v>
      </c>
      <c r="AO191" s="229">
        <v>3.1300000000000001E-2</v>
      </c>
      <c r="AP191" s="231">
        <v>3797.59</v>
      </c>
      <c r="AQ191" s="231">
        <v>3805.94</v>
      </c>
      <c r="AR191" s="228">
        <v>0</v>
      </c>
      <c r="AS191" s="228">
        <v>130</v>
      </c>
      <c r="AT191" s="228">
        <v>149</v>
      </c>
      <c r="AU191" s="228">
        <v>-19</v>
      </c>
      <c r="AV191" s="229">
        <v>-0.1278</v>
      </c>
      <c r="AW191" s="228">
        <v>129</v>
      </c>
      <c r="AX191" s="228">
        <v>147</v>
      </c>
      <c r="AY191" s="228">
        <v>-18</v>
      </c>
      <c r="AZ191" s="229">
        <v>-0.1242</v>
      </c>
      <c r="BA191" s="228">
        <v>2</v>
      </c>
      <c r="BB191" s="228">
        <v>2</v>
      </c>
      <c r="BC191" s="228">
        <v>-1</v>
      </c>
      <c r="BD191" s="229">
        <v>-0.32429999999999998</v>
      </c>
      <c r="BE191" s="228">
        <v>0</v>
      </c>
      <c r="BF191" s="228">
        <v>0</v>
      </c>
      <c r="BG191" s="228">
        <v>0</v>
      </c>
      <c r="BH191" s="229">
        <v>-1</v>
      </c>
      <c r="BI191" s="228">
        <v>187</v>
      </c>
      <c r="BJ191" s="228">
        <v>197</v>
      </c>
      <c r="BK191" s="228">
        <v>-10</v>
      </c>
      <c r="BL191" s="229">
        <v>-5.0599999999999999E-2</v>
      </c>
      <c r="BM191" s="228">
        <v>82</v>
      </c>
      <c r="BN191" s="228">
        <v>165</v>
      </c>
      <c r="BO191" s="228">
        <v>-83</v>
      </c>
      <c r="BP191" s="229">
        <v>-0.50119999999999998</v>
      </c>
      <c r="BQ191" s="228">
        <v>399</v>
      </c>
      <c r="BR191" s="228">
        <v>511</v>
      </c>
      <c r="BS191" s="228">
        <v>-112</v>
      </c>
      <c r="BT191" s="229">
        <v>-0.2185</v>
      </c>
      <c r="BU191" s="230">
        <v>277678</v>
      </c>
      <c r="BV191" s="230">
        <v>280602</v>
      </c>
      <c r="BW191" s="230">
        <v>-2924</v>
      </c>
      <c r="BX191" s="229">
        <v>-1.04E-2</v>
      </c>
      <c r="BY191" s="228">
        <v>753</v>
      </c>
      <c r="BZ191" s="228">
        <v>738</v>
      </c>
      <c r="CA191" s="228">
        <v>16</v>
      </c>
      <c r="CB191" s="229">
        <v>2.1000000000000001E-2</v>
      </c>
      <c r="CC191" s="228">
        <v>748</v>
      </c>
      <c r="CD191" s="228">
        <v>732</v>
      </c>
      <c r="CE191" s="228">
        <v>15</v>
      </c>
      <c r="CF191" s="229">
        <v>2.06E-2</v>
      </c>
      <c r="CG191" s="228">
        <v>5</v>
      </c>
      <c r="CH191" s="228">
        <v>5</v>
      </c>
      <c r="CI191" s="228">
        <v>0</v>
      </c>
      <c r="CJ191" s="229">
        <v>0.08</v>
      </c>
      <c r="CK191" s="228">
        <v>0</v>
      </c>
      <c r="CL191" s="228">
        <v>0</v>
      </c>
      <c r="CM191" s="228">
        <v>0</v>
      </c>
      <c r="CN191" s="229">
        <v>0</v>
      </c>
      <c r="CO191" s="228">
        <v>195</v>
      </c>
      <c r="CP191" s="228">
        <v>145</v>
      </c>
      <c r="CQ191" s="228">
        <v>50</v>
      </c>
      <c r="CR191" s="229">
        <v>0.34339999999999998</v>
      </c>
      <c r="CS191" s="228">
        <v>125</v>
      </c>
      <c r="CT191" s="228">
        <v>115</v>
      </c>
      <c r="CU191" s="228">
        <v>10</v>
      </c>
      <c r="CV191" s="229">
        <v>8.7599999999999997E-2</v>
      </c>
      <c r="CW191" s="230">
        <v>1073</v>
      </c>
      <c r="CX191" s="228">
        <v>998</v>
      </c>
      <c r="CY191" s="228">
        <v>75</v>
      </c>
      <c r="CZ191" s="229">
        <v>7.5600000000000001E-2</v>
      </c>
      <c r="DA191" s="228">
        <v>39.72</v>
      </c>
      <c r="DB191" s="228">
        <v>38.94</v>
      </c>
      <c r="DC191" s="228">
        <v>0.78</v>
      </c>
      <c r="DD191" s="228">
        <v>0.78</v>
      </c>
      <c r="DE191" s="228">
        <v>38.299999999999997</v>
      </c>
      <c r="DF191" s="228">
        <v>38.39</v>
      </c>
      <c r="DG191" s="228">
        <v>1.42</v>
      </c>
      <c r="DH191" s="228">
        <v>-0.09</v>
      </c>
      <c r="DI191" s="228">
        <v>37.58</v>
      </c>
      <c r="DJ191" s="228">
        <v>37.74</v>
      </c>
      <c r="DK191" s="228">
        <v>-0.16</v>
      </c>
      <c r="DL191" s="228">
        <v>-0.16</v>
      </c>
      <c r="DM191" s="228">
        <v>44.58</v>
      </c>
      <c r="DN191" s="228">
        <v>40.380000000000003</v>
      </c>
      <c r="DO191" s="228">
        <v>4.2</v>
      </c>
      <c r="DP191" s="228">
        <v>4.2</v>
      </c>
      <c r="DQ191" s="228">
        <v>0.64</v>
      </c>
      <c r="DR191" s="228">
        <v>0.79</v>
      </c>
      <c r="DS191" s="228">
        <v>-0.15</v>
      </c>
      <c r="DT191" s="229">
        <v>-0.18990000000000001</v>
      </c>
      <c r="DU191" s="231">
        <v>4400</v>
      </c>
      <c r="DV191" s="231">
        <v>3500</v>
      </c>
      <c r="DW191" s="228">
        <v>0.44</v>
      </c>
      <c r="DX191" s="228">
        <v>0.84</v>
      </c>
      <c r="DY191" s="228">
        <v>-0.4</v>
      </c>
      <c r="DZ191" s="229">
        <v>-0.47620000000000001</v>
      </c>
      <c r="EA191" s="229">
        <v>7.4000000000000003E-3</v>
      </c>
      <c r="EB191" s="230">
        <v>13650</v>
      </c>
      <c r="EC191" s="229">
        <v>2.2000000000000001E-3</v>
      </c>
      <c r="ED191" s="229">
        <v>7.4000000000000003E-3</v>
      </c>
      <c r="EE191" s="228">
        <v>8.35</v>
      </c>
      <c r="EF191" s="229">
        <v>2.2000000000000001E-3</v>
      </c>
      <c r="EG191" s="230">
        <v>139879</v>
      </c>
      <c r="EH191" s="230">
        <v>130612</v>
      </c>
      <c r="EI191" s="229">
        <v>7.0999999999999994E-2</v>
      </c>
      <c r="EJ191" s="229">
        <v>0.50370000000000004</v>
      </c>
      <c r="EK191" s="228">
        <v>206.83</v>
      </c>
      <c r="EL191" s="228">
        <v>75.349999999999994</v>
      </c>
      <c r="EM191" s="228">
        <v>130.59</v>
      </c>
      <c r="EN191" s="228">
        <v>29</v>
      </c>
      <c r="EO191" s="228">
        <v>412.76</v>
      </c>
      <c r="EP191" s="228">
        <v>525.33000000000004</v>
      </c>
      <c r="EQ191" s="228">
        <v>-112.56</v>
      </c>
      <c r="ER191" s="229">
        <v>-0.21429999999999999</v>
      </c>
      <c r="ES191" s="228">
        <v>209.44</v>
      </c>
      <c r="ET191" s="228">
        <v>119.46</v>
      </c>
      <c r="EU191" s="228">
        <v>753.14</v>
      </c>
      <c r="EV191" s="231">
        <v>9724371</v>
      </c>
      <c r="EW191" s="231">
        <v>1082.04</v>
      </c>
      <c r="EX191" s="231">
        <v>1002.91</v>
      </c>
      <c r="EY191" s="228">
        <v>79.13</v>
      </c>
      <c r="EZ191" s="229">
        <v>7.8899999999999998E-2</v>
      </c>
      <c r="FA191" s="229">
        <v>0.29120000000000001</v>
      </c>
      <c r="FB191" s="227" t="s">
        <v>566</v>
      </c>
      <c r="FC191">
        <f t="shared" si="3"/>
        <v>0</v>
      </c>
    </row>
    <row r="192" spans="1:159" ht="17.25" thickBot="1" x14ac:dyDescent="0.3">
      <c r="A192" s="226">
        <v>46121</v>
      </c>
      <c r="B192" s="227" t="s">
        <v>161</v>
      </c>
      <c r="C192" s="227" t="s">
        <v>682</v>
      </c>
      <c r="D192" s="228">
        <v>9025</v>
      </c>
      <c r="E192" s="228">
        <v>19</v>
      </c>
      <c r="F192" s="228">
        <v>44.38</v>
      </c>
      <c r="G192" s="228">
        <v>44.45</v>
      </c>
      <c r="H192" s="228">
        <v>-7.0000000000000007E-2</v>
      </c>
      <c r="I192" s="229">
        <v>-1.6000000000000001E-3</v>
      </c>
      <c r="J192" s="228">
        <v>44.23</v>
      </c>
      <c r="K192" s="228">
        <v>44.23</v>
      </c>
      <c r="L192" s="228">
        <v>0</v>
      </c>
      <c r="M192" s="229">
        <v>0</v>
      </c>
      <c r="N192" s="228">
        <v>44.38</v>
      </c>
      <c r="O192" s="228">
        <v>44.45</v>
      </c>
      <c r="P192" s="228">
        <v>-7.0000000000000007E-2</v>
      </c>
      <c r="Q192" s="229">
        <v>-1.6000000000000001E-3</v>
      </c>
      <c r="R192" s="228">
        <v>44.61</v>
      </c>
      <c r="S192" s="228">
        <v>44.67</v>
      </c>
      <c r="T192" s="228">
        <v>-0.06</v>
      </c>
      <c r="U192" s="229">
        <v>-1.2999999999999999E-3</v>
      </c>
      <c r="V192" s="228">
        <v>44.93</v>
      </c>
      <c r="W192" s="228">
        <v>45</v>
      </c>
      <c r="X192" s="228">
        <v>-7.0000000000000007E-2</v>
      </c>
      <c r="Y192" s="229">
        <v>-1.6000000000000001E-3</v>
      </c>
      <c r="Z192" s="228">
        <v>0.15</v>
      </c>
      <c r="AA192" s="228">
        <v>0.22</v>
      </c>
      <c r="AB192" s="228">
        <v>-7.0000000000000007E-2</v>
      </c>
      <c r="AC192" s="229">
        <v>3.3999999999999998E-3</v>
      </c>
      <c r="AD192" s="228">
        <v>0.15</v>
      </c>
      <c r="AE192" s="228">
        <v>0.22</v>
      </c>
      <c r="AF192" s="228">
        <v>-7.0000000000000007E-2</v>
      </c>
      <c r="AG192" s="229">
        <v>3.3999999999999998E-3</v>
      </c>
      <c r="AH192" s="228">
        <v>0.38</v>
      </c>
      <c r="AI192" s="228">
        <v>0.44</v>
      </c>
      <c r="AJ192" s="228">
        <v>-0.06</v>
      </c>
      <c r="AK192" s="229">
        <v>8.6E-3</v>
      </c>
      <c r="AL192" s="228">
        <v>0.7</v>
      </c>
      <c r="AM192" s="228">
        <v>0.77</v>
      </c>
      <c r="AN192" s="228">
        <v>-7.0000000000000007E-2</v>
      </c>
      <c r="AO192" s="229">
        <v>1.5800000000000002E-2</v>
      </c>
      <c r="AP192" s="228">
        <v>44.19</v>
      </c>
      <c r="AQ192" s="228">
        <v>44.42</v>
      </c>
      <c r="AR192" s="228">
        <v>0</v>
      </c>
      <c r="AS192" s="228">
        <v>193</v>
      </c>
      <c r="AT192" s="228">
        <v>263</v>
      </c>
      <c r="AU192" s="228">
        <v>-70</v>
      </c>
      <c r="AV192" s="229">
        <v>-0.26729999999999998</v>
      </c>
      <c r="AW192" s="228">
        <v>173</v>
      </c>
      <c r="AX192" s="228">
        <v>234</v>
      </c>
      <c r="AY192" s="228">
        <v>-61</v>
      </c>
      <c r="AZ192" s="229">
        <v>-0.26079999999999998</v>
      </c>
      <c r="BA192" s="228">
        <v>15</v>
      </c>
      <c r="BB192" s="228">
        <v>26</v>
      </c>
      <c r="BC192" s="228">
        <v>-11</v>
      </c>
      <c r="BD192" s="229">
        <v>-0.41920000000000002</v>
      </c>
      <c r="BE192" s="228">
        <v>5</v>
      </c>
      <c r="BF192" s="228">
        <v>3</v>
      </c>
      <c r="BG192" s="228">
        <v>1</v>
      </c>
      <c r="BH192" s="229">
        <v>0.42349999999999999</v>
      </c>
      <c r="BI192" s="228">
        <v>521</v>
      </c>
      <c r="BJ192" s="228">
        <v>933</v>
      </c>
      <c r="BK192" s="228">
        <v>-412</v>
      </c>
      <c r="BL192" s="229">
        <v>-0.44159999999999999</v>
      </c>
      <c r="BM192" s="228">
        <v>216</v>
      </c>
      <c r="BN192" s="228">
        <v>290</v>
      </c>
      <c r="BO192" s="228">
        <v>-74</v>
      </c>
      <c r="BP192" s="229">
        <v>-0.25530000000000003</v>
      </c>
      <c r="BQ192" s="228">
        <v>930</v>
      </c>
      <c r="BR192" s="230">
        <v>1486</v>
      </c>
      <c r="BS192" s="228">
        <v>-556</v>
      </c>
      <c r="BT192" s="229">
        <v>-0.37440000000000001</v>
      </c>
      <c r="BU192" s="230">
        <v>87326500</v>
      </c>
      <c r="BV192" s="230">
        <v>104716351</v>
      </c>
      <c r="BW192" s="230">
        <v>-17389851</v>
      </c>
      <c r="BX192" s="229">
        <v>-0.1661</v>
      </c>
      <c r="BY192" s="230">
        <v>1327</v>
      </c>
      <c r="BZ192" s="230">
        <v>1306</v>
      </c>
      <c r="CA192" s="228">
        <v>21</v>
      </c>
      <c r="CB192" s="229">
        <v>1.5900000000000001E-2</v>
      </c>
      <c r="CC192" s="230">
        <v>1246</v>
      </c>
      <c r="CD192" s="230">
        <v>1229</v>
      </c>
      <c r="CE192" s="228">
        <v>16</v>
      </c>
      <c r="CF192" s="229">
        <v>1.3299999999999999E-2</v>
      </c>
      <c r="CG192" s="228">
        <v>71</v>
      </c>
      <c r="CH192" s="228">
        <v>70</v>
      </c>
      <c r="CI192" s="228">
        <v>1</v>
      </c>
      <c r="CJ192" s="229">
        <v>1.43E-2</v>
      </c>
      <c r="CK192" s="228">
        <v>10</v>
      </c>
      <c r="CL192" s="228">
        <v>7</v>
      </c>
      <c r="CM192" s="228">
        <v>3</v>
      </c>
      <c r="CN192" s="229">
        <v>0.49430000000000002</v>
      </c>
      <c r="CO192" s="228">
        <v>528</v>
      </c>
      <c r="CP192" s="228">
        <v>493</v>
      </c>
      <c r="CQ192" s="228">
        <v>36</v>
      </c>
      <c r="CR192" s="229">
        <v>7.2300000000000003E-2</v>
      </c>
      <c r="CS192" s="228">
        <v>242</v>
      </c>
      <c r="CT192" s="228">
        <v>232</v>
      </c>
      <c r="CU192" s="228">
        <v>10</v>
      </c>
      <c r="CV192" s="229">
        <v>4.3400000000000001E-2</v>
      </c>
      <c r="CW192" s="230">
        <v>2097</v>
      </c>
      <c r="CX192" s="230">
        <v>2031</v>
      </c>
      <c r="CY192" s="228">
        <v>66</v>
      </c>
      <c r="CZ192" s="229">
        <v>3.27E-2</v>
      </c>
      <c r="DA192" s="228">
        <v>37.619999999999997</v>
      </c>
      <c r="DB192" s="228">
        <v>39.1</v>
      </c>
      <c r="DC192" s="228">
        <v>-1.48</v>
      </c>
      <c r="DD192" s="228">
        <v>-1.48</v>
      </c>
      <c r="DE192" s="228">
        <v>46.48</v>
      </c>
      <c r="DF192" s="228">
        <v>46.59</v>
      </c>
      <c r="DG192" s="228">
        <v>-8.86</v>
      </c>
      <c r="DH192" s="228">
        <v>-0.11</v>
      </c>
      <c r="DI192" s="228">
        <v>36.06</v>
      </c>
      <c r="DJ192" s="228">
        <v>37.340000000000003</v>
      </c>
      <c r="DK192" s="228">
        <v>-1.28</v>
      </c>
      <c r="DL192" s="228">
        <v>-1.28</v>
      </c>
      <c r="DM192" s="228">
        <v>41.4</v>
      </c>
      <c r="DN192" s="228">
        <v>44.78</v>
      </c>
      <c r="DO192" s="228">
        <v>-3.38</v>
      </c>
      <c r="DP192" s="228">
        <v>-3.38</v>
      </c>
      <c r="DQ192" s="228">
        <v>0.46</v>
      </c>
      <c r="DR192" s="228">
        <v>0.47</v>
      </c>
      <c r="DS192" s="228">
        <v>-0.01</v>
      </c>
      <c r="DT192" s="229">
        <v>-2.1299999999999999E-2</v>
      </c>
      <c r="DU192" s="228">
        <v>45</v>
      </c>
      <c r="DV192" s="228">
        <v>40</v>
      </c>
      <c r="DW192" s="228">
        <v>0.41</v>
      </c>
      <c r="DX192" s="228">
        <v>0.31</v>
      </c>
      <c r="DY192" s="228">
        <v>0.1</v>
      </c>
      <c r="DZ192" s="229">
        <v>0.3226</v>
      </c>
      <c r="EA192" s="229">
        <v>6.1199999999999997E-2</v>
      </c>
      <c r="EB192" s="230">
        <v>17309950</v>
      </c>
      <c r="EC192" s="229">
        <v>5.1999999999999998E-3</v>
      </c>
      <c r="ED192" s="229">
        <v>6.1199999999999997E-2</v>
      </c>
      <c r="EE192" s="228">
        <v>0.23</v>
      </c>
      <c r="EF192" s="229">
        <v>5.1999999999999998E-3</v>
      </c>
      <c r="EG192" s="230">
        <v>29670878</v>
      </c>
      <c r="EH192" s="230">
        <v>37003505</v>
      </c>
      <c r="EI192" s="229">
        <v>-0.19819999999999999</v>
      </c>
      <c r="EJ192" s="229">
        <v>0.33979999999999999</v>
      </c>
      <c r="EK192" s="228">
        <v>550.23</v>
      </c>
      <c r="EL192" s="228">
        <v>209.06</v>
      </c>
      <c r="EM192" s="228">
        <v>191.99</v>
      </c>
      <c r="EN192" s="228">
        <v>39.01</v>
      </c>
      <c r="EO192" s="228">
        <v>951.28</v>
      </c>
      <c r="EP192" s="231">
        <v>1520.09</v>
      </c>
      <c r="EQ192" s="228">
        <v>-568.80999999999995</v>
      </c>
      <c r="ER192" s="229">
        <v>-0.37419999999999998</v>
      </c>
      <c r="ES192" s="228">
        <v>548.58000000000004</v>
      </c>
      <c r="ET192" s="228">
        <v>227.36</v>
      </c>
      <c r="EU192" s="231">
        <v>1327.61</v>
      </c>
      <c r="EV192" s="231">
        <v>1815546735</v>
      </c>
      <c r="EW192" s="231">
        <v>2103.5500000000002</v>
      </c>
      <c r="EX192" s="231">
        <v>2036.97</v>
      </c>
      <c r="EY192" s="228">
        <v>66.58</v>
      </c>
      <c r="EZ192" s="229">
        <v>3.27E-2</v>
      </c>
      <c r="FA192" s="229">
        <v>0.26029999999999998</v>
      </c>
      <c r="FB192" s="227" t="s">
        <v>566</v>
      </c>
      <c r="FC192">
        <f t="shared" si="3"/>
        <v>0</v>
      </c>
    </row>
    <row r="193" spans="1:159" ht="17.25" thickBot="1" x14ac:dyDescent="0.3">
      <c r="A193" s="226">
        <v>46121</v>
      </c>
      <c r="B193" s="227" t="s">
        <v>614</v>
      </c>
      <c r="C193" s="227" t="s">
        <v>691</v>
      </c>
      <c r="D193" s="228">
        <v>1300</v>
      </c>
      <c r="E193" s="228">
        <v>19</v>
      </c>
      <c r="F193" s="228">
        <v>272.64999999999998</v>
      </c>
      <c r="G193" s="228">
        <v>279.10000000000002</v>
      </c>
      <c r="H193" s="228">
        <v>-6.45</v>
      </c>
      <c r="I193" s="229">
        <v>-2.3099999999999999E-2</v>
      </c>
      <c r="J193" s="228">
        <v>271.89999999999998</v>
      </c>
      <c r="K193" s="228">
        <v>277.64999999999998</v>
      </c>
      <c r="L193" s="228">
        <v>-5.75</v>
      </c>
      <c r="M193" s="229">
        <v>-2.07E-2</v>
      </c>
      <c r="N193" s="228">
        <v>272.64999999999998</v>
      </c>
      <c r="O193" s="228">
        <v>279.10000000000002</v>
      </c>
      <c r="P193" s="228">
        <v>-6.45</v>
      </c>
      <c r="Q193" s="229">
        <v>-2.3099999999999999E-2</v>
      </c>
      <c r="R193" s="228">
        <v>272.2</v>
      </c>
      <c r="S193" s="228">
        <v>277.8</v>
      </c>
      <c r="T193" s="228">
        <v>-5.6</v>
      </c>
      <c r="U193" s="229">
        <v>-2.0199999999999999E-2</v>
      </c>
      <c r="V193" s="228">
        <v>270.39999999999998</v>
      </c>
      <c r="W193" s="228">
        <v>277.7</v>
      </c>
      <c r="X193" s="228">
        <v>-7.3</v>
      </c>
      <c r="Y193" s="229">
        <v>-2.63E-2</v>
      </c>
      <c r="Z193" s="228">
        <v>0.75</v>
      </c>
      <c r="AA193" s="228">
        <v>1.45</v>
      </c>
      <c r="AB193" s="228">
        <v>-0.7</v>
      </c>
      <c r="AC193" s="229">
        <v>2.8E-3</v>
      </c>
      <c r="AD193" s="228">
        <v>0.75</v>
      </c>
      <c r="AE193" s="228">
        <v>1.45</v>
      </c>
      <c r="AF193" s="228">
        <v>-0.7</v>
      </c>
      <c r="AG193" s="229">
        <v>2.8E-3</v>
      </c>
      <c r="AH193" s="228">
        <v>0.3</v>
      </c>
      <c r="AI193" s="228">
        <v>0.15</v>
      </c>
      <c r="AJ193" s="228">
        <v>0.15</v>
      </c>
      <c r="AK193" s="229">
        <v>1.1000000000000001E-3</v>
      </c>
      <c r="AL193" s="228">
        <v>-1.5</v>
      </c>
      <c r="AM193" s="228">
        <v>0.05</v>
      </c>
      <c r="AN193" s="228">
        <v>-1.55</v>
      </c>
      <c r="AO193" s="229">
        <v>-5.4999999999999997E-3</v>
      </c>
      <c r="AP193" s="228">
        <v>273.43</v>
      </c>
      <c r="AQ193" s="228">
        <v>272.63</v>
      </c>
      <c r="AR193" s="228">
        <v>0</v>
      </c>
      <c r="AS193" s="228">
        <v>233</v>
      </c>
      <c r="AT193" s="228">
        <v>235</v>
      </c>
      <c r="AU193" s="228">
        <v>-2</v>
      </c>
      <c r="AV193" s="229">
        <v>-6.4999999999999997E-3</v>
      </c>
      <c r="AW193" s="228">
        <v>222</v>
      </c>
      <c r="AX193" s="228">
        <v>226</v>
      </c>
      <c r="AY193" s="228">
        <v>-4</v>
      </c>
      <c r="AZ193" s="229">
        <v>-1.8200000000000001E-2</v>
      </c>
      <c r="BA193" s="228">
        <v>11</v>
      </c>
      <c r="BB193" s="228">
        <v>7</v>
      </c>
      <c r="BC193" s="228">
        <v>4</v>
      </c>
      <c r="BD193" s="229">
        <v>0.49509999999999998</v>
      </c>
      <c r="BE193" s="228">
        <v>1</v>
      </c>
      <c r="BF193" s="228">
        <v>2</v>
      </c>
      <c r="BG193" s="228">
        <v>-1</v>
      </c>
      <c r="BH193" s="229">
        <v>-0.57999999999999996</v>
      </c>
      <c r="BI193" s="228">
        <v>163</v>
      </c>
      <c r="BJ193" s="228">
        <v>226</v>
      </c>
      <c r="BK193" s="228">
        <v>-63</v>
      </c>
      <c r="BL193" s="229">
        <v>-0.27929999999999999</v>
      </c>
      <c r="BM193" s="228">
        <v>75</v>
      </c>
      <c r="BN193" s="228">
        <v>94</v>
      </c>
      <c r="BO193" s="228">
        <v>-19</v>
      </c>
      <c r="BP193" s="229">
        <v>-0.2041</v>
      </c>
      <c r="BQ193" s="228">
        <v>472</v>
      </c>
      <c r="BR193" s="228">
        <v>556</v>
      </c>
      <c r="BS193" s="228">
        <v>-84</v>
      </c>
      <c r="BT193" s="229">
        <v>-0.15129999999999999</v>
      </c>
      <c r="BU193" s="230">
        <v>8706111</v>
      </c>
      <c r="BV193" s="230">
        <v>15185206</v>
      </c>
      <c r="BW193" s="230">
        <v>-6479095</v>
      </c>
      <c r="BX193" s="229">
        <v>-0.42670000000000002</v>
      </c>
      <c r="BY193" s="230">
        <v>1428</v>
      </c>
      <c r="BZ193" s="230">
        <v>1423</v>
      </c>
      <c r="CA193" s="228">
        <v>5</v>
      </c>
      <c r="CB193" s="229">
        <v>3.2000000000000002E-3</v>
      </c>
      <c r="CC193" s="230">
        <v>1399</v>
      </c>
      <c r="CD193" s="230">
        <v>1398</v>
      </c>
      <c r="CE193" s="228">
        <v>1</v>
      </c>
      <c r="CF193" s="229">
        <v>4.0000000000000002E-4</v>
      </c>
      <c r="CG193" s="228">
        <v>26</v>
      </c>
      <c r="CH193" s="228">
        <v>23</v>
      </c>
      <c r="CI193" s="228">
        <v>3</v>
      </c>
      <c r="CJ193" s="229">
        <v>0.1444</v>
      </c>
      <c r="CK193" s="228">
        <v>3</v>
      </c>
      <c r="CL193" s="228">
        <v>2</v>
      </c>
      <c r="CM193" s="228">
        <v>1</v>
      </c>
      <c r="CN193" s="229">
        <v>0.30649999999999999</v>
      </c>
      <c r="CO193" s="228">
        <v>170</v>
      </c>
      <c r="CP193" s="228">
        <v>146</v>
      </c>
      <c r="CQ193" s="228">
        <v>24</v>
      </c>
      <c r="CR193" s="229">
        <v>0.16339999999999999</v>
      </c>
      <c r="CS193" s="228">
        <v>110</v>
      </c>
      <c r="CT193" s="228">
        <v>103</v>
      </c>
      <c r="CU193" s="228">
        <v>7</v>
      </c>
      <c r="CV193" s="229">
        <v>7.0699999999999999E-2</v>
      </c>
      <c r="CW193" s="230">
        <v>1707</v>
      </c>
      <c r="CX193" s="230">
        <v>1672</v>
      </c>
      <c r="CY193" s="228">
        <v>36</v>
      </c>
      <c r="CZ193" s="229">
        <v>2.1299999999999999E-2</v>
      </c>
      <c r="DA193" s="228">
        <v>49.62</v>
      </c>
      <c r="DB193" s="228">
        <v>48.31</v>
      </c>
      <c r="DC193" s="228">
        <v>1.31</v>
      </c>
      <c r="DD193" s="228">
        <v>1.31</v>
      </c>
      <c r="DE193" s="228">
        <v>45.34</v>
      </c>
      <c r="DF193" s="228">
        <v>45.36</v>
      </c>
      <c r="DG193" s="228">
        <v>4.28</v>
      </c>
      <c r="DH193" s="228">
        <v>-0.02</v>
      </c>
      <c r="DI193" s="228">
        <v>49.68</v>
      </c>
      <c r="DJ193" s="228">
        <v>48.05</v>
      </c>
      <c r="DK193" s="228">
        <v>1.63</v>
      </c>
      <c r="DL193" s="228">
        <v>1.63</v>
      </c>
      <c r="DM193" s="228">
        <v>49.5</v>
      </c>
      <c r="DN193" s="228">
        <v>48.93</v>
      </c>
      <c r="DO193" s="228">
        <v>0.56999999999999995</v>
      </c>
      <c r="DP193" s="228">
        <v>0.56999999999999995</v>
      </c>
      <c r="DQ193" s="228">
        <v>0.65</v>
      </c>
      <c r="DR193" s="228">
        <v>0.7</v>
      </c>
      <c r="DS193" s="228">
        <v>-0.05</v>
      </c>
      <c r="DT193" s="229">
        <v>-7.1400000000000005E-2</v>
      </c>
      <c r="DU193" s="228">
        <v>300</v>
      </c>
      <c r="DV193" s="228">
        <v>270</v>
      </c>
      <c r="DW193" s="228">
        <v>0.46</v>
      </c>
      <c r="DX193" s="228">
        <v>0.42</v>
      </c>
      <c r="DY193" s="228">
        <v>0.04</v>
      </c>
      <c r="DZ193" s="229">
        <v>9.5200000000000007E-2</v>
      </c>
      <c r="EA193" s="229">
        <v>2.01E-2</v>
      </c>
      <c r="EB193" s="230">
        <v>908700</v>
      </c>
      <c r="EC193" s="229">
        <v>-1.6999999999999999E-3</v>
      </c>
      <c r="ED193" s="229">
        <v>2.01E-2</v>
      </c>
      <c r="EE193" s="228">
        <v>-0.8</v>
      </c>
      <c r="EF193" s="229">
        <v>-2.8999999999999998E-3</v>
      </c>
      <c r="EG193" s="230">
        <v>2714699</v>
      </c>
      <c r="EH193" s="230">
        <v>7468040</v>
      </c>
      <c r="EI193" s="229">
        <v>-0.63649999999999995</v>
      </c>
      <c r="EJ193" s="229">
        <v>0.31180000000000002</v>
      </c>
      <c r="EK193" s="228">
        <v>175.84</v>
      </c>
      <c r="EL193" s="228">
        <v>77.86</v>
      </c>
      <c r="EM193" s="228">
        <v>233.89</v>
      </c>
      <c r="EN193" s="228">
        <v>70.959999999999994</v>
      </c>
      <c r="EO193" s="228">
        <v>487.59</v>
      </c>
      <c r="EP193" s="228">
        <v>586.72</v>
      </c>
      <c r="EQ193" s="228">
        <v>-99.13</v>
      </c>
      <c r="ER193" s="229">
        <v>-0.16900000000000001</v>
      </c>
      <c r="ES193" s="228">
        <v>179.1</v>
      </c>
      <c r="ET193" s="228">
        <v>109.52</v>
      </c>
      <c r="EU193" s="231">
        <v>1427.71</v>
      </c>
      <c r="EV193" s="231">
        <v>389472858</v>
      </c>
      <c r="EW193" s="231">
        <v>1716.33</v>
      </c>
      <c r="EX193" s="231">
        <v>1713.62</v>
      </c>
      <c r="EY193" s="228">
        <v>2.71</v>
      </c>
      <c r="EZ193" s="229">
        <v>1.6000000000000001E-3</v>
      </c>
      <c r="FA193" s="229">
        <v>0.1608</v>
      </c>
      <c r="FB193" s="227" t="s">
        <v>566</v>
      </c>
      <c r="FC193">
        <f t="shared" si="3"/>
        <v>0</v>
      </c>
    </row>
    <row r="194" spans="1:159" ht="17.25" thickBot="1" x14ac:dyDescent="0.3">
      <c r="A194" s="226">
        <v>46121</v>
      </c>
      <c r="B194" s="227" t="s">
        <v>168</v>
      </c>
      <c r="C194" s="227" t="s">
        <v>291</v>
      </c>
      <c r="D194" s="228">
        <v>550</v>
      </c>
      <c r="E194" s="228">
        <v>19</v>
      </c>
      <c r="F194" s="231">
        <v>1082.5</v>
      </c>
      <c r="G194" s="231">
        <v>1073.9000000000001</v>
      </c>
      <c r="H194" s="228">
        <v>8.6</v>
      </c>
      <c r="I194" s="229">
        <v>8.0000000000000002E-3</v>
      </c>
      <c r="J194" s="231">
        <v>1078</v>
      </c>
      <c r="K194" s="231">
        <v>1068.5</v>
      </c>
      <c r="L194" s="228">
        <v>9.5</v>
      </c>
      <c r="M194" s="229">
        <v>8.8999999999999999E-3</v>
      </c>
      <c r="N194" s="231">
        <v>1082.5</v>
      </c>
      <c r="O194" s="231">
        <v>1073.9000000000001</v>
      </c>
      <c r="P194" s="228">
        <v>8.6</v>
      </c>
      <c r="Q194" s="229">
        <v>8.0000000000000002E-3</v>
      </c>
      <c r="R194" s="231">
        <v>1086.4000000000001</v>
      </c>
      <c r="S194" s="231">
        <v>1079.5999999999999</v>
      </c>
      <c r="T194" s="228">
        <v>6.8</v>
      </c>
      <c r="U194" s="229">
        <v>6.3E-3</v>
      </c>
      <c r="V194" s="231">
        <v>1088.2</v>
      </c>
      <c r="W194" s="231">
        <v>1079.0999999999999</v>
      </c>
      <c r="X194" s="228">
        <v>9.1</v>
      </c>
      <c r="Y194" s="229">
        <v>8.3999999999999995E-3</v>
      </c>
      <c r="Z194" s="228">
        <v>4.5</v>
      </c>
      <c r="AA194" s="228">
        <v>5.4</v>
      </c>
      <c r="AB194" s="228">
        <v>-0.9</v>
      </c>
      <c r="AC194" s="229">
        <v>4.1999999999999997E-3</v>
      </c>
      <c r="AD194" s="228">
        <v>4.5</v>
      </c>
      <c r="AE194" s="228">
        <v>5.4</v>
      </c>
      <c r="AF194" s="228">
        <v>-0.9</v>
      </c>
      <c r="AG194" s="229">
        <v>4.1999999999999997E-3</v>
      </c>
      <c r="AH194" s="228">
        <v>8.4</v>
      </c>
      <c r="AI194" s="228">
        <v>11.1</v>
      </c>
      <c r="AJ194" s="228">
        <v>-2.7</v>
      </c>
      <c r="AK194" s="229">
        <v>7.7999999999999996E-3</v>
      </c>
      <c r="AL194" s="228">
        <v>10.199999999999999</v>
      </c>
      <c r="AM194" s="228">
        <v>10.6</v>
      </c>
      <c r="AN194" s="228">
        <v>-0.4</v>
      </c>
      <c r="AO194" s="229">
        <v>9.4999999999999998E-3</v>
      </c>
      <c r="AP194" s="231">
        <v>1079.93</v>
      </c>
      <c r="AQ194" s="231">
        <v>1080.56</v>
      </c>
      <c r="AR194" s="228">
        <v>0</v>
      </c>
      <c r="AS194" s="228">
        <v>187</v>
      </c>
      <c r="AT194" s="228">
        <v>275</v>
      </c>
      <c r="AU194" s="228">
        <v>-88</v>
      </c>
      <c r="AV194" s="229">
        <v>-0.31950000000000001</v>
      </c>
      <c r="AW194" s="228">
        <v>170</v>
      </c>
      <c r="AX194" s="228">
        <v>264</v>
      </c>
      <c r="AY194" s="228">
        <v>-94</v>
      </c>
      <c r="AZ194" s="229">
        <v>-0.35680000000000001</v>
      </c>
      <c r="BA194" s="228">
        <v>16</v>
      </c>
      <c r="BB194" s="228">
        <v>9</v>
      </c>
      <c r="BC194" s="228">
        <v>6</v>
      </c>
      <c r="BD194" s="229">
        <v>0.70779999999999998</v>
      </c>
      <c r="BE194" s="228">
        <v>1</v>
      </c>
      <c r="BF194" s="228">
        <v>1</v>
      </c>
      <c r="BG194" s="228">
        <v>0</v>
      </c>
      <c r="BH194" s="229">
        <v>0.2</v>
      </c>
      <c r="BI194" s="228">
        <v>214</v>
      </c>
      <c r="BJ194" s="228">
        <v>234</v>
      </c>
      <c r="BK194" s="228">
        <v>-20</v>
      </c>
      <c r="BL194" s="229">
        <v>-8.4500000000000006E-2</v>
      </c>
      <c r="BM194" s="228">
        <v>80</v>
      </c>
      <c r="BN194" s="228">
        <v>94</v>
      </c>
      <c r="BO194" s="228">
        <v>-14</v>
      </c>
      <c r="BP194" s="229">
        <v>-0.15190000000000001</v>
      </c>
      <c r="BQ194" s="228">
        <v>481</v>
      </c>
      <c r="BR194" s="228">
        <v>603</v>
      </c>
      <c r="BS194" s="228">
        <v>-122</v>
      </c>
      <c r="BT194" s="229">
        <v>-0.2021</v>
      </c>
      <c r="BU194" s="230">
        <v>2212178</v>
      </c>
      <c r="BV194" s="230">
        <v>1983251</v>
      </c>
      <c r="BW194" s="230">
        <v>228927</v>
      </c>
      <c r="BX194" s="229">
        <v>0.1154</v>
      </c>
      <c r="BY194" s="230">
        <v>1486</v>
      </c>
      <c r="BZ194" s="230">
        <v>1451</v>
      </c>
      <c r="CA194" s="228">
        <v>35</v>
      </c>
      <c r="CB194" s="229">
        <v>2.3900000000000001E-2</v>
      </c>
      <c r="CC194" s="230">
        <v>1398</v>
      </c>
      <c r="CD194" s="230">
        <v>1370</v>
      </c>
      <c r="CE194" s="228">
        <v>28</v>
      </c>
      <c r="CF194" s="229">
        <v>2.01E-2</v>
      </c>
      <c r="CG194" s="228">
        <v>81</v>
      </c>
      <c r="CH194" s="228">
        <v>74</v>
      </c>
      <c r="CI194" s="228">
        <v>7</v>
      </c>
      <c r="CJ194" s="229">
        <v>0.10100000000000001</v>
      </c>
      <c r="CK194" s="228">
        <v>7</v>
      </c>
      <c r="CL194" s="228">
        <v>7</v>
      </c>
      <c r="CM194" s="228">
        <v>0</v>
      </c>
      <c r="CN194" s="229">
        <v>-3.2800000000000003E-2</v>
      </c>
      <c r="CO194" s="228">
        <v>148</v>
      </c>
      <c r="CP194" s="228">
        <v>150</v>
      </c>
      <c r="CQ194" s="228">
        <v>-3</v>
      </c>
      <c r="CR194" s="229">
        <v>-1.66E-2</v>
      </c>
      <c r="CS194" s="228">
        <v>231</v>
      </c>
      <c r="CT194" s="228">
        <v>229</v>
      </c>
      <c r="CU194" s="228">
        <v>2</v>
      </c>
      <c r="CV194" s="229">
        <v>8.6E-3</v>
      </c>
      <c r="CW194" s="230">
        <v>1864</v>
      </c>
      <c r="CX194" s="230">
        <v>1830</v>
      </c>
      <c r="CY194" s="228">
        <v>34</v>
      </c>
      <c r="CZ194" s="229">
        <v>1.8700000000000001E-2</v>
      </c>
      <c r="DA194" s="228">
        <v>28.69</v>
      </c>
      <c r="DB194" s="228">
        <v>28.68</v>
      </c>
      <c r="DC194" s="228">
        <v>0.01</v>
      </c>
      <c r="DD194" s="228">
        <v>0.01</v>
      </c>
      <c r="DE194" s="228">
        <v>27.57</v>
      </c>
      <c r="DF194" s="228">
        <v>27.62</v>
      </c>
      <c r="DG194" s="228">
        <v>1.1200000000000001</v>
      </c>
      <c r="DH194" s="228">
        <v>-0.05</v>
      </c>
      <c r="DI194" s="228">
        <v>28.41</v>
      </c>
      <c r="DJ194" s="228">
        <v>28.14</v>
      </c>
      <c r="DK194" s="228">
        <v>0.27</v>
      </c>
      <c r="DL194" s="228">
        <v>0.27</v>
      </c>
      <c r="DM194" s="228">
        <v>29.43</v>
      </c>
      <c r="DN194" s="228">
        <v>30</v>
      </c>
      <c r="DO194" s="228">
        <v>-0.56999999999999995</v>
      </c>
      <c r="DP194" s="228">
        <v>-0.56999999999999995</v>
      </c>
      <c r="DQ194" s="228">
        <v>1.56</v>
      </c>
      <c r="DR194" s="228">
        <v>1.52</v>
      </c>
      <c r="DS194" s="228">
        <v>0.04</v>
      </c>
      <c r="DT194" s="229">
        <v>2.63E-2</v>
      </c>
      <c r="DU194" s="231">
        <v>1100</v>
      </c>
      <c r="DV194" s="228">
        <v>930</v>
      </c>
      <c r="DW194" s="228">
        <v>0.37</v>
      </c>
      <c r="DX194" s="228">
        <v>0.4</v>
      </c>
      <c r="DY194" s="228">
        <v>-0.03</v>
      </c>
      <c r="DZ194" s="229">
        <v>-7.4999999999999997E-2</v>
      </c>
      <c r="EA194" s="229">
        <v>5.9299999999999999E-2</v>
      </c>
      <c r="EB194" s="230">
        <v>748000</v>
      </c>
      <c r="EC194" s="229">
        <v>3.5999999999999999E-3</v>
      </c>
      <c r="ED194" s="229">
        <v>5.9299999999999999E-2</v>
      </c>
      <c r="EE194" s="228">
        <v>0.63</v>
      </c>
      <c r="EF194" s="229">
        <v>5.9999999999999995E-4</v>
      </c>
      <c r="EG194" s="230">
        <v>1345165</v>
      </c>
      <c r="EH194" s="230">
        <v>1181363</v>
      </c>
      <c r="EI194" s="229">
        <v>0.13869999999999999</v>
      </c>
      <c r="EJ194" s="229">
        <v>0.60809999999999997</v>
      </c>
      <c r="EK194" s="228">
        <v>227.07</v>
      </c>
      <c r="EL194" s="228">
        <v>77.290000000000006</v>
      </c>
      <c r="EM194" s="228">
        <v>186.4</v>
      </c>
      <c r="EN194" s="228">
        <v>38.97</v>
      </c>
      <c r="EO194" s="228">
        <v>490.75</v>
      </c>
      <c r="EP194" s="228">
        <v>607.12</v>
      </c>
      <c r="EQ194" s="228">
        <v>-116.36</v>
      </c>
      <c r="ER194" s="229">
        <v>-0.19170000000000001</v>
      </c>
      <c r="ES194" s="228">
        <v>151.82</v>
      </c>
      <c r="ET194" s="228">
        <v>212.12</v>
      </c>
      <c r="EU194" s="231">
        <v>1486.15</v>
      </c>
      <c r="EV194" s="231">
        <v>65472757</v>
      </c>
      <c r="EW194" s="231">
        <v>1850.09</v>
      </c>
      <c r="EX194" s="231">
        <v>1804.56</v>
      </c>
      <c r="EY194" s="228">
        <v>45.53</v>
      </c>
      <c r="EZ194" s="229">
        <v>2.52E-2</v>
      </c>
      <c r="FA194" s="229">
        <v>0.2631</v>
      </c>
      <c r="FB194" s="227" t="s">
        <v>555</v>
      </c>
      <c r="FC194">
        <f t="shared" si="3"/>
        <v>0</v>
      </c>
    </row>
    <row r="195" spans="1:159" ht="17.25" thickBot="1" x14ac:dyDescent="0.3">
      <c r="A195" s="226">
        <v>46121</v>
      </c>
      <c r="B195" s="227" t="s">
        <v>221</v>
      </c>
      <c r="C195" s="227" t="s">
        <v>603</v>
      </c>
      <c r="D195" s="228">
        <v>100</v>
      </c>
      <c r="E195" s="228">
        <v>19</v>
      </c>
      <c r="F195" s="231">
        <v>4460.2</v>
      </c>
      <c r="G195" s="231">
        <v>4441.7</v>
      </c>
      <c r="H195" s="228">
        <v>18.5</v>
      </c>
      <c r="I195" s="229">
        <v>4.1999999999999997E-3</v>
      </c>
      <c r="J195" s="231">
        <v>4452</v>
      </c>
      <c r="K195" s="231">
        <v>4434.3999999999996</v>
      </c>
      <c r="L195" s="228">
        <v>17.600000000000001</v>
      </c>
      <c r="M195" s="229">
        <v>4.0000000000000001E-3</v>
      </c>
      <c r="N195" s="231">
        <v>4460.2</v>
      </c>
      <c r="O195" s="231">
        <v>4441.7</v>
      </c>
      <c r="P195" s="228">
        <v>18.5</v>
      </c>
      <c r="Q195" s="229">
        <v>4.1999999999999997E-3</v>
      </c>
      <c r="R195" s="231">
        <v>4449.5</v>
      </c>
      <c r="S195" s="231">
        <v>4421</v>
      </c>
      <c r="T195" s="228">
        <v>28.5</v>
      </c>
      <c r="U195" s="229">
        <v>6.4000000000000003E-3</v>
      </c>
      <c r="V195" s="231">
        <v>4389.3999999999996</v>
      </c>
      <c r="W195" s="231">
        <v>4367.8</v>
      </c>
      <c r="X195" s="228">
        <v>21.6</v>
      </c>
      <c r="Y195" s="229">
        <v>4.8999999999999998E-3</v>
      </c>
      <c r="Z195" s="228">
        <v>8.1999999999999993</v>
      </c>
      <c r="AA195" s="228">
        <v>7.3</v>
      </c>
      <c r="AB195" s="228">
        <v>0.9</v>
      </c>
      <c r="AC195" s="229">
        <v>1.8E-3</v>
      </c>
      <c r="AD195" s="228">
        <v>8.1999999999999993</v>
      </c>
      <c r="AE195" s="228">
        <v>7.3</v>
      </c>
      <c r="AF195" s="228">
        <v>0.9</v>
      </c>
      <c r="AG195" s="229">
        <v>1.8E-3</v>
      </c>
      <c r="AH195" s="228">
        <v>-2.5</v>
      </c>
      <c r="AI195" s="228">
        <v>-13.4</v>
      </c>
      <c r="AJ195" s="228">
        <v>10.9</v>
      </c>
      <c r="AK195" s="229">
        <v>-5.9999999999999995E-4</v>
      </c>
      <c r="AL195" s="228">
        <v>-62.6</v>
      </c>
      <c r="AM195" s="228">
        <v>-66.599999999999994</v>
      </c>
      <c r="AN195" s="228">
        <v>4</v>
      </c>
      <c r="AO195" s="229">
        <v>-1.41E-2</v>
      </c>
      <c r="AP195" s="231">
        <v>4429.5</v>
      </c>
      <c r="AQ195" s="231">
        <v>4410.42</v>
      </c>
      <c r="AR195" s="228">
        <v>0</v>
      </c>
      <c r="AS195" s="228">
        <v>120</v>
      </c>
      <c r="AT195" s="228">
        <v>164</v>
      </c>
      <c r="AU195" s="228">
        <v>-44</v>
      </c>
      <c r="AV195" s="229">
        <v>-0.26729999999999998</v>
      </c>
      <c r="AW195" s="228">
        <v>101</v>
      </c>
      <c r="AX195" s="228">
        <v>141</v>
      </c>
      <c r="AY195" s="228">
        <v>-40</v>
      </c>
      <c r="AZ195" s="229">
        <v>-0.28420000000000001</v>
      </c>
      <c r="BA195" s="228">
        <v>17</v>
      </c>
      <c r="BB195" s="228">
        <v>21</v>
      </c>
      <c r="BC195" s="228">
        <v>-4</v>
      </c>
      <c r="BD195" s="229">
        <v>-0.20169999999999999</v>
      </c>
      <c r="BE195" s="228">
        <v>2</v>
      </c>
      <c r="BF195" s="228">
        <v>2</v>
      </c>
      <c r="BG195" s="228">
        <v>1</v>
      </c>
      <c r="BH195" s="229">
        <v>0.38240000000000002</v>
      </c>
      <c r="BI195" s="228">
        <v>355</v>
      </c>
      <c r="BJ195" s="228">
        <v>482</v>
      </c>
      <c r="BK195" s="228">
        <v>-126</v>
      </c>
      <c r="BL195" s="229">
        <v>-0.26190000000000002</v>
      </c>
      <c r="BM195" s="228">
        <v>209</v>
      </c>
      <c r="BN195" s="228">
        <v>231</v>
      </c>
      <c r="BO195" s="228">
        <v>-22</v>
      </c>
      <c r="BP195" s="229">
        <v>-9.4399999999999998E-2</v>
      </c>
      <c r="BQ195" s="228">
        <v>684</v>
      </c>
      <c r="BR195" s="228">
        <v>876</v>
      </c>
      <c r="BS195" s="228">
        <v>-192</v>
      </c>
      <c r="BT195" s="229">
        <v>-0.21879999999999999</v>
      </c>
      <c r="BU195" s="230">
        <v>205316</v>
      </c>
      <c r="BV195" s="230">
        <v>219844</v>
      </c>
      <c r="BW195" s="230">
        <v>-14528</v>
      </c>
      <c r="BX195" s="229">
        <v>-6.6100000000000006E-2</v>
      </c>
      <c r="BY195" s="228">
        <v>755</v>
      </c>
      <c r="BZ195" s="228">
        <v>756</v>
      </c>
      <c r="CA195" s="228">
        <v>-1</v>
      </c>
      <c r="CB195" s="229">
        <v>-1.5E-3</v>
      </c>
      <c r="CC195" s="228">
        <v>700</v>
      </c>
      <c r="CD195" s="228">
        <v>709</v>
      </c>
      <c r="CE195" s="228">
        <v>-10</v>
      </c>
      <c r="CF195" s="229">
        <v>-1.3899999999999999E-2</v>
      </c>
      <c r="CG195" s="228">
        <v>47</v>
      </c>
      <c r="CH195" s="228">
        <v>39</v>
      </c>
      <c r="CI195" s="228">
        <v>8</v>
      </c>
      <c r="CJ195" s="229">
        <v>0.2152</v>
      </c>
      <c r="CK195" s="228">
        <v>8</v>
      </c>
      <c r="CL195" s="228">
        <v>7</v>
      </c>
      <c r="CM195" s="228">
        <v>0</v>
      </c>
      <c r="CN195" s="229">
        <v>5.3600000000000002E-2</v>
      </c>
      <c r="CO195" s="228">
        <v>264</v>
      </c>
      <c r="CP195" s="228">
        <v>248</v>
      </c>
      <c r="CQ195" s="228">
        <v>15</v>
      </c>
      <c r="CR195" s="229">
        <v>6.0999999999999999E-2</v>
      </c>
      <c r="CS195" s="228">
        <v>194</v>
      </c>
      <c r="CT195" s="228">
        <v>164</v>
      </c>
      <c r="CU195" s="228">
        <v>30</v>
      </c>
      <c r="CV195" s="229">
        <v>0.18340000000000001</v>
      </c>
      <c r="CW195" s="230">
        <v>1212</v>
      </c>
      <c r="CX195" s="230">
        <v>1168</v>
      </c>
      <c r="CY195" s="228">
        <v>44</v>
      </c>
      <c r="CZ195" s="229">
        <v>3.78E-2</v>
      </c>
      <c r="DA195" s="228">
        <v>43.25</v>
      </c>
      <c r="DB195" s="228">
        <v>44.86</v>
      </c>
      <c r="DC195" s="228">
        <v>-1.61</v>
      </c>
      <c r="DD195" s="228">
        <v>-1.61</v>
      </c>
      <c r="DE195" s="228">
        <v>39.01</v>
      </c>
      <c r="DF195" s="228">
        <v>39.11</v>
      </c>
      <c r="DG195" s="228">
        <v>4.24</v>
      </c>
      <c r="DH195" s="228">
        <v>-0.1</v>
      </c>
      <c r="DI195" s="228">
        <v>41.97</v>
      </c>
      <c r="DJ195" s="228">
        <v>42.11</v>
      </c>
      <c r="DK195" s="228">
        <v>-0.14000000000000001</v>
      </c>
      <c r="DL195" s="228">
        <v>-0.14000000000000001</v>
      </c>
      <c r="DM195" s="228">
        <v>45.43</v>
      </c>
      <c r="DN195" s="228">
        <v>50.6</v>
      </c>
      <c r="DO195" s="228">
        <v>-5.17</v>
      </c>
      <c r="DP195" s="228">
        <v>-5.17</v>
      </c>
      <c r="DQ195" s="228">
        <v>0.74</v>
      </c>
      <c r="DR195" s="228">
        <v>0.66</v>
      </c>
      <c r="DS195" s="228">
        <v>0.08</v>
      </c>
      <c r="DT195" s="229">
        <v>0.1212</v>
      </c>
      <c r="DU195" s="231">
        <v>5000</v>
      </c>
      <c r="DV195" s="231">
        <v>4000</v>
      </c>
      <c r="DW195" s="228">
        <v>0.59</v>
      </c>
      <c r="DX195" s="228">
        <v>0.48</v>
      </c>
      <c r="DY195" s="228">
        <v>0.11</v>
      </c>
      <c r="DZ195" s="229">
        <v>0.22919999999999999</v>
      </c>
      <c r="EA195" s="229">
        <v>7.2900000000000006E-2</v>
      </c>
      <c r="EB195" s="230">
        <v>103700</v>
      </c>
      <c r="EC195" s="229">
        <v>-2.3999999999999998E-3</v>
      </c>
      <c r="ED195" s="229">
        <v>7.2900000000000006E-2</v>
      </c>
      <c r="EE195" s="228">
        <v>-19.079999999999998</v>
      </c>
      <c r="EF195" s="229">
        <v>-4.3E-3</v>
      </c>
      <c r="EG195" s="230">
        <v>49232</v>
      </c>
      <c r="EH195" s="230">
        <v>64698</v>
      </c>
      <c r="EI195" s="229">
        <v>-0.23899999999999999</v>
      </c>
      <c r="EJ195" s="229">
        <v>0.23980000000000001</v>
      </c>
      <c r="EK195" s="228">
        <v>377.56</v>
      </c>
      <c r="EL195" s="228">
        <v>201.78</v>
      </c>
      <c r="EM195" s="228">
        <v>119.27</v>
      </c>
      <c r="EN195" s="228">
        <v>33.33</v>
      </c>
      <c r="EO195" s="228">
        <v>698.6</v>
      </c>
      <c r="EP195" s="228">
        <v>893.94</v>
      </c>
      <c r="EQ195" s="228">
        <v>-195.34</v>
      </c>
      <c r="ER195" s="229">
        <v>-0.2185</v>
      </c>
      <c r="ES195" s="228">
        <v>273.52</v>
      </c>
      <c r="ET195" s="228">
        <v>184.74</v>
      </c>
      <c r="EU195" s="228">
        <v>754.34</v>
      </c>
      <c r="EV195" s="231">
        <v>5241946</v>
      </c>
      <c r="EW195" s="231">
        <v>1212.5899999999999</v>
      </c>
      <c r="EX195" s="231">
        <v>1164.67</v>
      </c>
      <c r="EY195" s="228">
        <v>47.92</v>
      </c>
      <c r="EZ195" s="229">
        <v>4.1099999999999998E-2</v>
      </c>
      <c r="FA195" s="229">
        <v>0.51859999999999995</v>
      </c>
      <c r="FB195" s="227" t="s">
        <v>694</v>
      </c>
      <c r="FC195">
        <f t="shared" ref="FC195:FC258" si="4">BY266-CC266</f>
        <v>0</v>
      </c>
    </row>
    <row r="196" spans="1:159" ht="17.25" thickBot="1" x14ac:dyDescent="0.3">
      <c r="A196" s="226">
        <v>46121</v>
      </c>
      <c r="B196" s="227" t="s">
        <v>161</v>
      </c>
      <c r="C196" s="227" t="s">
        <v>293</v>
      </c>
      <c r="D196" s="228">
        <v>1450</v>
      </c>
      <c r="E196" s="228">
        <v>19</v>
      </c>
      <c r="F196" s="228">
        <v>396.85</v>
      </c>
      <c r="G196" s="228">
        <v>397.05</v>
      </c>
      <c r="H196" s="228">
        <v>-0.2</v>
      </c>
      <c r="I196" s="229">
        <v>-5.0000000000000001E-4</v>
      </c>
      <c r="J196" s="228">
        <v>394.7</v>
      </c>
      <c r="K196" s="228">
        <v>394.95</v>
      </c>
      <c r="L196" s="228">
        <v>-0.25</v>
      </c>
      <c r="M196" s="229">
        <v>-5.9999999999999995E-4</v>
      </c>
      <c r="N196" s="228">
        <v>396.85</v>
      </c>
      <c r="O196" s="228">
        <v>397.05</v>
      </c>
      <c r="P196" s="228">
        <v>-0.2</v>
      </c>
      <c r="Q196" s="229">
        <v>-5.0000000000000001E-4</v>
      </c>
      <c r="R196" s="228">
        <v>399.05</v>
      </c>
      <c r="S196" s="228">
        <v>399.2</v>
      </c>
      <c r="T196" s="228">
        <v>-0.15</v>
      </c>
      <c r="U196" s="229">
        <v>-4.0000000000000002E-4</v>
      </c>
      <c r="V196" s="228">
        <v>399.1</v>
      </c>
      <c r="W196" s="228">
        <v>400.05</v>
      </c>
      <c r="X196" s="228">
        <v>-0.95</v>
      </c>
      <c r="Y196" s="229">
        <v>-2.3999999999999998E-3</v>
      </c>
      <c r="Z196" s="228">
        <v>2.15</v>
      </c>
      <c r="AA196" s="228">
        <v>2.1</v>
      </c>
      <c r="AB196" s="228">
        <v>0.05</v>
      </c>
      <c r="AC196" s="229">
        <v>5.4000000000000003E-3</v>
      </c>
      <c r="AD196" s="228">
        <v>2.15</v>
      </c>
      <c r="AE196" s="228">
        <v>2.1</v>
      </c>
      <c r="AF196" s="228">
        <v>0.05</v>
      </c>
      <c r="AG196" s="229">
        <v>5.4000000000000003E-3</v>
      </c>
      <c r="AH196" s="228">
        <v>4.3499999999999996</v>
      </c>
      <c r="AI196" s="228">
        <v>4.25</v>
      </c>
      <c r="AJ196" s="228">
        <v>0.1</v>
      </c>
      <c r="AK196" s="229">
        <v>1.0999999999999999E-2</v>
      </c>
      <c r="AL196" s="228">
        <v>4.4000000000000004</v>
      </c>
      <c r="AM196" s="228">
        <v>5.0999999999999996</v>
      </c>
      <c r="AN196" s="228">
        <v>-0.7</v>
      </c>
      <c r="AO196" s="229">
        <v>1.11E-2</v>
      </c>
      <c r="AP196" s="228">
        <v>396.76</v>
      </c>
      <c r="AQ196" s="228">
        <v>398.95</v>
      </c>
      <c r="AR196" s="228">
        <v>0</v>
      </c>
      <c r="AS196" s="228">
        <v>297</v>
      </c>
      <c r="AT196" s="228">
        <v>380</v>
      </c>
      <c r="AU196" s="228">
        <v>-83</v>
      </c>
      <c r="AV196" s="229">
        <v>-0.21759999999999999</v>
      </c>
      <c r="AW196" s="228">
        <v>247</v>
      </c>
      <c r="AX196" s="228">
        <v>334</v>
      </c>
      <c r="AY196" s="228">
        <v>-87</v>
      </c>
      <c r="AZ196" s="229">
        <v>-0.26040000000000002</v>
      </c>
      <c r="BA196" s="228">
        <v>47</v>
      </c>
      <c r="BB196" s="228">
        <v>41</v>
      </c>
      <c r="BC196" s="228">
        <v>6</v>
      </c>
      <c r="BD196" s="229">
        <v>0.13489999999999999</v>
      </c>
      <c r="BE196" s="228">
        <v>4</v>
      </c>
      <c r="BF196" s="228">
        <v>5</v>
      </c>
      <c r="BG196" s="228">
        <v>-1</v>
      </c>
      <c r="BH196" s="229">
        <v>-0.27779999999999999</v>
      </c>
      <c r="BI196" s="228">
        <v>860</v>
      </c>
      <c r="BJ196" s="230">
        <v>1584</v>
      </c>
      <c r="BK196" s="228">
        <v>-724</v>
      </c>
      <c r="BL196" s="229">
        <v>-0.45689999999999997</v>
      </c>
      <c r="BM196" s="228">
        <v>320</v>
      </c>
      <c r="BN196" s="228">
        <v>544</v>
      </c>
      <c r="BO196" s="228">
        <v>-223</v>
      </c>
      <c r="BP196" s="229">
        <v>-0.41070000000000001</v>
      </c>
      <c r="BQ196" s="230">
        <v>1478</v>
      </c>
      <c r="BR196" s="230">
        <v>2508</v>
      </c>
      <c r="BS196" s="230">
        <v>-1030</v>
      </c>
      <c r="BT196" s="229">
        <v>-0.41060000000000002</v>
      </c>
      <c r="BU196" s="230">
        <v>8856022</v>
      </c>
      <c r="BV196" s="230">
        <v>7622792</v>
      </c>
      <c r="BW196" s="230">
        <v>1233230</v>
      </c>
      <c r="BX196" s="229">
        <v>0.1618</v>
      </c>
      <c r="BY196" s="230">
        <v>2222</v>
      </c>
      <c r="BZ196" s="230">
        <v>2138</v>
      </c>
      <c r="CA196" s="228">
        <v>84</v>
      </c>
      <c r="CB196" s="229">
        <v>3.9399999999999998E-2</v>
      </c>
      <c r="CC196" s="230">
        <v>2110</v>
      </c>
      <c r="CD196" s="230">
        <v>2056</v>
      </c>
      <c r="CE196" s="228">
        <v>54</v>
      </c>
      <c r="CF196" s="229">
        <v>2.6100000000000002E-2</v>
      </c>
      <c r="CG196" s="228">
        <v>103</v>
      </c>
      <c r="CH196" s="228">
        <v>75</v>
      </c>
      <c r="CI196" s="228">
        <v>29</v>
      </c>
      <c r="CJ196" s="229">
        <v>0.38579999999999998</v>
      </c>
      <c r="CK196" s="228">
        <v>9</v>
      </c>
      <c r="CL196" s="228">
        <v>7</v>
      </c>
      <c r="CM196" s="228">
        <v>2</v>
      </c>
      <c r="CN196" s="229">
        <v>0.26050000000000001</v>
      </c>
      <c r="CO196" s="230">
        <v>1191</v>
      </c>
      <c r="CP196" s="230">
        <v>1141</v>
      </c>
      <c r="CQ196" s="228">
        <v>49</v>
      </c>
      <c r="CR196" s="229">
        <v>4.3299999999999998E-2</v>
      </c>
      <c r="CS196" s="228">
        <v>830</v>
      </c>
      <c r="CT196" s="228">
        <v>786</v>
      </c>
      <c r="CU196" s="228">
        <v>44</v>
      </c>
      <c r="CV196" s="229">
        <v>5.6099999999999997E-2</v>
      </c>
      <c r="CW196" s="230">
        <v>4243</v>
      </c>
      <c r="CX196" s="230">
        <v>4065</v>
      </c>
      <c r="CY196" s="228">
        <v>178</v>
      </c>
      <c r="CZ196" s="229">
        <v>4.3700000000000003E-2</v>
      </c>
      <c r="DA196" s="228">
        <v>29.08</v>
      </c>
      <c r="DB196" s="228">
        <v>28.37</v>
      </c>
      <c r="DC196" s="228">
        <v>0.71</v>
      </c>
      <c r="DD196" s="228">
        <v>0.71</v>
      </c>
      <c r="DE196" s="228">
        <v>31.5</v>
      </c>
      <c r="DF196" s="228">
        <v>31.58</v>
      </c>
      <c r="DG196" s="228">
        <v>-2.42</v>
      </c>
      <c r="DH196" s="228">
        <v>-0.08</v>
      </c>
      <c r="DI196" s="228">
        <v>28.71</v>
      </c>
      <c r="DJ196" s="228">
        <v>27.84</v>
      </c>
      <c r="DK196" s="228">
        <v>0.87</v>
      </c>
      <c r="DL196" s="228">
        <v>0.87</v>
      </c>
      <c r="DM196" s="228">
        <v>30.08</v>
      </c>
      <c r="DN196" s="228">
        <v>29.91</v>
      </c>
      <c r="DO196" s="228">
        <v>0.17</v>
      </c>
      <c r="DP196" s="228">
        <v>0.17</v>
      </c>
      <c r="DQ196" s="228">
        <v>0.7</v>
      </c>
      <c r="DR196" s="228">
        <v>0.69</v>
      </c>
      <c r="DS196" s="228">
        <v>0.01</v>
      </c>
      <c r="DT196" s="229">
        <v>1.4500000000000001E-2</v>
      </c>
      <c r="DU196" s="228">
        <v>400</v>
      </c>
      <c r="DV196" s="228">
        <v>400</v>
      </c>
      <c r="DW196" s="228">
        <v>0.37</v>
      </c>
      <c r="DX196" s="228">
        <v>0.34</v>
      </c>
      <c r="DY196" s="228">
        <v>0.03</v>
      </c>
      <c r="DZ196" s="229">
        <v>8.8200000000000001E-2</v>
      </c>
      <c r="EA196" s="229">
        <v>5.04E-2</v>
      </c>
      <c r="EB196" s="230">
        <v>2051750</v>
      </c>
      <c r="EC196" s="229">
        <v>5.4999999999999997E-3</v>
      </c>
      <c r="ED196" s="229">
        <v>5.04E-2</v>
      </c>
      <c r="EE196" s="228">
        <v>2.19</v>
      </c>
      <c r="EF196" s="229">
        <v>5.4999999999999997E-3</v>
      </c>
      <c r="EG196" s="230">
        <v>4551986</v>
      </c>
      <c r="EH196" s="230">
        <v>3342912</v>
      </c>
      <c r="EI196" s="229">
        <v>0.36170000000000002</v>
      </c>
      <c r="EJ196" s="229">
        <v>0.51400000000000001</v>
      </c>
      <c r="EK196" s="228">
        <v>898.24</v>
      </c>
      <c r="EL196" s="228">
        <v>318.49</v>
      </c>
      <c r="EM196" s="228">
        <v>297.72000000000003</v>
      </c>
      <c r="EN196" s="228">
        <v>53.43</v>
      </c>
      <c r="EO196" s="231">
        <v>1514.46</v>
      </c>
      <c r="EP196" s="231">
        <v>2569.4299999999998</v>
      </c>
      <c r="EQ196" s="231">
        <v>-1054.97</v>
      </c>
      <c r="ER196" s="229">
        <v>-0.41060000000000002</v>
      </c>
      <c r="ES196" s="231">
        <v>1229.55</v>
      </c>
      <c r="ET196" s="228">
        <v>810.21</v>
      </c>
      <c r="EU196" s="231">
        <v>2222.42</v>
      </c>
      <c r="EV196" s="231">
        <v>169808198</v>
      </c>
      <c r="EW196" s="231">
        <v>4262.18</v>
      </c>
      <c r="EX196" s="231">
        <v>4085.38</v>
      </c>
      <c r="EY196" s="228">
        <v>176.8</v>
      </c>
      <c r="EZ196" s="229">
        <v>4.3299999999999998E-2</v>
      </c>
      <c r="FA196" s="229">
        <v>0.62960000000000005</v>
      </c>
      <c r="FB196" s="227" t="s">
        <v>566</v>
      </c>
      <c r="FC196">
        <f t="shared" si="4"/>
        <v>0</v>
      </c>
    </row>
    <row r="197" spans="1:159" ht="17.25" thickBot="1" x14ac:dyDescent="0.3">
      <c r="A197" s="226">
        <v>46121</v>
      </c>
      <c r="B197" s="227" t="s">
        <v>227</v>
      </c>
      <c r="C197" s="227" t="s">
        <v>294</v>
      </c>
      <c r="D197" s="228">
        <v>5500</v>
      </c>
      <c r="E197" s="228">
        <v>19</v>
      </c>
      <c r="F197" s="228">
        <v>206.19</v>
      </c>
      <c r="G197" s="228">
        <v>205.23</v>
      </c>
      <c r="H197" s="228">
        <v>0.96</v>
      </c>
      <c r="I197" s="229">
        <v>4.7000000000000002E-3</v>
      </c>
      <c r="J197" s="228">
        <v>205.2</v>
      </c>
      <c r="K197" s="228">
        <v>204.18</v>
      </c>
      <c r="L197" s="228">
        <v>1.02</v>
      </c>
      <c r="M197" s="229">
        <v>5.0000000000000001E-3</v>
      </c>
      <c r="N197" s="228">
        <v>206.19</v>
      </c>
      <c r="O197" s="228">
        <v>205.23</v>
      </c>
      <c r="P197" s="228">
        <v>0.96</v>
      </c>
      <c r="Q197" s="229">
        <v>4.7000000000000002E-3</v>
      </c>
      <c r="R197" s="228">
        <v>207.26</v>
      </c>
      <c r="S197" s="228">
        <v>206.35</v>
      </c>
      <c r="T197" s="228">
        <v>0.91</v>
      </c>
      <c r="U197" s="229">
        <v>4.4000000000000003E-3</v>
      </c>
      <c r="V197" s="228">
        <v>205.39</v>
      </c>
      <c r="W197" s="228">
        <v>204.26</v>
      </c>
      <c r="X197" s="228">
        <v>1.1299999999999999</v>
      </c>
      <c r="Y197" s="229">
        <v>5.4999999999999997E-3</v>
      </c>
      <c r="Z197" s="228">
        <v>0.99</v>
      </c>
      <c r="AA197" s="228">
        <v>1.05</v>
      </c>
      <c r="AB197" s="228">
        <v>-0.06</v>
      </c>
      <c r="AC197" s="229">
        <v>4.7999999999999996E-3</v>
      </c>
      <c r="AD197" s="228">
        <v>0.99</v>
      </c>
      <c r="AE197" s="228">
        <v>1.05</v>
      </c>
      <c r="AF197" s="228">
        <v>-0.06</v>
      </c>
      <c r="AG197" s="229">
        <v>4.7999999999999996E-3</v>
      </c>
      <c r="AH197" s="228">
        <v>2.06</v>
      </c>
      <c r="AI197" s="228">
        <v>2.17</v>
      </c>
      <c r="AJ197" s="228">
        <v>-0.11</v>
      </c>
      <c r="AK197" s="229">
        <v>0.01</v>
      </c>
      <c r="AL197" s="228">
        <v>0.19</v>
      </c>
      <c r="AM197" s="228">
        <v>0.08</v>
      </c>
      <c r="AN197" s="228">
        <v>0.11</v>
      </c>
      <c r="AO197" s="229">
        <v>8.9999999999999998E-4</v>
      </c>
      <c r="AP197" s="228">
        <v>206.91</v>
      </c>
      <c r="AQ197" s="228">
        <v>208.06</v>
      </c>
      <c r="AR197" s="228">
        <v>0</v>
      </c>
      <c r="AS197" s="228">
        <v>838</v>
      </c>
      <c r="AT197" s="228">
        <v>995</v>
      </c>
      <c r="AU197" s="228">
        <v>-157</v>
      </c>
      <c r="AV197" s="229">
        <v>-0.158</v>
      </c>
      <c r="AW197" s="228">
        <v>677</v>
      </c>
      <c r="AX197" s="228">
        <v>844</v>
      </c>
      <c r="AY197" s="228">
        <v>-167</v>
      </c>
      <c r="AZ197" s="229">
        <v>-0.19800000000000001</v>
      </c>
      <c r="BA197" s="228">
        <v>115</v>
      </c>
      <c r="BB197" s="228">
        <v>109</v>
      </c>
      <c r="BC197" s="228">
        <v>7</v>
      </c>
      <c r="BD197" s="229">
        <v>6.1499999999999999E-2</v>
      </c>
      <c r="BE197" s="228">
        <v>45</v>
      </c>
      <c r="BF197" s="228">
        <v>42</v>
      </c>
      <c r="BG197" s="228">
        <v>3</v>
      </c>
      <c r="BH197" s="229">
        <v>7.5300000000000006E-2</v>
      </c>
      <c r="BI197" s="230">
        <v>2456</v>
      </c>
      <c r="BJ197" s="230">
        <v>2743</v>
      </c>
      <c r="BK197" s="228">
        <v>-287</v>
      </c>
      <c r="BL197" s="229">
        <v>-0.1047</v>
      </c>
      <c r="BM197" s="230">
        <v>1677</v>
      </c>
      <c r="BN197" s="230">
        <v>2079</v>
      </c>
      <c r="BO197" s="228">
        <v>-402</v>
      </c>
      <c r="BP197" s="229">
        <v>-0.19350000000000001</v>
      </c>
      <c r="BQ197" s="230">
        <v>4970</v>
      </c>
      <c r="BR197" s="230">
        <v>5817</v>
      </c>
      <c r="BS197" s="228">
        <v>-847</v>
      </c>
      <c r="BT197" s="229">
        <v>-0.14560000000000001</v>
      </c>
      <c r="BU197" s="230">
        <v>39998630</v>
      </c>
      <c r="BV197" s="230">
        <v>38489411</v>
      </c>
      <c r="BW197" s="230">
        <v>1509219</v>
      </c>
      <c r="BX197" s="229">
        <v>3.9199999999999999E-2</v>
      </c>
      <c r="BY197" s="230">
        <v>3930</v>
      </c>
      <c r="BZ197" s="230">
        <v>3777</v>
      </c>
      <c r="CA197" s="228">
        <v>153</v>
      </c>
      <c r="CB197" s="229">
        <v>4.0500000000000001E-2</v>
      </c>
      <c r="CC197" s="230">
        <v>3500</v>
      </c>
      <c r="CD197" s="230">
        <v>3417</v>
      </c>
      <c r="CE197" s="228">
        <v>83</v>
      </c>
      <c r="CF197" s="229">
        <v>2.4199999999999999E-2</v>
      </c>
      <c r="CG197" s="228">
        <v>328</v>
      </c>
      <c r="CH197" s="228">
        <v>283</v>
      </c>
      <c r="CI197" s="228">
        <v>45</v>
      </c>
      <c r="CJ197" s="229">
        <v>0.1603</v>
      </c>
      <c r="CK197" s="228">
        <v>102</v>
      </c>
      <c r="CL197" s="228">
        <v>77</v>
      </c>
      <c r="CM197" s="228">
        <v>25</v>
      </c>
      <c r="CN197" s="229">
        <v>0.32350000000000001</v>
      </c>
      <c r="CO197" s="230">
        <v>2181</v>
      </c>
      <c r="CP197" s="230">
        <v>2093</v>
      </c>
      <c r="CQ197" s="228">
        <v>89</v>
      </c>
      <c r="CR197" s="229">
        <v>4.24E-2</v>
      </c>
      <c r="CS197" s="230">
        <v>1697</v>
      </c>
      <c r="CT197" s="230">
        <v>1565</v>
      </c>
      <c r="CU197" s="228">
        <v>132</v>
      </c>
      <c r="CV197" s="229">
        <v>8.43E-2</v>
      </c>
      <c r="CW197" s="230">
        <v>7809</v>
      </c>
      <c r="CX197" s="230">
        <v>7435</v>
      </c>
      <c r="CY197" s="228">
        <v>374</v>
      </c>
      <c r="CZ197" s="229">
        <v>5.0299999999999997E-2</v>
      </c>
      <c r="DA197" s="228">
        <v>31.07</v>
      </c>
      <c r="DB197" s="228">
        <v>31.26</v>
      </c>
      <c r="DC197" s="228">
        <v>-0.19</v>
      </c>
      <c r="DD197" s="228">
        <v>-0.19</v>
      </c>
      <c r="DE197" s="228">
        <v>36.53</v>
      </c>
      <c r="DF197" s="228">
        <v>36.619999999999997</v>
      </c>
      <c r="DG197" s="228">
        <v>-5.46</v>
      </c>
      <c r="DH197" s="228">
        <v>-0.09</v>
      </c>
      <c r="DI197" s="228">
        <v>30.15</v>
      </c>
      <c r="DJ197" s="228">
        <v>29.71</v>
      </c>
      <c r="DK197" s="228">
        <v>0.44</v>
      </c>
      <c r="DL197" s="228">
        <v>0.44</v>
      </c>
      <c r="DM197" s="228">
        <v>32.409999999999997</v>
      </c>
      <c r="DN197" s="228">
        <v>33.29</v>
      </c>
      <c r="DO197" s="228">
        <v>-0.88</v>
      </c>
      <c r="DP197" s="228">
        <v>-0.88</v>
      </c>
      <c r="DQ197" s="228">
        <v>0.78</v>
      </c>
      <c r="DR197" s="228">
        <v>0.75</v>
      </c>
      <c r="DS197" s="228">
        <v>0.03</v>
      </c>
      <c r="DT197" s="229">
        <v>0.04</v>
      </c>
      <c r="DU197" s="228">
        <v>195</v>
      </c>
      <c r="DV197" s="228">
        <v>200</v>
      </c>
      <c r="DW197" s="228">
        <v>0.68</v>
      </c>
      <c r="DX197" s="228">
        <v>0.76</v>
      </c>
      <c r="DY197" s="228">
        <v>-0.08</v>
      </c>
      <c r="DZ197" s="229">
        <v>-0.1053</v>
      </c>
      <c r="EA197" s="229">
        <v>0.1095</v>
      </c>
      <c r="EB197" s="230">
        <v>17462500</v>
      </c>
      <c r="EC197" s="229">
        <v>5.1999999999999998E-3</v>
      </c>
      <c r="ED197" s="229">
        <v>0.1095</v>
      </c>
      <c r="EE197" s="228">
        <v>1.1499999999999999</v>
      </c>
      <c r="EF197" s="229">
        <v>5.5999999999999999E-3</v>
      </c>
      <c r="EG197" s="230">
        <v>16861598</v>
      </c>
      <c r="EH197" s="230">
        <v>19100999</v>
      </c>
      <c r="EI197" s="229">
        <v>-0.1172</v>
      </c>
      <c r="EJ197" s="229">
        <v>0.42159999999999997</v>
      </c>
      <c r="EK197" s="231">
        <v>2571.91</v>
      </c>
      <c r="EL197" s="231">
        <v>1630.6</v>
      </c>
      <c r="EM197" s="228">
        <v>840.94</v>
      </c>
      <c r="EN197" s="228">
        <v>72.28</v>
      </c>
      <c r="EO197" s="231">
        <v>5043.46</v>
      </c>
      <c r="EP197" s="231">
        <v>5805.32</v>
      </c>
      <c r="EQ197" s="228">
        <v>-761.86</v>
      </c>
      <c r="ER197" s="229">
        <v>-0.13120000000000001</v>
      </c>
      <c r="ES197" s="231">
        <v>2169.94</v>
      </c>
      <c r="ET197" s="231">
        <v>1570.48</v>
      </c>
      <c r="EU197" s="231">
        <v>3931.68</v>
      </c>
      <c r="EV197" s="231">
        <v>1049350971</v>
      </c>
      <c r="EW197" s="231">
        <v>7672.11</v>
      </c>
      <c r="EX197" s="231">
        <v>7277.84</v>
      </c>
      <c r="EY197" s="228">
        <v>394.27</v>
      </c>
      <c r="EZ197" s="229">
        <v>5.4199999999999998E-2</v>
      </c>
      <c r="FA197" s="229">
        <v>0.3609</v>
      </c>
      <c r="FB197" s="227" t="s">
        <v>555</v>
      </c>
      <c r="FC197">
        <f t="shared" si="4"/>
        <v>0</v>
      </c>
    </row>
    <row r="198" spans="1:159" ht="17.25" thickBot="1" x14ac:dyDescent="0.3">
      <c r="A198" s="226">
        <v>46121</v>
      </c>
      <c r="B198" s="227" t="s">
        <v>221</v>
      </c>
      <c r="C198" s="227" t="s">
        <v>662</v>
      </c>
      <c r="D198" s="228">
        <v>800</v>
      </c>
      <c r="E198" s="228">
        <v>19</v>
      </c>
      <c r="F198" s="228">
        <v>562.65</v>
      </c>
      <c r="G198" s="228">
        <v>563</v>
      </c>
      <c r="H198" s="228">
        <v>-0.35</v>
      </c>
      <c r="I198" s="229">
        <v>-5.9999999999999995E-4</v>
      </c>
      <c r="J198" s="228">
        <v>558.9</v>
      </c>
      <c r="K198" s="228">
        <v>561.35</v>
      </c>
      <c r="L198" s="228">
        <v>-2.4500000000000002</v>
      </c>
      <c r="M198" s="229">
        <v>-4.4000000000000003E-3</v>
      </c>
      <c r="N198" s="228">
        <v>562.65</v>
      </c>
      <c r="O198" s="228">
        <v>563</v>
      </c>
      <c r="P198" s="228">
        <v>-0.35</v>
      </c>
      <c r="Q198" s="229">
        <v>-5.9999999999999995E-4</v>
      </c>
      <c r="R198" s="228">
        <v>0</v>
      </c>
      <c r="S198" s="228">
        <v>0</v>
      </c>
      <c r="T198" s="228">
        <v>0</v>
      </c>
      <c r="U198" s="229">
        <v>0</v>
      </c>
      <c r="V198" s="228">
        <v>0</v>
      </c>
      <c r="W198" s="228">
        <v>0</v>
      </c>
      <c r="X198" s="228">
        <v>0</v>
      </c>
      <c r="Y198" s="229">
        <v>0</v>
      </c>
      <c r="Z198" s="228">
        <v>3.75</v>
      </c>
      <c r="AA198" s="228">
        <v>1.65</v>
      </c>
      <c r="AB198" s="228">
        <v>2.1</v>
      </c>
      <c r="AC198" s="229">
        <v>6.7000000000000002E-3</v>
      </c>
      <c r="AD198" s="228">
        <v>3.75</v>
      </c>
      <c r="AE198" s="228">
        <v>1.65</v>
      </c>
      <c r="AF198" s="228">
        <v>2.1</v>
      </c>
      <c r="AG198" s="229">
        <v>6.7000000000000002E-3</v>
      </c>
      <c r="AH198" s="228">
        <v>0</v>
      </c>
      <c r="AI198" s="228">
        <v>0</v>
      </c>
      <c r="AJ198" s="228">
        <v>0</v>
      </c>
      <c r="AK198" s="229">
        <v>0</v>
      </c>
      <c r="AL198" s="228">
        <v>0</v>
      </c>
      <c r="AM198" s="228">
        <v>0</v>
      </c>
      <c r="AN198" s="228">
        <v>0</v>
      </c>
      <c r="AO198" s="229">
        <v>0</v>
      </c>
      <c r="AP198" s="228">
        <v>561.14</v>
      </c>
      <c r="AQ198" s="228">
        <v>0</v>
      </c>
      <c r="AR198" s="228">
        <v>0</v>
      </c>
      <c r="AS198" s="228">
        <v>40</v>
      </c>
      <c r="AT198" s="228">
        <v>62</v>
      </c>
      <c r="AU198" s="228">
        <v>-22</v>
      </c>
      <c r="AV198" s="229">
        <v>-0.35039999999999999</v>
      </c>
      <c r="AW198" s="228">
        <v>40</v>
      </c>
      <c r="AX198" s="228">
        <v>62</v>
      </c>
      <c r="AY198" s="228">
        <v>-22</v>
      </c>
      <c r="AZ198" s="229">
        <v>-0.35039999999999999</v>
      </c>
      <c r="BA198" s="228">
        <v>0</v>
      </c>
      <c r="BB198" s="228">
        <v>0</v>
      </c>
      <c r="BC198" s="228">
        <v>0</v>
      </c>
      <c r="BD198" s="229">
        <v>0</v>
      </c>
      <c r="BE198" s="228">
        <v>0</v>
      </c>
      <c r="BF198" s="228">
        <v>0</v>
      </c>
      <c r="BG198" s="228">
        <v>0</v>
      </c>
      <c r="BH198" s="229">
        <v>0</v>
      </c>
      <c r="BI198" s="228">
        <v>77</v>
      </c>
      <c r="BJ198" s="228">
        <v>105</v>
      </c>
      <c r="BK198" s="228">
        <v>-28</v>
      </c>
      <c r="BL198" s="229">
        <v>-0.26740000000000003</v>
      </c>
      <c r="BM198" s="228">
        <v>17</v>
      </c>
      <c r="BN198" s="228">
        <v>38</v>
      </c>
      <c r="BO198" s="228">
        <v>-21</v>
      </c>
      <c r="BP198" s="229">
        <v>-0.55979999999999996</v>
      </c>
      <c r="BQ198" s="228">
        <v>134</v>
      </c>
      <c r="BR198" s="228">
        <v>204</v>
      </c>
      <c r="BS198" s="228">
        <v>-71</v>
      </c>
      <c r="BT198" s="229">
        <v>-0.3463</v>
      </c>
      <c r="BU198" s="230">
        <v>836351</v>
      </c>
      <c r="BV198" s="230">
        <v>842125</v>
      </c>
      <c r="BW198" s="230">
        <v>-5774</v>
      </c>
      <c r="BX198" s="229">
        <v>-6.8999999999999999E-3</v>
      </c>
      <c r="BY198" s="228">
        <v>403</v>
      </c>
      <c r="BZ198" s="228">
        <v>411</v>
      </c>
      <c r="CA198" s="228">
        <v>-8</v>
      </c>
      <c r="CB198" s="229">
        <v>-1.84E-2</v>
      </c>
      <c r="CC198" s="228">
        <v>403</v>
      </c>
      <c r="CD198" s="228">
        <v>411</v>
      </c>
      <c r="CE198" s="228">
        <v>-8</v>
      </c>
      <c r="CF198" s="229">
        <v>-1.84E-2</v>
      </c>
      <c r="CG198" s="228">
        <v>0</v>
      </c>
      <c r="CH198" s="228">
        <v>0</v>
      </c>
      <c r="CI198" s="228">
        <v>0</v>
      </c>
      <c r="CJ198" s="229">
        <v>0</v>
      </c>
      <c r="CK198" s="228">
        <v>0</v>
      </c>
      <c r="CL198" s="228">
        <v>0</v>
      </c>
      <c r="CM198" s="228">
        <v>0</v>
      </c>
      <c r="CN198" s="229">
        <v>0</v>
      </c>
      <c r="CO198" s="228">
        <v>103</v>
      </c>
      <c r="CP198" s="228">
        <v>113</v>
      </c>
      <c r="CQ198" s="228">
        <v>-10</v>
      </c>
      <c r="CR198" s="229">
        <v>-9.0300000000000005E-2</v>
      </c>
      <c r="CS198" s="228">
        <v>88</v>
      </c>
      <c r="CT198" s="228">
        <v>88</v>
      </c>
      <c r="CU198" s="228">
        <v>1</v>
      </c>
      <c r="CV198" s="229">
        <v>8.2000000000000007E-3</v>
      </c>
      <c r="CW198" s="228">
        <v>595</v>
      </c>
      <c r="CX198" s="228">
        <v>612</v>
      </c>
      <c r="CY198" s="228">
        <v>-17</v>
      </c>
      <c r="CZ198" s="229">
        <v>-2.7900000000000001E-2</v>
      </c>
      <c r="DA198" s="228">
        <v>35.83</v>
      </c>
      <c r="DB198" s="228">
        <v>36.61</v>
      </c>
      <c r="DC198" s="228">
        <v>-0.78</v>
      </c>
      <c r="DD198" s="228">
        <v>-0.78</v>
      </c>
      <c r="DE198" s="228">
        <v>33.74</v>
      </c>
      <c r="DF198" s="228">
        <v>33.82</v>
      </c>
      <c r="DG198" s="228">
        <v>2.09</v>
      </c>
      <c r="DH198" s="228">
        <v>-0.08</v>
      </c>
      <c r="DI198" s="228">
        <v>35.39</v>
      </c>
      <c r="DJ198" s="228">
        <v>36.1</v>
      </c>
      <c r="DK198" s="228">
        <v>-0.71</v>
      </c>
      <c r="DL198" s="228">
        <v>-0.71</v>
      </c>
      <c r="DM198" s="228">
        <v>37.909999999999997</v>
      </c>
      <c r="DN198" s="228">
        <v>38.049999999999997</v>
      </c>
      <c r="DO198" s="228">
        <v>-0.14000000000000001</v>
      </c>
      <c r="DP198" s="228">
        <v>-0.14000000000000001</v>
      </c>
      <c r="DQ198" s="228">
        <v>0.86</v>
      </c>
      <c r="DR198" s="228">
        <v>0.77</v>
      </c>
      <c r="DS198" s="228">
        <v>0.09</v>
      </c>
      <c r="DT198" s="229">
        <v>0.1169</v>
      </c>
      <c r="DU198" s="228">
        <v>600</v>
      </c>
      <c r="DV198" s="228">
        <v>540</v>
      </c>
      <c r="DW198" s="228">
        <v>0.22</v>
      </c>
      <c r="DX198" s="228">
        <v>0.36</v>
      </c>
      <c r="DY198" s="228">
        <v>-0.14000000000000001</v>
      </c>
      <c r="DZ198" s="229">
        <v>-0.38890000000000002</v>
      </c>
      <c r="EA198" s="229">
        <v>0</v>
      </c>
      <c r="EB198" s="228">
        <v>0</v>
      </c>
      <c r="EC198" s="229">
        <v>0</v>
      </c>
      <c r="ED198" s="229">
        <v>0</v>
      </c>
      <c r="EE198" s="228">
        <v>0</v>
      </c>
      <c r="EF198" s="229">
        <v>0</v>
      </c>
      <c r="EG198" s="230">
        <v>321072</v>
      </c>
      <c r="EH198" s="230">
        <v>367580</v>
      </c>
      <c r="EI198" s="229">
        <v>-0.1265</v>
      </c>
      <c r="EJ198" s="229">
        <v>0.38390000000000002</v>
      </c>
      <c r="EK198" s="228">
        <v>81.52</v>
      </c>
      <c r="EL198" s="228">
        <v>16.84</v>
      </c>
      <c r="EM198" s="228">
        <v>39.950000000000003</v>
      </c>
      <c r="EN198" s="228">
        <v>12.37</v>
      </c>
      <c r="EO198" s="228">
        <v>138.32</v>
      </c>
      <c r="EP198" s="228">
        <v>209.19</v>
      </c>
      <c r="EQ198" s="228">
        <v>-70.87</v>
      </c>
      <c r="ER198" s="229">
        <v>-0.33879999999999999</v>
      </c>
      <c r="ES198" s="228">
        <v>105.34</v>
      </c>
      <c r="ET198" s="228">
        <v>86.63</v>
      </c>
      <c r="EU198" s="228">
        <v>403.31</v>
      </c>
      <c r="EV198" s="231">
        <v>27144562</v>
      </c>
      <c r="EW198" s="228">
        <v>595.28</v>
      </c>
      <c r="EX198" s="228">
        <v>612.80999999999995</v>
      </c>
      <c r="EY198" s="228">
        <v>-17.53</v>
      </c>
      <c r="EZ198" s="229">
        <v>-2.86E-2</v>
      </c>
      <c r="FA198" s="229">
        <v>0.38929999999999998</v>
      </c>
      <c r="FB198" s="227" t="s">
        <v>567</v>
      </c>
      <c r="FC198">
        <f t="shared" si="4"/>
        <v>0</v>
      </c>
    </row>
    <row r="199" spans="1:159" ht="17.25" thickBot="1" x14ac:dyDescent="0.3">
      <c r="A199" s="226">
        <v>46121</v>
      </c>
      <c r="B199" s="227" t="s">
        <v>221</v>
      </c>
      <c r="C199" s="227" t="s">
        <v>295</v>
      </c>
      <c r="D199" s="228">
        <v>175</v>
      </c>
      <c r="E199" s="228">
        <v>19</v>
      </c>
      <c r="F199" s="231">
        <v>2588</v>
      </c>
      <c r="G199" s="231">
        <v>2563.4</v>
      </c>
      <c r="H199" s="228">
        <v>24.6</v>
      </c>
      <c r="I199" s="229">
        <v>9.5999999999999992E-3</v>
      </c>
      <c r="J199" s="231">
        <v>2589</v>
      </c>
      <c r="K199" s="231">
        <v>2559.1999999999998</v>
      </c>
      <c r="L199" s="228">
        <v>29.8</v>
      </c>
      <c r="M199" s="229">
        <v>1.1599999999999999E-2</v>
      </c>
      <c r="N199" s="231">
        <v>2588</v>
      </c>
      <c r="O199" s="231">
        <v>2563.4</v>
      </c>
      <c r="P199" s="228">
        <v>24.6</v>
      </c>
      <c r="Q199" s="229">
        <v>9.5999999999999992E-3</v>
      </c>
      <c r="R199" s="231">
        <v>2593.6999999999998</v>
      </c>
      <c r="S199" s="231">
        <v>2569.4</v>
      </c>
      <c r="T199" s="228">
        <v>24.3</v>
      </c>
      <c r="U199" s="229">
        <v>9.4999999999999998E-3</v>
      </c>
      <c r="V199" s="231">
        <v>2594.8000000000002</v>
      </c>
      <c r="W199" s="231">
        <v>2568.1</v>
      </c>
      <c r="X199" s="228">
        <v>26.7</v>
      </c>
      <c r="Y199" s="229">
        <v>1.04E-2</v>
      </c>
      <c r="Z199" s="228">
        <v>-1</v>
      </c>
      <c r="AA199" s="228">
        <v>4.2</v>
      </c>
      <c r="AB199" s="228">
        <v>-5.2</v>
      </c>
      <c r="AC199" s="229">
        <v>-4.0000000000000002E-4</v>
      </c>
      <c r="AD199" s="228">
        <v>-1</v>
      </c>
      <c r="AE199" s="228">
        <v>4.2</v>
      </c>
      <c r="AF199" s="228">
        <v>-5.2</v>
      </c>
      <c r="AG199" s="229">
        <v>-4.0000000000000002E-4</v>
      </c>
      <c r="AH199" s="228">
        <v>4.7</v>
      </c>
      <c r="AI199" s="228">
        <v>10.199999999999999</v>
      </c>
      <c r="AJ199" s="228">
        <v>-5.5</v>
      </c>
      <c r="AK199" s="229">
        <v>1.8E-3</v>
      </c>
      <c r="AL199" s="228">
        <v>5.8</v>
      </c>
      <c r="AM199" s="228">
        <v>8.9</v>
      </c>
      <c r="AN199" s="228">
        <v>-3.1</v>
      </c>
      <c r="AO199" s="229">
        <v>2.2000000000000001E-3</v>
      </c>
      <c r="AP199" s="231">
        <v>2577.81</v>
      </c>
      <c r="AQ199" s="231">
        <v>2584.5</v>
      </c>
      <c r="AR199" s="228">
        <v>0</v>
      </c>
      <c r="AS199" s="230">
        <v>1785</v>
      </c>
      <c r="AT199" s="230">
        <v>1340</v>
      </c>
      <c r="AU199" s="228">
        <v>445</v>
      </c>
      <c r="AV199" s="229">
        <v>0.33179999999999998</v>
      </c>
      <c r="AW199" s="230">
        <v>1670</v>
      </c>
      <c r="AX199" s="230">
        <v>1241</v>
      </c>
      <c r="AY199" s="228">
        <v>429</v>
      </c>
      <c r="AZ199" s="229">
        <v>0.34560000000000002</v>
      </c>
      <c r="BA199" s="228">
        <v>88</v>
      </c>
      <c r="BB199" s="228">
        <v>71</v>
      </c>
      <c r="BC199" s="228">
        <v>18</v>
      </c>
      <c r="BD199" s="229">
        <v>0.24779999999999999</v>
      </c>
      <c r="BE199" s="228">
        <v>27</v>
      </c>
      <c r="BF199" s="228">
        <v>29</v>
      </c>
      <c r="BG199" s="228">
        <v>-2</v>
      </c>
      <c r="BH199" s="229">
        <v>-5.33E-2</v>
      </c>
      <c r="BI199" s="230">
        <v>10213</v>
      </c>
      <c r="BJ199" s="230">
        <v>4465</v>
      </c>
      <c r="BK199" s="230">
        <v>5748</v>
      </c>
      <c r="BL199" s="229">
        <v>1.2871999999999999</v>
      </c>
      <c r="BM199" s="230">
        <v>5199</v>
      </c>
      <c r="BN199" s="230">
        <v>2311</v>
      </c>
      <c r="BO199" s="230">
        <v>2888</v>
      </c>
      <c r="BP199" s="229">
        <v>1.2498</v>
      </c>
      <c r="BQ199" s="230">
        <v>17197</v>
      </c>
      <c r="BR199" s="230">
        <v>8117</v>
      </c>
      <c r="BS199" s="230">
        <v>9081</v>
      </c>
      <c r="BT199" s="229">
        <v>1.1188</v>
      </c>
      <c r="BU199" s="230">
        <v>6364033</v>
      </c>
      <c r="BV199" s="230">
        <v>5045914</v>
      </c>
      <c r="BW199" s="230">
        <v>1318119</v>
      </c>
      <c r="BX199" s="229">
        <v>0.26119999999999999</v>
      </c>
      <c r="BY199" s="230">
        <v>8248</v>
      </c>
      <c r="BZ199" s="230">
        <v>8386</v>
      </c>
      <c r="CA199" s="228">
        <v>-138</v>
      </c>
      <c r="CB199" s="229">
        <v>-1.6500000000000001E-2</v>
      </c>
      <c r="CC199" s="230">
        <v>7714</v>
      </c>
      <c r="CD199" s="230">
        <v>7873</v>
      </c>
      <c r="CE199" s="228">
        <v>-160</v>
      </c>
      <c r="CF199" s="229">
        <v>-2.0299999999999999E-2</v>
      </c>
      <c r="CG199" s="228">
        <v>455</v>
      </c>
      <c r="CH199" s="228">
        <v>443</v>
      </c>
      <c r="CI199" s="228">
        <v>12</v>
      </c>
      <c r="CJ199" s="229">
        <v>2.7900000000000001E-2</v>
      </c>
      <c r="CK199" s="228">
        <v>78</v>
      </c>
      <c r="CL199" s="228">
        <v>69</v>
      </c>
      <c r="CM199" s="228">
        <v>9</v>
      </c>
      <c r="CN199" s="229">
        <v>0.1305</v>
      </c>
      <c r="CO199" s="230">
        <v>4238</v>
      </c>
      <c r="CP199" s="230">
        <v>2533</v>
      </c>
      <c r="CQ199" s="230">
        <v>1705</v>
      </c>
      <c r="CR199" s="229">
        <v>0.67300000000000004</v>
      </c>
      <c r="CS199" s="230">
        <v>3071</v>
      </c>
      <c r="CT199" s="230">
        <v>2374</v>
      </c>
      <c r="CU199" s="228">
        <v>696</v>
      </c>
      <c r="CV199" s="229">
        <v>0.29339999999999999</v>
      </c>
      <c r="CW199" s="230">
        <v>15556</v>
      </c>
      <c r="CX199" s="230">
        <v>13293</v>
      </c>
      <c r="CY199" s="230">
        <v>2263</v>
      </c>
      <c r="CZ199" s="229">
        <v>0.17019999999999999</v>
      </c>
      <c r="DA199" s="228">
        <v>33.479999999999997</v>
      </c>
      <c r="DB199" s="228">
        <v>33.86</v>
      </c>
      <c r="DC199" s="228">
        <v>-0.38</v>
      </c>
      <c r="DD199" s="228">
        <v>-0.38</v>
      </c>
      <c r="DE199" s="228">
        <v>26.91</v>
      </c>
      <c r="DF199" s="228">
        <v>26.94</v>
      </c>
      <c r="DG199" s="228">
        <v>6.57</v>
      </c>
      <c r="DH199" s="228">
        <v>-0.03</v>
      </c>
      <c r="DI199" s="228">
        <v>32.69</v>
      </c>
      <c r="DJ199" s="228">
        <v>33.18</v>
      </c>
      <c r="DK199" s="228">
        <v>-0.49</v>
      </c>
      <c r="DL199" s="228">
        <v>-0.49</v>
      </c>
      <c r="DM199" s="228">
        <v>35.03</v>
      </c>
      <c r="DN199" s="228">
        <v>35.159999999999997</v>
      </c>
      <c r="DO199" s="228">
        <v>-0.13</v>
      </c>
      <c r="DP199" s="228">
        <v>-0.13</v>
      </c>
      <c r="DQ199" s="228">
        <v>0.72</v>
      </c>
      <c r="DR199" s="228">
        <v>0.94</v>
      </c>
      <c r="DS199" s="228">
        <v>-0.22</v>
      </c>
      <c r="DT199" s="229">
        <v>-0.23400000000000001</v>
      </c>
      <c r="DU199" s="231">
        <v>2600</v>
      </c>
      <c r="DV199" s="231">
        <v>2400</v>
      </c>
      <c r="DW199" s="228">
        <v>0.51</v>
      </c>
      <c r="DX199" s="228">
        <v>0.52</v>
      </c>
      <c r="DY199" s="228">
        <v>-0.01</v>
      </c>
      <c r="DZ199" s="229">
        <v>-1.9199999999999998E-2</v>
      </c>
      <c r="EA199" s="229">
        <v>6.4699999999999994E-2</v>
      </c>
      <c r="EB199" s="230">
        <v>1979775</v>
      </c>
      <c r="EC199" s="229">
        <v>2.2000000000000001E-3</v>
      </c>
      <c r="ED199" s="229">
        <v>6.4699999999999994E-2</v>
      </c>
      <c r="EE199" s="228">
        <v>6.69</v>
      </c>
      <c r="EF199" s="229">
        <v>2.5999999999999999E-3</v>
      </c>
      <c r="EG199" s="230">
        <v>2138762</v>
      </c>
      <c r="EH199" s="230">
        <v>2279227</v>
      </c>
      <c r="EI199" s="229">
        <v>-6.1600000000000002E-2</v>
      </c>
      <c r="EJ199" s="229">
        <v>0.33610000000000001</v>
      </c>
      <c r="EK199" s="231">
        <v>10789.59</v>
      </c>
      <c r="EL199" s="231">
        <v>5016.07</v>
      </c>
      <c r="EM199" s="231">
        <v>1778.39</v>
      </c>
      <c r="EN199" s="228">
        <v>219.93</v>
      </c>
      <c r="EO199" s="231">
        <v>17584.05</v>
      </c>
      <c r="EP199" s="231">
        <v>8240.98</v>
      </c>
      <c r="EQ199" s="231">
        <v>9343.06</v>
      </c>
      <c r="ER199" s="229">
        <v>1.1336999999999999</v>
      </c>
      <c r="ES199" s="231">
        <v>4381.63</v>
      </c>
      <c r="ET199" s="231">
        <v>2956.39</v>
      </c>
      <c r="EU199" s="231">
        <v>8248.9699999999993</v>
      </c>
      <c r="EV199" s="231">
        <v>153229333</v>
      </c>
      <c r="EW199" s="231">
        <v>15586.99</v>
      </c>
      <c r="EX199" s="231">
        <v>13169.08</v>
      </c>
      <c r="EY199" s="231">
        <v>2417.91</v>
      </c>
      <c r="EZ199" s="229">
        <v>0.18360000000000001</v>
      </c>
      <c r="FA199" s="229">
        <v>0.39229999999999998</v>
      </c>
      <c r="FB199" s="227" t="s">
        <v>694</v>
      </c>
      <c r="FC199">
        <f t="shared" si="4"/>
        <v>0</v>
      </c>
    </row>
    <row r="200" spans="1:159" ht="17.25" thickBot="1" x14ac:dyDescent="0.3">
      <c r="A200" s="226">
        <v>46121</v>
      </c>
      <c r="B200" s="227" t="s">
        <v>221</v>
      </c>
      <c r="C200" s="227" t="s">
        <v>296</v>
      </c>
      <c r="D200" s="228">
        <v>600</v>
      </c>
      <c r="E200" s="228">
        <v>19</v>
      </c>
      <c r="F200" s="231">
        <v>1464.6</v>
      </c>
      <c r="G200" s="231">
        <v>1456</v>
      </c>
      <c r="H200" s="228">
        <v>8.6</v>
      </c>
      <c r="I200" s="229">
        <v>5.8999999999999999E-3</v>
      </c>
      <c r="J200" s="231">
        <v>1461.6</v>
      </c>
      <c r="K200" s="231">
        <v>1451.4</v>
      </c>
      <c r="L200" s="228">
        <v>10.199999999999999</v>
      </c>
      <c r="M200" s="229">
        <v>7.0000000000000001E-3</v>
      </c>
      <c r="N200" s="231">
        <v>1464.6</v>
      </c>
      <c r="O200" s="231">
        <v>1456</v>
      </c>
      <c r="P200" s="228">
        <v>8.6</v>
      </c>
      <c r="Q200" s="229">
        <v>5.8999999999999999E-3</v>
      </c>
      <c r="R200" s="231">
        <v>1467</v>
      </c>
      <c r="S200" s="231">
        <v>1459.2</v>
      </c>
      <c r="T200" s="228">
        <v>7.8</v>
      </c>
      <c r="U200" s="229">
        <v>5.3E-3</v>
      </c>
      <c r="V200" s="231">
        <v>1473.4</v>
      </c>
      <c r="W200" s="231">
        <v>1467.6</v>
      </c>
      <c r="X200" s="228">
        <v>5.8</v>
      </c>
      <c r="Y200" s="229">
        <v>4.0000000000000001E-3</v>
      </c>
      <c r="Z200" s="228">
        <v>3</v>
      </c>
      <c r="AA200" s="228">
        <v>4.5999999999999996</v>
      </c>
      <c r="AB200" s="228">
        <v>-1.6</v>
      </c>
      <c r="AC200" s="229">
        <v>2.0999999999999999E-3</v>
      </c>
      <c r="AD200" s="228">
        <v>3</v>
      </c>
      <c r="AE200" s="228">
        <v>4.5999999999999996</v>
      </c>
      <c r="AF200" s="228">
        <v>-1.6</v>
      </c>
      <c r="AG200" s="229">
        <v>2.0999999999999999E-3</v>
      </c>
      <c r="AH200" s="228">
        <v>5.4</v>
      </c>
      <c r="AI200" s="228">
        <v>7.8</v>
      </c>
      <c r="AJ200" s="228">
        <v>-2.4</v>
      </c>
      <c r="AK200" s="229">
        <v>3.7000000000000002E-3</v>
      </c>
      <c r="AL200" s="228">
        <v>11.8</v>
      </c>
      <c r="AM200" s="228">
        <v>16.2</v>
      </c>
      <c r="AN200" s="228">
        <v>-4.4000000000000004</v>
      </c>
      <c r="AO200" s="229">
        <v>8.0999999999999996E-3</v>
      </c>
      <c r="AP200" s="231">
        <v>1454.62</v>
      </c>
      <c r="AQ200" s="231">
        <v>1456.56</v>
      </c>
      <c r="AR200" s="228">
        <v>0</v>
      </c>
      <c r="AS200" s="228">
        <v>355</v>
      </c>
      <c r="AT200" s="228">
        <v>517</v>
      </c>
      <c r="AU200" s="228">
        <v>-162</v>
      </c>
      <c r="AV200" s="229">
        <v>-0.31319999999999998</v>
      </c>
      <c r="AW200" s="228">
        <v>338</v>
      </c>
      <c r="AX200" s="228">
        <v>485</v>
      </c>
      <c r="AY200" s="228">
        <v>-148</v>
      </c>
      <c r="AZ200" s="229">
        <v>-0.3039</v>
      </c>
      <c r="BA200" s="228">
        <v>16</v>
      </c>
      <c r="BB200" s="228">
        <v>27</v>
      </c>
      <c r="BC200" s="228">
        <v>-11</v>
      </c>
      <c r="BD200" s="229">
        <v>-0.40920000000000001</v>
      </c>
      <c r="BE200" s="228">
        <v>2</v>
      </c>
      <c r="BF200" s="228">
        <v>5</v>
      </c>
      <c r="BG200" s="228">
        <v>-4</v>
      </c>
      <c r="BH200" s="229">
        <v>-0.68969999999999998</v>
      </c>
      <c r="BI200" s="230">
        <v>1123</v>
      </c>
      <c r="BJ200" s="230">
        <v>1309</v>
      </c>
      <c r="BK200" s="228">
        <v>-185</v>
      </c>
      <c r="BL200" s="229">
        <v>-0.1416</v>
      </c>
      <c r="BM200" s="228">
        <v>661</v>
      </c>
      <c r="BN200" s="228">
        <v>889</v>
      </c>
      <c r="BO200" s="228">
        <v>-227</v>
      </c>
      <c r="BP200" s="229">
        <v>-0.25590000000000002</v>
      </c>
      <c r="BQ200" s="230">
        <v>2140</v>
      </c>
      <c r="BR200" s="230">
        <v>2714</v>
      </c>
      <c r="BS200" s="228">
        <v>-575</v>
      </c>
      <c r="BT200" s="229">
        <v>-0.2117</v>
      </c>
      <c r="BU200" s="230">
        <v>1866643</v>
      </c>
      <c r="BV200" s="230">
        <v>2857029</v>
      </c>
      <c r="BW200" s="230">
        <v>-990386</v>
      </c>
      <c r="BX200" s="229">
        <v>-0.34660000000000002</v>
      </c>
      <c r="BY200" s="230">
        <v>2729</v>
      </c>
      <c r="BZ200" s="230">
        <v>2801</v>
      </c>
      <c r="CA200" s="228">
        <v>-73</v>
      </c>
      <c r="CB200" s="229">
        <v>-2.5999999999999999E-2</v>
      </c>
      <c r="CC200" s="230">
        <v>2672</v>
      </c>
      <c r="CD200" s="230">
        <v>2747</v>
      </c>
      <c r="CE200" s="228">
        <v>-74</v>
      </c>
      <c r="CF200" s="229">
        <v>-2.7099999999999999E-2</v>
      </c>
      <c r="CG200" s="228">
        <v>43</v>
      </c>
      <c r="CH200" s="228">
        <v>41</v>
      </c>
      <c r="CI200" s="228">
        <v>1</v>
      </c>
      <c r="CJ200" s="229">
        <v>2.9700000000000001E-2</v>
      </c>
      <c r="CK200" s="228">
        <v>14</v>
      </c>
      <c r="CL200" s="228">
        <v>13</v>
      </c>
      <c r="CM200" s="228">
        <v>0</v>
      </c>
      <c r="CN200" s="229">
        <v>3.2899999999999999E-2</v>
      </c>
      <c r="CO200" s="228">
        <v>718</v>
      </c>
      <c r="CP200" s="228">
        <v>704</v>
      </c>
      <c r="CQ200" s="228">
        <v>14</v>
      </c>
      <c r="CR200" s="229">
        <v>2.0500000000000001E-2</v>
      </c>
      <c r="CS200" s="228">
        <v>566</v>
      </c>
      <c r="CT200" s="228">
        <v>573</v>
      </c>
      <c r="CU200" s="228">
        <v>-7</v>
      </c>
      <c r="CV200" s="229">
        <v>-1.21E-2</v>
      </c>
      <c r="CW200" s="230">
        <v>4013</v>
      </c>
      <c r="CX200" s="230">
        <v>4078</v>
      </c>
      <c r="CY200" s="228">
        <v>-65</v>
      </c>
      <c r="CZ200" s="229">
        <v>-1.6E-2</v>
      </c>
      <c r="DA200" s="228">
        <v>34.99</v>
      </c>
      <c r="DB200" s="228">
        <v>35.11</v>
      </c>
      <c r="DC200" s="228">
        <v>-0.12</v>
      </c>
      <c r="DD200" s="228">
        <v>-0.12</v>
      </c>
      <c r="DE200" s="228">
        <v>31.24</v>
      </c>
      <c r="DF200" s="228">
        <v>31.31</v>
      </c>
      <c r="DG200" s="228">
        <v>3.75</v>
      </c>
      <c r="DH200" s="228">
        <v>-7.0000000000000007E-2</v>
      </c>
      <c r="DI200" s="228">
        <v>34.130000000000003</v>
      </c>
      <c r="DJ200" s="228">
        <v>34.65</v>
      </c>
      <c r="DK200" s="228">
        <v>-0.52</v>
      </c>
      <c r="DL200" s="228">
        <v>-0.52</v>
      </c>
      <c r="DM200" s="228">
        <v>36.450000000000003</v>
      </c>
      <c r="DN200" s="228">
        <v>35.78</v>
      </c>
      <c r="DO200" s="228">
        <v>0.67</v>
      </c>
      <c r="DP200" s="228">
        <v>0.67</v>
      </c>
      <c r="DQ200" s="228">
        <v>0.79</v>
      </c>
      <c r="DR200" s="228">
        <v>0.81</v>
      </c>
      <c r="DS200" s="228">
        <v>-0.02</v>
      </c>
      <c r="DT200" s="229">
        <v>-2.47E-2</v>
      </c>
      <c r="DU200" s="231">
        <v>1500</v>
      </c>
      <c r="DV200" s="231">
        <v>1320</v>
      </c>
      <c r="DW200" s="228">
        <v>0.59</v>
      </c>
      <c r="DX200" s="228">
        <v>0.68</v>
      </c>
      <c r="DY200" s="228">
        <v>-0.09</v>
      </c>
      <c r="DZ200" s="229">
        <v>-0.13239999999999999</v>
      </c>
      <c r="EA200" s="229">
        <v>2.07E-2</v>
      </c>
      <c r="EB200" s="230">
        <v>374400</v>
      </c>
      <c r="EC200" s="229">
        <v>1.6000000000000001E-3</v>
      </c>
      <c r="ED200" s="229">
        <v>2.07E-2</v>
      </c>
      <c r="EE200" s="228">
        <v>1.94</v>
      </c>
      <c r="EF200" s="229">
        <v>1.2999999999999999E-3</v>
      </c>
      <c r="EG200" s="230">
        <v>738287</v>
      </c>
      <c r="EH200" s="230">
        <v>1316326</v>
      </c>
      <c r="EI200" s="229">
        <v>-0.43909999999999999</v>
      </c>
      <c r="EJ200" s="229">
        <v>0.39550000000000002</v>
      </c>
      <c r="EK200" s="231">
        <v>1172.78</v>
      </c>
      <c r="EL200" s="228">
        <v>655.49</v>
      </c>
      <c r="EM200" s="228">
        <v>352.81</v>
      </c>
      <c r="EN200" s="228">
        <v>49.07</v>
      </c>
      <c r="EO200" s="231">
        <v>2181.08</v>
      </c>
      <c r="EP200" s="231">
        <v>2784.56</v>
      </c>
      <c r="EQ200" s="228">
        <v>-603.48</v>
      </c>
      <c r="ER200" s="229">
        <v>-0.2167</v>
      </c>
      <c r="ES200" s="228">
        <v>730.48</v>
      </c>
      <c r="ET200" s="228">
        <v>534.16</v>
      </c>
      <c r="EU200" s="231">
        <v>2728.79</v>
      </c>
      <c r="EV200" s="231">
        <v>95553300</v>
      </c>
      <c r="EW200" s="231">
        <v>3993.43</v>
      </c>
      <c r="EX200" s="231">
        <v>4041.79</v>
      </c>
      <c r="EY200" s="228">
        <v>-48.36</v>
      </c>
      <c r="EZ200" s="229">
        <v>-1.2E-2</v>
      </c>
      <c r="FA200" s="229">
        <v>0.2868</v>
      </c>
      <c r="FB200" s="227" t="s">
        <v>694</v>
      </c>
      <c r="FC200">
        <f t="shared" si="4"/>
        <v>0</v>
      </c>
    </row>
    <row r="201" spans="1:159" ht="17.25" thickBot="1" x14ac:dyDescent="0.3">
      <c r="A201" s="226">
        <v>46121</v>
      </c>
      <c r="B201" s="227" t="s">
        <v>184</v>
      </c>
      <c r="C201" s="227" t="s">
        <v>594</v>
      </c>
      <c r="D201" s="228">
        <v>200</v>
      </c>
      <c r="E201" s="228">
        <v>19</v>
      </c>
      <c r="F201" s="231">
        <v>2752.1</v>
      </c>
      <c r="G201" s="231">
        <v>2742</v>
      </c>
      <c r="H201" s="228">
        <v>10.1</v>
      </c>
      <c r="I201" s="229">
        <v>3.7000000000000002E-3</v>
      </c>
      <c r="J201" s="231">
        <v>2743.3</v>
      </c>
      <c r="K201" s="231">
        <v>2727.1</v>
      </c>
      <c r="L201" s="228">
        <v>16.2</v>
      </c>
      <c r="M201" s="229">
        <v>5.8999999999999999E-3</v>
      </c>
      <c r="N201" s="231">
        <v>2752.1</v>
      </c>
      <c r="O201" s="231">
        <v>2742</v>
      </c>
      <c r="P201" s="228">
        <v>10.1</v>
      </c>
      <c r="Q201" s="229">
        <v>3.7000000000000002E-3</v>
      </c>
      <c r="R201" s="231">
        <v>2760.1</v>
      </c>
      <c r="S201" s="231">
        <v>2751.8</v>
      </c>
      <c r="T201" s="228">
        <v>8.3000000000000007</v>
      </c>
      <c r="U201" s="229">
        <v>3.0000000000000001E-3</v>
      </c>
      <c r="V201" s="231">
        <v>2770.8</v>
      </c>
      <c r="W201" s="231">
        <v>2700</v>
      </c>
      <c r="X201" s="228">
        <v>70.8</v>
      </c>
      <c r="Y201" s="229">
        <v>2.6200000000000001E-2</v>
      </c>
      <c r="Z201" s="228">
        <v>8.8000000000000007</v>
      </c>
      <c r="AA201" s="228">
        <v>14.9</v>
      </c>
      <c r="AB201" s="228">
        <v>-6.1</v>
      </c>
      <c r="AC201" s="229">
        <v>3.2000000000000002E-3</v>
      </c>
      <c r="AD201" s="228">
        <v>8.8000000000000007</v>
      </c>
      <c r="AE201" s="228">
        <v>14.9</v>
      </c>
      <c r="AF201" s="228">
        <v>-6.1</v>
      </c>
      <c r="AG201" s="229">
        <v>3.2000000000000002E-3</v>
      </c>
      <c r="AH201" s="228">
        <v>16.8</v>
      </c>
      <c r="AI201" s="228">
        <v>24.7</v>
      </c>
      <c r="AJ201" s="228">
        <v>-7.9</v>
      </c>
      <c r="AK201" s="229">
        <v>6.1000000000000004E-3</v>
      </c>
      <c r="AL201" s="228">
        <v>27.5</v>
      </c>
      <c r="AM201" s="228">
        <v>-27.1</v>
      </c>
      <c r="AN201" s="228">
        <v>54.6</v>
      </c>
      <c r="AO201" s="229">
        <v>0.01</v>
      </c>
      <c r="AP201" s="231">
        <v>2743.44</v>
      </c>
      <c r="AQ201" s="231">
        <v>2759.29</v>
      </c>
      <c r="AR201" s="228">
        <v>0</v>
      </c>
      <c r="AS201" s="228">
        <v>59</v>
      </c>
      <c r="AT201" s="228">
        <v>71</v>
      </c>
      <c r="AU201" s="228">
        <v>-12</v>
      </c>
      <c r="AV201" s="229">
        <v>-0.1736</v>
      </c>
      <c r="AW201" s="228">
        <v>58</v>
      </c>
      <c r="AX201" s="228">
        <v>69</v>
      </c>
      <c r="AY201" s="228">
        <v>-10</v>
      </c>
      <c r="AZ201" s="229">
        <v>-0.15179999999999999</v>
      </c>
      <c r="BA201" s="228">
        <v>0</v>
      </c>
      <c r="BB201" s="228">
        <v>2</v>
      </c>
      <c r="BC201" s="228">
        <v>-2</v>
      </c>
      <c r="BD201" s="229">
        <v>-0.82050000000000001</v>
      </c>
      <c r="BE201" s="228">
        <v>0</v>
      </c>
      <c r="BF201" s="228">
        <v>0</v>
      </c>
      <c r="BG201" s="228">
        <v>0</v>
      </c>
      <c r="BH201" s="229">
        <v>-0.6</v>
      </c>
      <c r="BI201" s="228">
        <v>54</v>
      </c>
      <c r="BJ201" s="228">
        <v>164</v>
      </c>
      <c r="BK201" s="228">
        <v>-110</v>
      </c>
      <c r="BL201" s="229">
        <v>-0.66900000000000004</v>
      </c>
      <c r="BM201" s="228">
        <v>12</v>
      </c>
      <c r="BN201" s="228">
        <v>38</v>
      </c>
      <c r="BO201" s="228">
        <v>-26</v>
      </c>
      <c r="BP201" s="229">
        <v>-0.68269999999999997</v>
      </c>
      <c r="BQ201" s="228">
        <v>125</v>
      </c>
      <c r="BR201" s="228">
        <v>273</v>
      </c>
      <c r="BS201" s="228">
        <v>-148</v>
      </c>
      <c r="BT201" s="229">
        <v>-0.54149999999999998</v>
      </c>
      <c r="BU201" s="230">
        <v>261032</v>
      </c>
      <c r="BV201" s="230">
        <v>383235</v>
      </c>
      <c r="BW201" s="230">
        <v>-122203</v>
      </c>
      <c r="BX201" s="229">
        <v>-0.31890000000000002</v>
      </c>
      <c r="BY201" s="228">
        <v>696</v>
      </c>
      <c r="BZ201" s="228">
        <v>679</v>
      </c>
      <c r="CA201" s="228">
        <v>17</v>
      </c>
      <c r="CB201" s="229">
        <v>2.5499999999999998E-2</v>
      </c>
      <c r="CC201" s="228">
        <v>690</v>
      </c>
      <c r="CD201" s="228">
        <v>673</v>
      </c>
      <c r="CE201" s="228">
        <v>17</v>
      </c>
      <c r="CF201" s="229">
        <v>2.5399999999999999E-2</v>
      </c>
      <c r="CG201" s="228">
        <v>6</v>
      </c>
      <c r="CH201" s="228">
        <v>6</v>
      </c>
      <c r="CI201" s="228">
        <v>0</v>
      </c>
      <c r="CJ201" s="229">
        <v>1.9E-2</v>
      </c>
      <c r="CK201" s="228">
        <v>1</v>
      </c>
      <c r="CL201" s="228">
        <v>0</v>
      </c>
      <c r="CM201" s="228">
        <v>0</v>
      </c>
      <c r="CN201" s="229">
        <v>0.22220000000000001</v>
      </c>
      <c r="CO201" s="228">
        <v>96</v>
      </c>
      <c r="CP201" s="228">
        <v>96</v>
      </c>
      <c r="CQ201" s="228">
        <v>0</v>
      </c>
      <c r="CR201" s="229">
        <v>4.5999999999999999E-3</v>
      </c>
      <c r="CS201" s="228">
        <v>53</v>
      </c>
      <c r="CT201" s="228">
        <v>52</v>
      </c>
      <c r="CU201" s="228">
        <v>1</v>
      </c>
      <c r="CV201" s="229">
        <v>1.7000000000000001E-2</v>
      </c>
      <c r="CW201" s="228">
        <v>845</v>
      </c>
      <c r="CX201" s="228">
        <v>827</v>
      </c>
      <c r="CY201" s="228">
        <v>19</v>
      </c>
      <c r="CZ201" s="229">
        <v>2.2499999999999999E-2</v>
      </c>
      <c r="DA201" s="228">
        <v>36.4</v>
      </c>
      <c r="DB201" s="228">
        <v>38.21</v>
      </c>
      <c r="DC201" s="228">
        <v>-1.81</v>
      </c>
      <c r="DD201" s="228">
        <v>-1.81</v>
      </c>
      <c r="DE201" s="228">
        <v>44.56</v>
      </c>
      <c r="DF201" s="228">
        <v>44.67</v>
      </c>
      <c r="DG201" s="228">
        <v>-8.16</v>
      </c>
      <c r="DH201" s="228">
        <v>-0.11</v>
      </c>
      <c r="DI201" s="228">
        <v>35.479999999999997</v>
      </c>
      <c r="DJ201" s="228">
        <v>37.32</v>
      </c>
      <c r="DK201" s="228">
        <v>-1.84</v>
      </c>
      <c r="DL201" s="228">
        <v>-1.84</v>
      </c>
      <c r="DM201" s="228">
        <v>40.58</v>
      </c>
      <c r="DN201" s="228">
        <v>42.08</v>
      </c>
      <c r="DO201" s="228">
        <v>-1.5</v>
      </c>
      <c r="DP201" s="228">
        <v>-1.5</v>
      </c>
      <c r="DQ201" s="228">
        <v>0.55000000000000004</v>
      </c>
      <c r="DR201" s="228">
        <v>0.54</v>
      </c>
      <c r="DS201" s="228">
        <v>0.01</v>
      </c>
      <c r="DT201" s="229">
        <v>1.8499999999999999E-2</v>
      </c>
      <c r="DU201" s="231">
        <v>2700</v>
      </c>
      <c r="DV201" s="231">
        <v>2500</v>
      </c>
      <c r="DW201" s="228">
        <v>0.22</v>
      </c>
      <c r="DX201" s="228">
        <v>0.23</v>
      </c>
      <c r="DY201" s="228">
        <v>-0.01</v>
      </c>
      <c r="DZ201" s="229">
        <v>-4.3499999999999997E-2</v>
      </c>
      <c r="EA201" s="229">
        <v>9.2999999999999992E-3</v>
      </c>
      <c r="EB201" s="230">
        <v>22800</v>
      </c>
      <c r="EC201" s="229">
        <v>2.8999999999999998E-3</v>
      </c>
      <c r="ED201" s="229">
        <v>9.2999999999999992E-3</v>
      </c>
      <c r="EE201" s="228">
        <v>15.85</v>
      </c>
      <c r="EF201" s="229">
        <v>5.7999999999999996E-3</v>
      </c>
      <c r="EG201" s="230">
        <v>120862</v>
      </c>
      <c r="EH201" s="230">
        <v>211038</v>
      </c>
      <c r="EI201" s="229">
        <v>-0.42730000000000001</v>
      </c>
      <c r="EJ201" s="229">
        <v>0.46300000000000002</v>
      </c>
      <c r="EK201" s="228">
        <v>57.14</v>
      </c>
      <c r="EL201" s="228">
        <v>11.56</v>
      </c>
      <c r="EM201" s="228">
        <v>58.77</v>
      </c>
      <c r="EN201" s="228">
        <v>12.94</v>
      </c>
      <c r="EO201" s="228">
        <v>127.46</v>
      </c>
      <c r="EP201" s="228">
        <v>277.22000000000003</v>
      </c>
      <c r="EQ201" s="228">
        <v>-149.76</v>
      </c>
      <c r="ER201" s="229">
        <v>-0.54020000000000001</v>
      </c>
      <c r="ES201" s="228">
        <v>97.57</v>
      </c>
      <c r="ET201" s="228">
        <v>48.47</v>
      </c>
      <c r="EU201" s="228">
        <v>696.3</v>
      </c>
      <c r="EV201" s="231">
        <v>16239060</v>
      </c>
      <c r="EW201" s="228">
        <v>842.34</v>
      </c>
      <c r="EX201" s="228">
        <v>821.03</v>
      </c>
      <c r="EY201" s="228">
        <v>21.31</v>
      </c>
      <c r="EZ201" s="229">
        <v>2.5999999999999999E-2</v>
      </c>
      <c r="FA201" s="229">
        <v>0.18920000000000001</v>
      </c>
      <c r="FB201" s="227" t="s">
        <v>555</v>
      </c>
      <c r="FC201">
        <f t="shared" si="4"/>
        <v>0</v>
      </c>
    </row>
    <row r="202" spans="1:159" ht="17.25" thickBot="1" x14ac:dyDescent="0.3">
      <c r="A202" s="226">
        <v>46121</v>
      </c>
      <c r="B202" s="227" t="s">
        <v>168</v>
      </c>
      <c r="C202" s="227" t="s">
        <v>297</v>
      </c>
      <c r="D202" s="228">
        <v>175</v>
      </c>
      <c r="E202" s="228">
        <v>19</v>
      </c>
      <c r="F202" s="231">
        <v>4449.7</v>
      </c>
      <c r="G202" s="231">
        <v>4501.8999999999996</v>
      </c>
      <c r="H202" s="228">
        <v>-52.2</v>
      </c>
      <c r="I202" s="229">
        <v>-1.1599999999999999E-2</v>
      </c>
      <c r="J202" s="231">
        <v>4439.8</v>
      </c>
      <c r="K202" s="231">
        <v>4492.5</v>
      </c>
      <c r="L202" s="228">
        <v>-52.7</v>
      </c>
      <c r="M202" s="229">
        <v>-1.17E-2</v>
      </c>
      <c r="N202" s="231">
        <v>4449.7</v>
      </c>
      <c r="O202" s="231">
        <v>4501.8999999999996</v>
      </c>
      <c r="P202" s="228">
        <v>-52.2</v>
      </c>
      <c r="Q202" s="229">
        <v>-1.1599999999999999E-2</v>
      </c>
      <c r="R202" s="231">
        <v>4471.5</v>
      </c>
      <c r="S202" s="231">
        <v>4530.3</v>
      </c>
      <c r="T202" s="228">
        <v>-58.8</v>
      </c>
      <c r="U202" s="229">
        <v>-1.2999999999999999E-2</v>
      </c>
      <c r="V202" s="231">
        <v>4496.3</v>
      </c>
      <c r="W202" s="231">
        <v>4554.3</v>
      </c>
      <c r="X202" s="228">
        <v>-58</v>
      </c>
      <c r="Y202" s="229">
        <v>-1.2699999999999999E-2</v>
      </c>
      <c r="Z202" s="228">
        <v>9.9</v>
      </c>
      <c r="AA202" s="228">
        <v>9.4</v>
      </c>
      <c r="AB202" s="228">
        <v>0.5</v>
      </c>
      <c r="AC202" s="229">
        <v>2.2000000000000001E-3</v>
      </c>
      <c r="AD202" s="228">
        <v>9.9</v>
      </c>
      <c r="AE202" s="228">
        <v>9.4</v>
      </c>
      <c r="AF202" s="228">
        <v>0.5</v>
      </c>
      <c r="AG202" s="229">
        <v>2.2000000000000001E-3</v>
      </c>
      <c r="AH202" s="228">
        <v>31.7</v>
      </c>
      <c r="AI202" s="228">
        <v>37.799999999999997</v>
      </c>
      <c r="AJ202" s="228">
        <v>-6.1</v>
      </c>
      <c r="AK202" s="229">
        <v>7.1000000000000004E-3</v>
      </c>
      <c r="AL202" s="228">
        <v>56.5</v>
      </c>
      <c r="AM202" s="228">
        <v>61.8</v>
      </c>
      <c r="AN202" s="228">
        <v>-5.3</v>
      </c>
      <c r="AO202" s="229">
        <v>1.2699999999999999E-2</v>
      </c>
      <c r="AP202" s="231">
        <v>4461.3999999999996</v>
      </c>
      <c r="AQ202" s="231">
        <v>4490.1400000000003</v>
      </c>
      <c r="AR202" s="228">
        <v>0</v>
      </c>
      <c r="AS202" s="228">
        <v>374</v>
      </c>
      <c r="AT202" s="230">
        <v>1443</v>
      </c>
      <c r="AU202" s="230">
        <v>-1069</v>
      </c>
      <c r="AV202" s="229">
        <v>-0.7409</v>
      </c>
      <c r="AW202" s="228">
        <v>341</v>
      </c>
      <c r="AX202" s="230">
        <v>1361</v>
      </c>
      <c r="AY202" s="230">
        <v>-1020</v>
      </c>
      <c r="AZ202" s="229">
        <v>-0.74939999999999996</v>
      </c>
      <c r="BA202" s="228">
        <v>30</v>
      </c>
      <c r="BB202" s="228">
        <v>74</v>
      </c>
      <c r="BC202" s="228">
        <v>-44</v>
      </c>
      <c r="BD202" s="229">
        <v>-0.59430000000000005</v>
      </c>
      <c r="BE202" s="228">
        <v>3</v>
      </c>
      <c r="BF202" s="228">
        <v>8</v>
      </c>
      <c r="BG202" s="228">
        <v>-5</v>
      </c>
      <c r="BH202" s="229">
        <v>-0.63919999999999999</v>
      </c>
      <c r="BI202" s="230">
        <v>1524</v>
      </c>
      <c r="BJ202" s="230">
        <v>5991</v>
      </c>
      <c r="BK202" s="230">
        <v>-4467</v>
      </c>
      <c r="BL202" s="229">
        <v>-0.74570000000000003</v>
      </c>
      <c r="BM202" s="230">
        <v>1264</v>
      </c>
      <c r="BN202" s="230">
        <v>3206</v>
      </c>
      <c r="BO202" s="230">
        <v>-1942</v>
      </c>
      <c r="BP202" s="229">
        <v>-0.60580000000000001</v>
      </c>
      <c r="BQ202" s="230">
        <v>3162</v>
      </c>
      <c r="BR202" s="230">
        <v>10641</v>
      </c>
      <c r="BS202" s="230">
        <v>-7479</v>
      </c>
      <c r="BT202" s="229">
        <v>-0.70289999999999997</v>
      </c>
      <c r="BU202" s="230">
        <v>1467417</v>
      </c>
      <c r="BV202" s="230">
        <v>4096058</v>
      </c>
      <c r="BW202" s="230">
        <v>-2628641</v>
      </c>
      <c r="BX202" s="229">
        <v>-0.64170000000000005</v>
      </c>
      <c r="BY202" s="230">
        <v>4366</v>
      </c>
      <c r="BZ202" s="230">
        <v>4379</v>
      </c>
      <c r="CA202" s="228">
        <v>-13</v>
      </c>
      <c r="CB202" s="229">
        <v>-2.8999999999999998E-3</v>
      </c>
      <c r="CC202" s="230">
        <v>4196</v>
      </c>
      <c r="CD202" s="230">
        <v>4220</v>
      </c>
      <c r="CE202" s="228">
        <v>-24</v>
      </c>
      <c r="CF202" s="229">
        <v>-5.5999999999999999E-3</v>
      </c>
      <c r="CG202" s="228">
        <v>151</v>
      </c>
      <c r="CH202" s="228">
        <v>141</v>
      </c>
      <c r="CI202" s="228">
        <v>10</v>
      </c>
      <c r="CJ202" s="229">
        <v>6.8900000000000003E-2</v>
      </c>
      <c r="CK202" s="228">
        <v>19</v>
      </c>
      <c r="CL202" s="228">
        <v>18</v>
      </c>
      <c r="CM202" s="228">
        <v>1</v>
      </c>
      <c r="CN202" s="229">
        <v>5.3100000000000001E-2</v>
      </c>
      <c r="CO202" s="230">
        <v>1460</v>
      </c>
      <c r="CP202" s="230">
        <v>1462</v>
      </c>
      <c r="CQ202" s="228">
        <v>-2</v>
      </c>
      <c r="CR202" s="229">
        <v>-1.1000000000000001E-3</v>
      </c>
      <c r="CS202" s="230">
        <v>1084</v>
      </c>
      <c r="CT202" s="230">
        <v>1144</v>
      </c>
      <c r="CU202" s="228">
        <v>-60</v>
      </c>
      <c r="CV202" s="229">
        <v>-5.2200000000000003E-2</v>
      </c>
      <c r="CW202" s="230">
        <v>6910</v>
      </c>
      <c r="CX202" s="230">
        <v>6984</v>
      </c>
      <c r="CY202" s="228">
        <v>-74</v>
      </c>
      <c r="CZ202" s="229">
        <v>-1.06E-2</v>
      </c>
      <c r="DA202" s="228">
        <v>25.97</v>
      </c>
      <c r="DB202" s="228">
        <v>27.52</v>
      </c>
      <c r="DC202" s="228">
        <v>-1.55</v>
      </c>
      <c r="DD202" s="228">
        <v>-1.55</v>
      </c>
      <c r="DE202" s="228">
        <v>27.94</v>
      </c>
      <c r="DF202" s="228">
        <v>27.97</v>
      </c>
      <c r="DG202" s="228">
        <v>-1.97</v>
      </c>
      <c r="DH202" s="228">
        <v>-0.03</v>
      </c>
      <c r="DI202" s="228">
        <v>24.49</v>
      </c>
      <c r="DJ202" s="228">
        <v>26.1</v>
      </c>
      <c r="DK202" s="228">
        <v>-1.61</v>
      </c>
      <c r="DL202" s="228">
        <v>-1.61</v>
      </c>
      <c r="DM202" s="228">
        <v>27.75</v>
      </c>
      <c r="DN202" s="228">
        <v>30.17</v>
      </c>
      <c r="DO202" s="228">
        <v>-2.42</v>
      </c>
      <c r="DP202" s="228">
        <v>-2.42</v>
      </c>
      <c r="DQ202" s="228">
        <v>0.74</v>
      </c>
      <c r="DR202" s="228">
        <v>0.78</v>
      </c>
      <c r="DS202" s="228">
        <v>-0.04</v>
      </c>
      <c r="DT202" s="229">
        <v>-5.1299999999999998E-2</v>
      </c>
      <c r="DU202" s="231">
        <v>4200</v>
      </c>
      <c r="DV202" s="231">
        <v>4200</v>
      </c>
      <c r="DW202" s="228">
        <v>0.83</v>
      </c>
      <c r="DX202" s="228">
        <v>0.54</v>
      </c>
      <c r="DY202" s="228">
        <v>0.28999999999999998</v>
      </c>
      <c r="DZ202" s="229">
        <v>0.53700000000000003</v>
      </c>
      <c r="EA202" s="229">
        <v>3.8800000000000001E-2</v>
      </c>
      <c r="EB202" s="230">
        <v>356825</v>
      </c>
      <c r="EC202" s="229">
        <v>4.8999999999999998E-3</v>
      </c>
      <c r="ED202" s="229">
        <v>3.8800000000000001E-2</v>
      </c>
      <c r="EE202" s="228">
        <v>28.74</v>
      </c>
      <c r="EF202" s="229">
        <v>6.4000000000000003E-3</v>
      </c>
      <c r="EG202" s="230">
        <v>897897</v>
      </c>
      <c r="EH202" s="230">
        <v>2303570</v>
      </c>
      <c r="EI202" s="229">
        <v>-0.61019999999999996</v>
      </c>
      <c r="EJ202" s="229">
        <v>0.6119</v>
      </c>
      <c r="EK202" s="231">
        <v>1591.24</v>
      </c>
      <c r="EL202" s="231">
        <v>1233.22</v>
      </c>
      <c r="EM202" s="228">
        <v>375.14</v>
      </c>
      <c r="EN202" s="228">
        <v>108.82</v>
      </c>
      <c r="EO202" s="231">
        <v>3199.61</v>
      </c>
      <c r="EP202" s="231">
        <v>10728.59</v>
      </c>
      <c r="EQ202" s="231">
        <v>-7528.98</v>
      </c>
      <c r="ER202" s="229">
        <v>-0.70179999999999998</v>
      </c>
      <c r="ES202" s="231">
        <v>1436.81</v>
      </c>
      <c r="ET202" s="228">
        <v>996.84</v>
      </c>
      <c r="EU202" s="231">
        <v>4366.7</v>
      </c>
      <c r="EV202" s="231">
        <v>41744334</v>
      </c>
      <c r="EW202" s="231">
        <v>6800.36</v>
      </c>
      <c r="EX202" s="231">
        <v>6914.59</v>
      </c>
      <c r="EY202" s="228">
        <v>-114.23</v>
      </c>
      <c r="EZ202" s="229">
        <v>-1.6500000000000001E-2</v>
      </c>
      <c r="FA202" s="229">
        <v>0.372</v>
      </c>
      <c r="FB202" s="227" t="s">
        <v>567</v>
      </c>
      <c r="FC202">
        <f t="shared" si="4"/>
        <v>0</v>
      </c>
    </row>
    <row r="203" spans="1:159" ht="17.25" thickBot="1" x14ac:dyDescent="0.3">
      <c r="A203" s="226">
        <v>46121</v>
      </c>
      <c r="B203" s="227" t="s">
        <v>162</v>
      </c>
      <c r="C203" s="227" t="s">
        <v>687</v>
      </c>
      <c r="D203" s="228">
        <v>800</v>
      </c>
      <c r="E203" s="228">
        <v>19</v>
      </c>
      <c r="F203" s="228">
        <v>333.9</v>
      </c>
      <c r="G203" s="228">
        <v>336.3</v>
      </c>
      <c r="H203" s="228">
        <v>-2.4</v>
      </c>
      <c r="I203" s="229">
        <v>-7.1000000000000004E-3</v>
      </c>
      <c r="J203" s="228">
        <v>333.25</v>
      </c>
      <c r="K203" s="228">
        <v>334.75</v>
      </c>
      <c r="L203" s="228">
        <v>-1.5</v>
      </c>
      <c r="M203" s="229">
        <v>-4.4999999999999997E-3</v>
      </c>
      <c r="N203" s="228">
        <v>333.9</v>
      </c>
      <c r="O203" s="228">
        <v>336.3</v>
      </c>
      <c r="P203" s="228">
        <v>-2.4</v>
      </c>
      <c r="Q203" s="229">
        <v>-7.1000000000000004E-3</v>
      </c>
      <c r="R203" s="228">
        <v>335.5</v>
      </c>
      <c r="S203" s="228">
        <v>338.25</v>
      </c>
      <c r="T203" s="228">
        <v>-2.75</v>
      </c>
      <c r="U203" s="229">
        <v>-8.0999999999999996E-3</v>
      </c>
      <c r="V203" s="228">
        <v>335.1</v>
      </c>
      <c r="W203" s="228">
        <v>338.55</v>
      </c>
      <c r="X203" s="228">
        <v>-3.45</v>
      </c>
      <c r="Y203" s="229">
        <v>-1.0200000000000001E-2</v>
      </c>
      <c r="Z203" s="228">
        <v>0.65</v>
      </c>
      <c r="AA203" s="228">
        <v>1.55</v>
      </c>
      <c r="AB203" s="228">
        <v>-0.9</v>
      </c>
      <c r="AC203" s="229">
        <v>2E-3</v>
      </c>
      <c r="AD203" s="228">
        <v>0.65</v>
      </c>
      <c r="AE203" s="228">
        <v>1.55</v>
      </c>
      <c r="AF203" s="228">
        <v>-0.9</v>
      </c>
      <c r="AG203" s="229">
        <v>2E-3</v>
      </c>
      <c r="AH203" s="228">
        <v>2.25</v>
      </c>
      <c r="AI203" s="228">
        <v>3.5</v>
      </c>
      <c r="AJ203" s="228">
        <v>-1.25</v>
      </c>
      <c r="AK203" s="229">
        <v>6.7999999999999996E-3</v>
      </c>
      <c r="AL203" s="228">
        <v>1.85</v>
      </c>
      <c r="AM203" s="228">
        <v>3.8</v>
      </c>
      <c r="AN203" s="228">
        <v>-1.95</v>
      </c>
      <c r="AO203" s="229">
        <v>5.5999999999999999E-3</v>
      </c>
      <c r="AP203" s="228">
        <v>335.89</v>
      </c>
      <c r="AQ203" s="228">
        <v>337.61</v>
      </c>
      <c r="AR203" s="228">
        <v>0</v>
      </c>
      <c r="AS203" s="228">
        <v>360</v>
      </c>
      <c r="AT203" s="228">
        <v>692</v>
      </c>
      <c r="AU203" s="228">
        <v>-332</v>
      </c>
      <c r="AV203" s="229">
        <v>-0.4798</v>
      </c>
      <c r="AW203" s="228">
        <v>302</v>
      </c>
      <c r="AX203" s="228">
        <v>623</v>
      </c>
      <c r="AY203" s="228">
        <v>-321</v>
      </c>
      <c r="AZ203" s="229">
        <v>-0.51500000000000001</v>
      </c>
      <c r="BA203" s="228">
        <v>37</v>
      </c>
      <c r="BB203" s="228">
        <v>57</v>
      </c>
      <c r="BC203" s="228">
        <v>-20</v>
      </c>
      <c r="BD203" s="229">
        <v>-0.35049999999999998</v>
      </c>
      <c r="BE203" s="228">
        <v>21</v>
      </c>
      <c r="BF203" s="228">
        <v>12</v>
      </c>
      <c r="BG203" s="228">
        <v>9</v>
      </c>
      <c r="BH203" s="229">
        <v>0.69550000000000001</v>
      </c>
      <c r="BI203" s="230">
        <v>1108</v>
      </c>
      <c r="BJ203" s="230">
        <v>2404</v>
      </c>
      <c r="BK203" s="230">
        <v>-1296</v>
      </c>
      <c r="BL203" s="229">
        <v>-0.53920000000000001</v>
      </c>
      <c r="BM203" s="228">
        <v>714</v>
      </c>
      <c r="BN203" s="230">
        <v>1331</v>
      </c>
      <c r="BO203" s="228">
        <v>-617</v>
      </c>
      <c r="BP203" s="229">
        <v>-0.46350000000000002</v>
      </c>
      <c r="BQ203" s="230">
        <v>2182</v>
      </c>
      <c r="BR203" s="230">
        <v>4428</v>
      </c>
      <c r="BS203" s="230">
        <v>-2245</v>
      </c>
      <c r="BT203" s="229">
        <v>-0.5071</v>
      </c>
      <c r="BU203" s="230">
        <v>11110200</v>
      </c>
      <c r="BV203" s="230">
        <v>20930060</v>
      </c>
      <c r="BW203" s="230">
        <v>-9819860</v>
      </c>
      <c r="BX203" s="229">
        <v>-0.46920000000000001</v>
      </c>
      <c r="BY203" s="230">
        <v>1981</v>
      </c>
      <c r="BZ203" s="230">
        <v>1990</v>
      </c>
      <c r="CA203" s="228">
        <v>-10</v>
      </c>
      <c r="CB203" s="229">
        <v>-5.0000000000000001E-3</v>
      </c>
      <c r="CC203" s="230">
        <v>1821</v>
      </c>
      <c r="CD203" s="230">
        <v>1841</v>
      </c>
      <c r="CE203" s="228">
        <v>-20</v>
      </c>
      <c r="CF203" s="229">
        <v>-1.0699999999999999E-2</v>
      </c>
      <c r="CG203" s="228">
        <v>136</v>
      </c>
      <c r="CH203" s="228">
        <v>134</v>
      </c>
      <c r="CI203" s="228">
        <v>2</v>
      </c>
      <c r="CJ203" s="229">
        <v>1.7600000000000001E-2</v>
      </c>
      <c r="CK203" s="228">
        <v>23</v>
      </c>
      <c r="CL203" s="228">
        <v>16</v>
      </c>
      <c r="CM203" s="228">
        <v>7</v>
      </c>
      <c r="CN203" s="229">
        <v>0.46870000000000001</v>
      </c>
      <c r="CO203" s="228">
        <v>918</v>
      </c>
      <c r="CP203" s="228">
        <v>833</v>
      </c>
      <c r="CQ203" s="228">
        <v>85</v>
      </c>
      <c r="CR203" s="229">
        <v>0.10199999999999999</v>
      </c>
      <c r="CS203" s="228">
        <v>739</v>
      </c>
      <c r="CT203" s="228">
        <v>745</v>
      </c>
      <c r="CU203" s="228">
        <v>-5</v>
      </c>
      <c r="CV203" s="229">
        <v>-7.1000000000000004E-3</v>
      </c>
      <c r="CW203" s="230">
        <v>3638</v>
      </c>
      <c r="CX203" s="230">
        <v>3568</v>
      </c>
      <c r="CY203" s="228">
        <v>70</v>
      </c>
      <c r="CZ203" s="229">
        <v>1.9599999999999999E-2</v>
      </c>
      <c r="DA203" s="228">
        <v>36.28</v>
      </c>
      <c r="DB203" s="228">
        <v>37.68</v>
      </c>
      <c r="DC203" s="228">
        <v>-1.4</v>
      </c>
      <c r="DD203" s="228">
        <v>-1.4</v>
      </c>
      <c r="DE203" s="228">
        <v>38.21</v>
      </c>
      <c r="DF203" s="228">
        <v>38.29</v>
      </c>
      <c r="DG203" s="228">
        <v>-1.93</v>
      </c>
      <c r="DH203" s="228">
        <v>-0.08</v>
      </c>
      <c r="DI203" s="228">
        <v>34.92</v>
      </c>
      <c r="DJ203" s="228">
        <v>36.090000000000003</v>
      </c>
      <c r="DK203" s="228">
        <v>-1.17</v>
      </c>
      <c r="DL203" s="228">
        <v>-1.17</v>
      </c>
      <c r="DM203" s="228">
        <v>38.4</v>
      </c>
      <c r="DN203" s="228">
        <v>40.549999999999997</v>
      </c>
      <c r="DO203" s="228">
        <v>-2.15</v>
      </c>
      <c r="DP203" s="228">
        <v>-2.15</v>
      </c>
      <c r="DQ203" s="228">
        <v>0.81</v>
      </c>
      <c r="DR203" s="228">
        <v>0.89</v>
      </c>
      <c r="DS203" s="228">
        <v>-0.08</v>
      </c>
      <c r="DT203" s="229">
        <v>-8.9899999999999994E-2</v>
      </c>
      <c r="DU203" s="228">
        <v>380</v>
      </c>
      <c r="DV203" s="228">
        <v>300</v>
      </c>
      <c r="DW203" s="228">
        <v>0.64</v>
      </c>
      <c r="DX203" s="228">
        <v>0.55000000000000004</v>
      </c>
      <c r="DY203" s="228">
        <v>0.09</v>
      </c>
      <c r="DZ203" s="229">
        <v>0.1636</v>
      </c>
      <c r="EA203" s="229">
        <v>8.0399999999999999E-2</v>
      </c>
      <c r="EB203" s="230">
        <v>4474400</v>
      </c>
      <c r="EC203" s="229">
        <v>4.7999999999999996E-3</v>
      </c>
      <c r="ED203" s="229">
        <v>8.0399999999999999E-2</v>
      </c>
      <c r="EE203" s="228">
        <v>1.72</v>
      </c>
      <c r="EF203" s="229">
        <v>5.1000000000000004E-3</v>
      </c>
      <c r="EG203" s="230">
        <v>4985840</v>
      </c>
      <c r="EH203" s="230">
        <v>8143895</v>
      </c>
      <c r="EI203" s="229">
        <v>-0.38779999999999998</v>
      </c>
      <c r="EJ203" s="229">
        <v>0.44879999999999998</v>
      </c>
      <c r="EK203" s="231">
        <v>1190.9100000000001</v>
      </c>
      <c r="EL203" s="228">
        <v>698.33</v>
      </c>
      <c r="EM203" s="228">
        <v>362.46</v>
      </c>
      <c r="EN203" s="228">
        <v>155.94999999999999</v>
      </c>
      <c r="EO203" s="231">
        <v>2251.6999999999998</v>
      </c>
      <c r="EP203" s="231">
        <v>4507.74</v>
      </c>
      <c r="EQ203" s="231">
        <v>-2256.04</v>
      </c>
      <c r="ER203" s="229">
        <v>-0.50049999999999994</v>
      </c>
      <c r="ES203" s="228">
        <v>952.45</v>
      </c>
      <c r="ET203" s="228">
        <v>707.69</v>
      </c>
      <c r="EU203" s="231">
        <v>1981.3</v>
      </c>
      <c r="EV203" s="231">
        <v>317244234</v>
      </c>
      <c r="EW203" s="231">
        <v>3641.44</v>
      </c>
      <c r="EX203" s="231">
        <v>3579.08</v>
      </c>
      <c r="EY203" s="228">
        <v>62.36</v>
      </c>
      <c r="EZ203" s="229">
        <v>1.7399999999999999E-2</v>
      </c>
      <c r="FA203" s="229">
        <v>0.34339999999999998</v>
      </c>
      <c r="FB203" s="227" t="s">
        <v>567</v>
      </c>
      <c r="FC203">
        <f t="shared" si="4"/>
        <v>0</v>
      </c>
    </row>
    <row r="204" spans="1:159" ht="17.25" thickBot="1" x14ac:dyDescent="0.3">
      <c r="A204" s="226">
        <v>46121</v>
      </c>
      <c r="B204" s="227" t="s">
        <v>170</v>
      </c>
      <c r="C204" s="227" t="s">
        <v>298</v>
      </c>
      <c r="D204" s="228">
        <v>250</v>
      </c>
      <c r="E204" s="228">
        <v>19</v>
      </c>
      <c r="F204" s="231">
        <v>4104.7</v>
      </c>
      <c r="G204" s="231">
        <v>4046.1</v>
      </c>
      <c r="H204" s="228">
        <v>58.6</v>
      </c>
      <c r="I204" s="229">
        <v>1.4500000000000001E-2</v>
      </c>
      <c r="J204" s="231">
        <v>4094.5</v>
      </c>
      <c r="K204" s="231">
        <v>4029.2</v>
      </c>
      <c r="L204" s="228">
        <v>65.3</v>
      </c>
      <c r="M204" s="229">
        <v>1.6199999999999999E-2</v>
      </c>
      <c r="N204" s="231">
        <v>4104.7</v>
      </c>
      <c r="O204" s="231">
        <v>4046.1</v>
      </c>
      <c r="P204" s="228">
        <v>58.6</v>
      </c>
      <c r="Q204" s="229">
        <v>1.4500000000000001E-2</v>
      </c>
      <c r="R204" s="231">
        <v>4112.8999999999996</v>
      </c>
      <c r="S204" s="231">
        <v>4065.4</v>
      </c>
      <c r="T204" s="228">
        <v>47.5</v>
      </c>
      <c r="U204" s="229">
        <v>1.17E-2</v>
      </c>
      <c r="V204" s="231">
        <v>4125</v>
      </c>
      <c r="W204" s="231">
        <v>4000</v>
      </c>
      <c r="X204" s="228">
        <v>125</v>
      </c>
      <c r="Y204" s="229">
        <v>3.1300000000000001E-2</v>
      </c>
      <c r="Z204" s="228">
        <v>10.199999999999999</v>
      </c>
      <c r="AA204" s="228">
        <v>16.899999999999999</v>
      </c>
      <c r="AB204" s="228">
        <v>-6.7</v>
      </c>
      <c r="AC204" s="229">
        <v>2.5000000000000001E-3</v>
      </c>
      <c r="AD204" s="228">
        <v>10.199999999999999</v>
      </c>
      <c r="AE204" s="228">
        <v>16.899999999999999</v>
      </c>
      <c r="AF204" s="228">
        <v>-6.7</v>
      </c>
      <c r="AG204" s="229">
        <v>2.5000000000000001E-3</v>
      </c>
      <c r="AH204" s="228">
        <v>18.399999999999999</v>
      </c>
      <c r="AI204" s="228">
        <v>36.200000000000003</v>
      </c>
      <c r="AJ204" s="228">
        <v>-17.8</v>
      </c>
      <c r="AK204" s="229">
        <v>4.4999999999999997E-3</v>
      </c>
      <c r="AL204" s="228">
        <v>30.5</v>
      </c>
      <c r="AM204" s="228">
        <v>-29.2</v>
      </c>
      <c r="AN204" s="228">
        <v>59.7</v>
      </c>
      <c r="AO204" s="229">
        <v>7.4000000000000003E-3</v>
      </c>
      <c r="AP204" s="231">
        <v>4091.61</v>
      </c>
      <c r="AQ204" s="231">
        <v>4110.4399999999996</v>
      </c>
      <c r="AR204" s="228">
        <v>0</v>
      </c>
      <c r="AS204" s="228">
        <v>184</v>
      </c>
      <c r="AT204" s="228">
        <v>225</v>
      </c>
      <c r="AU204" s="228">
        <v>-41</v>
      </c>
      <c r="AV204" s="229">
        <v>-0.1825</v>
      </c>
      <c r="AW204" s="228">
        <v>181</v>
      </c>
      <c r="AX204" s="228">
        <v>220</v>
      </c>
      <c r="AY204" s="228">
        <v>-40</v>
      </c>
      <c r="AZ204" s="229">
        <v>-0.18</v>
      </c>
      <c r="BA204" s="228">
        <v>4</v>
      </c>
      <c r="BB204" s="228">
        <v>5</v>
      </c>
      <c r="BC204" s="228">
        <v>-2</v>
      </c>
      <c r="BD204" s="229">
        <v>-0.30769999999999997</v>
      </c>
      <c r="BE204" s="228">
        <v>0</v>
      </c>
      <c r="BF204" s="228">
        <v>0</v>
      </c>
      <c r="BG204" s="228">
        <v>0</v>
      </c>
      <c r="BH204" s="229">
        <v>0</v>
      </c>
      <c r="BI204" s="228">
        <v>638</v>
      </c>
      <c r="BJ204" s="228">
        <v>318</v>
      </c>
      <c r="BK204" s="228">
        <v>320</v>
      </c>
      <c r="BL204" s="229">
        <v>1.0071000000000001</v>
      </c>
      <c r="BM204" s="228">
        <v>145</v>
      </c>
      <c r="BN204" s="228">
        <v>143</v>
      </c>
      <c r="BO204" s="228">
        <v>2</v>
      </c>
      <c r="BP204" s="229">
        <v>1.15E-2</v>
      </c>
      <c r="BQ204" s="228">
        <v>967</v>
      </c>
      <c r="BR204" s="228">
        <v>686</v>
      </c>
      <c r="BS204" s="228">
        <v>281</v>
      </c>
      <c r="BT204" s="229">
        <v>0.40870000000000001</v>
      </c>
      <c r="BU204" s="230">
        <v>366108</v>
      </c>
      <c r="BV204" s="230">
        <v>528876</v>
      </c>
      <c r="BW204" s="230">
        <v>-162768</v>
      </c>
      <c r="BX204" s="229">
        <v>-0.30780000000000002</v>
      </c>
      <c r="BY204" s="230">
        <v>1312</v>
      </c>
      <c r="BZ204" s="230">
        <v>1290</v>
      </c>
      <c r="CA204" s="228">
        <v>22</v>
      </c>
      <c r="CB204" s="229">
        <v>1.7299999999999999E-2</v>
      </c>
      <c r="CC204" s="230">
        <v>1306</v>
      </c>
      <c r="CD204" s="230">
        <v>1283</v>
      </c>
      <c r="CE204" s="228">
        <v>22</v>
      </c>
      <c r="CF204" s="229">
        <v>1.7500000000000002E-2</v>
      </c>
      <c r="CG204" s="228">
        <v>6</v>
      </c>
      <c r="CH204" s="228">
        <v>6</v>
      </c>
      <c r="CI204" s="228">
        <v>0</v>
      </c>
      <c r="CJ204" s="229">
        <v>-3.2300000000000002E-2</v>
      </c>
      <c r="CK204" s="228">
        <v>0</v>
      </c>
      <c r="CL204" s="228">
        <v>0</v>
      </c>
      <c r="CM204" s="228">
        <v>0</v>
      </c>
      <c r="CN204" s="229">
        <v>1</v>
      </c>
      <c r="CO204" s="228">
        <v>260</v>
      </c>
      <c r="CP204" s="228">
        <v>222</v>
      </c>
      <c r="CQ204" s="228">
        <v>39</v>
      </c>
      <c r="CR204" s="229">
        <v>0.17399999999999999</v>
      </c>
      <c r="CS204" s="228">
        <v>177</v>
      </c>
      <c r="CT204" s="228">
        <v>183</v>
      </c>
      <c r="CU204" s="228">
        <v>-6</v>
      </c>
      <c r="CV204" s="229">
        <v>-3.3099999999999997E-2</v>
      </c>
      <c r="CW204" s="230">
        <v>1749</v>
      </c>
      <c r="CX204" s="230">
        <v>1695</v>
      </c>
      <c r="CY204" s="228">
        <v>55</v>
      </c>
      <c r="CZ204" s="229">
        <v>3.2399999999999998E-2</v>
      </c>
      <c r="DA204" s="228">
        <v>26.41</v>
      </c>
      <c r="DB204" s="228">
        <v>26.78</v>
      </c>
      <c r="DC204" s="228">
        <v>-0.37</v>
      </c>
      <c r="DD204" s="228">
        <v>-0.37</v>
      </c>
      <c r="DE204" s="228">
        <v>25.63</v>
      </c>
      <c r="DF204" s="228">
        <v>25.61</v>
      </c>
      <c r="DG204" s="228">
        <v>0.78</v>
      </c>
      <c r="DH204" s="228">
        <v>0.02</v>
      </c>
      <c r="DI204" s="228">
        <v>25.97</v>
      </c>
      <c r="DJ204" s="228">
        <v>26.38</v>
      </c>
      <c r="DK204" s="228">
        <v>-0.41</v>
      </c>
      <c r="DL204" s="228">
        <v>-0.41</v>
      </c>
      <c r="DM204" s="228">
        <v>28.35</v>
      </c>
      <c r="DN204" s="228">
        <v>27.68</v>
      </c>
      <c r="DO204" s="228">
        <v>0.67</v>
      </c>
      <c r="DP204" s="228">
        <v>0.67</v>
      </c>
      <c r="DQ204" s="228">
        <v>0.68</v>
      </c>
      <c r="DR204" s="228">
        <v>0.83</v>
      </c>
      <c r="DS204" s="228">
        <v>-0.15</v>
      </c>
      <c r="DT204" s="229">
        <v>-0.1807</v>
      </c>
      <c r="DU204" s="231">
        <v>4300</v>
      </c>
      <c r="DV204" s="231">
        <v>4000</v>
      </c>
      <c r="DW204" s="228">
        <v>0.23</v>
      </c>
      <c r="DX204" s="228">
        <v>0.45</v>
      </c>
      <c r="DY204" s="228">
        <v>-0.22</v>
      </c>
      <c r="DZ204" s="229">
        <v>-0.4889</v>
      </c>
      <c r="EA204" s="229">
        <v>4.7999999999999996E-3</v>
      </c>
      <c r="EB204" s="230">
        <v>15750</v>
      </c>
      <c r="EC204" s="229">
        <v>2E-3</v>
      </c>
      <c r="ED204" s="229">
        <v>4.7999999999999996E-3</v>
      </c>
      <c r="EE204" s="228">
        <v>18.829999999999998</v>
      </c>
      <c r="EF204" s="229">
        <v>4.5999999999999999E-3</v>
      </c>
      <c r="EG204" s="230">
        <v>180396</v>
      </c>
      <c r="EH204" s="230">
        <v>323089</v>
      </c>
      <c r="EI204" s="229">
        <v>-0.44169999999999998</v>
      </c>
      <c r="EJ204" s="229">
        <v>0.49270000000000003</v>
      </c>
      <c r="EK204" s="228">
        <v>659.28</v>
      </c>
      <c r="EL204" s="228">
        <v>140.69999999999999</v>
      </c>
      <c r="EM204" s="228">
        <v>183.73</v>
      </c>
      <c r="EN204" s="228">
        <v>23.44</v>
      </c>
      <c r="EO204" s="228">
        <v>983.72</v>
      </c>
      <c r="EP204" s="228">
        <v>690.92</v>
      </c>
      <c r="EQ204" s="228">
        <v>292.79000000000002</v>
      </c>
      <c r="ER204" s="229">
        <v>0.42380000000000001</v>
      </c>
      <c r="ES204" s="228">
        <v>269.66000000000003</v>
      </c>
      <c r="ET204" s="228">
        <v>173.59</v>
      </c>
      <c r="EU204" s="231">
        <v>1312.18</v>
      </c>
      <c r="EV204" s="231">
        <v>10726004</v>
      </c>
      <c r="EW204" s="231">
        <v>1755.43</v>
      </c>
      <c r="EX204" s="231">
        <v>1681.42</v>
      </c>
      <c r="EY204" s="228">
        <v>74.010000000000005</v>
      </c>
      <c r="EZ204" s="229">
        <v>4.3999999999999997E-2</v>
      </c>
      <c r="FA204" s="229">
        <v>0.39739999999999998</v>
      </c>
      <c r="FB204" s="227" t="s">
        <v>555</v>
      </c>
      <c r="FC204">
        <f t="shared" si="4"/>
        <v>0</v>
      </c>
    </row>
    <row r="205" spans="1:159" ht="17.25" thickBot="1" x14ac:dyDescent="0.3">
      <c r="A205" s="226">
        <v>46121</v>
      </c>
      <c r="B205" s="227" t="s">
        <v>161</v>
      </c>
      <c r="C205" s="227" t="s">
        <v>299</v>
      </c>
      <c r="D205" s="228">
        <v>425</v>
      </c>
      <c r="E205" s="228">
        <v>19</v>
      </c>
      <c r="F205" s="231">
        <v>1454.1</v>
      </c>
      <c r="G205" s="231">
        <v>1453.6</v>
      </c>
      <c r="H205" s="228">
        <v>0.5</v>
      </c>
      <c r="I205" s="229">
        <v>2.9999999999999997E-4</v>
      </c>
      <c r="J205" s="231">
        <v>1446</v>
      </c>
      <c r="K205" s="231">
        <v>1448.4</v>
      </c>
      <c r="L205" s="228">
        <v>-2.4</v>
      </c>
      <c r="M205" s="229">
        <v>-1.6999999999999999E-3</v>
      </c>
      <c r="N205" s="231">
        <v>1454.1</v>
      </c>
      <c r="O205" s="231">
        <v>1453.6</v>
      </c>
      <c r="P205" s="228">
        <v>0.5</v>
      </c>
      <c r="Q205" s="229">
        <v>2.9999999999999997E-4</v>
      </c>
      <c r="R205" s="228">
        <v>0</v>
      </c>
      <c r="S205" s="228">
        <v>0</v>
      </c>
      <c r="T205" s="228">
        <v>0</v>
      </c>
      <c r="U205" s="229">
        <v>0</v>
      </c>
      <c r="V205" s="228">
        <v>0</v>
      </c>
      <c r="W205" s="228">
        <v>0</v>
      </c>
      <c r="X205" s="228">
        <v>0</v>
      </c>
      <c r="Y205" s="229">
        <v>0</v>
      </c>
      <c r="Z205" s="228">
        <v>8.1</v>
      </c>
      <c r="AA205" s="228">
        <v>5.2</v>
      </c>
      <c r="AB205" s="228">
        <v>2.9</v>
      </c>
      <c r="AC205" s="229">
        <v>5.5999999999999999E-3</v>
      </c>
      <c r="AD205" s="228">
        <v>8.1</v>
      </c>
      <c r="AE205" s="228">
        <v>5.2</v>
      </c>
      <c r="AF205" s="228">
        <v>2.9</v>
      </c>
      <c r="AG205" s="229">
        <v>5.5999999999999999E-3</v>
      </c>
      <c r="AH205" s="228">
        <v>0</v>
      </c>
      <c r="AI205" s="228">
        <v>0</v>
      </c>
      <c r="AJ205" s="228">
        <v>0</v>
      </c>
      <c r="AK205" s="229">
        <v>0</v>
      </c>
      <c r="AL205" s="228">
        <v>0</v>
      </c>
      <c r="AM205" s="228">
        <v>0</v>
      </c>
      <c r="AN205" s="228">
        <v>0</v>
      </c>
      <c r="AO205" s="229">
        <v>0</v>
      </c>
      <c r="AP205" s="231">
        <v>1452.26</v>
      </c>
      <c r="AQ205" s="228">
        <v>0</v>
      </c>
      <c r="AR205" s="228">
        <v>0</v>
      </c>
      <c r="AS205" s="228">
        <v>83</v>
      </c>
      <c r="AT205" s="228">
        <v>92</v>
      </c>
      <c r="AU205" s="228">
        <v>-10</v>
      </c>
      <c r="AV205" s="229">
        <v>-0.1052</v>
      </c>
      <c r="AW205" s="228">
        <v>83</v>
      </c>
      <c r="AX205" s="228">
        <v>92</v>
      </c>
      <c r="AY205" s="228">
        <v>-10</v>
      </c>
      <c r="AZ205" s="229">
        <v>-0.1052</v>
      </c>
      <c r="BA205" s="228">
        <v>0</v>
      </c>
      <c r="BB205" s="228">
        <v>0</v>
      </c>
      <c r="BC205" s="228">
        <v>0</v>
      </c>
      <c r="BD205" s="229">
        <v>0</v>
      </c>
      <c r="BE205" s="228">
        <v>0</v>
      </c>
      <c r="BF205" s="228">
        <v>0</v>
      </c>
      <c r="BG205" s="228">
        <v>0</v>
      </c>
      <c r="BH205" s="229">
        <v>0</v>
      </c>
      <c r="BI205" s="228">
        <v>79</v>
      </c>
      <c r="BJ205" s="228">
        <v>124</v>
      </c>
      <c r="BK205" s="228">
        <v>-44</v>
      </c>
      <c r="BL205" s="229">
        <v>-0.35799999999999998</v>
      </c>
      <c r="BM205" s="228">
        <v>44</v>
      </c>
      <c r="BN205" s="228">
        <v>88</v>
      </c>
      <c r="BO205" s="228">
        <v>-44</v>
      </c>
      <c r="BP205" s="229">
        <v>-0.50139999999999996</v>
      </c>
      <c r="BQ205" s="228">
        <v>206</v>
      </c>
      <c r="BR205" s="228">
        <v>303</v>
      </c>
      <c r="BS205" s="228">
        <v>-98</v>
      </c>
      <c r="BT205" s="229">
        <v>-0.32250000000000001</v>
      </c>
      <c r="BU205" s="230">
        <v>657538</v>
      </c>
      <c r="BV205" s="230">
        <v>400184</v>
      </c>
      <c r="BW205" s="230">
        <v>257354</v>
      </c>
      <c r="BX205" s="229">
        <v>0.6431</v>
      </c>
      <c r="BY205" s="228">
        <v>511</v>
      </c>
      <c r="BZ205" s="228">
        <v>499</v>
      </c>
      <c r="CA205" s="228">
        <v>13</v>
      </c>
      <c r="CB205" s="229">
        <v>2.5700000000000001E-2</v>
      </c>
      <c r="CC205" s="228">
        <v>511</v>
      </c>
      <c r="CD205" s="228">
        <v>499</v>
      </c>
      <c r="CE205" s="228">
        <v>13</v>
      </c>
      <c r="CF205" s="229">
        <v>2.5700000000000001E-2</v>
      </c>
      <c r="CG205" s="228">
        <v>0</v>
      </c>
      <c r="CH205" s="228">
        <v>0</v>
      </c>
      <c r="CI205" s="228">
        <v>0</v>
      </c>
      <c r="CJ205" s="229">
        <v>0</v>
      </c>
      <c r="CK205" s="228">
        <v>0</v>
      </c>
      <c r="CL205" s="228">
        <v>0</v>
      </c>
      <c r="CM205" s="228">
        <v>0</v>
      </c>
      <c r="CN205" s="229">
        <v>0</v>
      </c>
      <c r="CO205" s="228">
        <v>102</v>
      </c>
      <c r="CP205" s="228">
        <v>94</v>
      </c>
      <c r="CQ205" s="228">
        <v>8</v>
      </c>
      <c r="CR205" s="229">
        <v>8.43E-2</v>
      </c>
      <c r="CS205" s="228">
        <v>93</v>
      </c>
      <c r="CT205" s="228">
        <v>89</v>
      </c>
      <c r="CU205" s="228">
        <v>4</v>
      </c>
      <c r="CV205" s="229">
        <v>4.4499999999999998E-2</v>
      </c>
      <c r="CW205" s="228">
        <v>706</v>
      </c>
      <c r="CX205" s="228">
        <v>681</v>
      </c>
      <c r="CY205" s="228">
        <v>25</v>
      </c>
      <c r="CZ205" s="229">
        <v>3.6200000000000003E-2</v>
      </c>
      <c r="DA205" s="228">
        <v>33.96</v>
      </c>
      <c r="DB205" s="228">
        <v>35.630000000000003</v>
      </c>
      <c r="DC205" s="228">
        <v>-1.67</v>
      </c>
      <c r="DD205" s="228">
        <v>-1.67</v>
      </c>
      <c r="DE205" s="228">
        <v>41.93</v>
      </c>
      <c r="DF205" s="228">
        <v>42.04</v>
      </c>
      <c r="DG205" s="228">
        <v>-7.97</v>
      </c>
      <c r="DH205" s="228">
        <v>-0.11</v>
      </c>
      <c r="DI205" s="228">
        <v>32.869999999999997</v>
      </c>
      <c r="DJ205" s="228">
        <v>33.93</v>
      </c>
      <c r="DK205" s="228">
        <v>-1.06</v>
      </c>
      <c r="DL205" s="228">
        <v>-1.06</v>
      </c>
      <c r="DM205" s="228">
        <v>35.950000000000003</v>
      </c>
      <c r="DN205" s="228">
        <v>38.03</v>
      </c>
      <c r="DO205" s="228">
        <v>-2.08</v>
      </c>
      <c r="DP205" s="228">
        <v>-2.08</v>
      </c>
      <c r="DQ205" s="228">
        <v>0.91</v>
      </c>
      <c r="DR205" s="228">
        <v>0.95</v>
      </c>
      <c r="DS205" s="228">
        <v>-0.04</v>
      </c>
      <c r="DT205" s="229">
        <v>-4.2099999999999999E-2</v>
      </c>
      <c r="DU205" s="231">
        <v>1500</v>
      </c>
      <c r="DV205" s="231">
        <v>1320</v>
      </c>
      <c r="DW205" s="228">
        <v>0.55000000000000004</v>
      </c>
      <c r="DX205" s="228">
        <v>0.71</v>
      </c>
      <c r="DY205" s="228">
        <v>-0.16</v>
      </c>
      <c r="DZ205" s="229">
        <v>-0.22539999999999999</v>
      </c>
      <c r="EA205" s="229">
        <v>0</v>
      </c>
      <c r="EB205" s="228">
        <v>0</v>
      </c>
      <c r="EC205" s="229">
        <v>0</v>
      </c>
      <c r="ED205" s="229">
        <v>0</v>
      </c>
      <c r="EE205" s="228">
        <v>0</v>
      </c>
      <c r="EF205" s="229">
        <v>0</v>
      </c>
      <c r="EG205" s="230">
        <v>347122</v>
      </c>
      <c r="EH205" s="230">
        <v>147315</v>
      </c>
      <c r="EI205" s="229">
        <v>1.3563000000000001</v>
      </c>
      <c r="EJ205" s="229">
        <v>0.52790000000000004</v>
      </c>
      <c r="EK205" s="228">
        <v>83.36</v>
      </c>
      <c r="EL205" s="228">
        <v>42.15</v>
      </c>
      <c r="EM205" s="228">
        <v>82.46</v>
      </c>
      <c r="EN205" s="228">
        <v>13.15</v>
      </c>
      <c r="EO205" s="228">
        <v>207.97</v>
      </c>
      <c r="EP205" s="228">
        <v>305.79000000000002</v>
      </c>
      <c r="EQ205" s="228">
        <v>-97.82</v>
      </c>
      <c r="ER205" s="229">
        <v>-0.31990000000000002</v>
      </c>
      <c r="ES205" s="228">
        <v>103.3</v>
      </c>
      <c r="ET205" s="228">
        <v>84.41</v>
      </c>
      <c r="EU205" s="228">
        <v>511.45</v>
      </c>
      <c r="EV205" s="231">
        <v>24646022</v>
      </c>
      <c r="EW205" s="228">
        <v>699.16</v>
      </c>
      <c r="EX205" s="228">
        <v>673.5</v>
      </c>
      <c r="EY205" s="228">
        <v>25.66</v>
      </c>
      <c r="EZ205" s="229">
        <v>3.8100000000000002E-2</v>
      </c>
      <c r="FA205" s="229">
        <v>0.19700000000000001</v>
      </c>
      <c r="FB205" s="227" t="s">
        <v>555</v>
      </c>
      <c r="FC205">
        <f t="shared" si="4"/>
        <v>0</v>
      </c>
    </row>
    <row r="206" spans="1:159" ht="17.25" thickBot="1" x14ac:dyDescent="0.3">
      <c r="A206" s="226">
        <v>46121</v>
      </c>
      <c r="B206" s="227" t="s">
        <v>197</v>
      </c>
      <c r="C206" s="227" t="s">
        <v>482</v>
      </c>
      <c r="D206" s="228">
        <v>100</v>
      </c>
      <c r="E206" s="228">
        <v>19</v>
      </c>
      <c r="F206" s="231">
        <v>3853.6</v>
      </c>
      <c r="G206" s="231">
        <v>3894.6</v>
      </c>
      <c r="H206" s="228">
        <v>-41</v>
      </c>
      <c r="I206" s="229">
        <v>-1.0500000000000001E-2</v>
      </c>
      <c r="J206" s="231">
        <v>3850.7</v>
      </c>
      <c r="K206" s="231">
        <v>3905</v>
      </c>
      <c r="L206" s="228">
        <v>-54.3</v>
      </c>
      <c r="M206" s="229">
        <v>-1.3899999999999999E-2</v>
      </c>
      <c r="N206" s="231">
        <v>3853.6</v>
      </c>
      <c r="O206" s="231">
        <v>3894.6</v>
      </c>
      <c r="P206" s="228">
        <v>-41</v>
      </c>
      <c r="Q206" s="229">
        <v>-1.0500000000000001E-2</v>
      </c>
      <c r="R206" s="231">
        <v>3861.2</v>
      </c>
      <c r="S206" s="231">
        <v>3903.9</v>
      </c>
      <c r="T206" s="228">
        <v>-42.7</v>
      </c>
      <c r="U206" s="229">
        <v>-1.09E-2</v>
      </c>
      <c r="V206" s="231">
        <v>3875.7</v>
      </c>
      <c r="W206" s="231">
        <v>3916.3</v>
      </c>
      <c r="X206" s="228">
        <v>-40.6</v>
      </c>
      <c r="Y206" s="229">
        <v>-1.04E-2</v>
      </c>
      <c r="Z206" s="228">
        <v>2.9</v>
      </c>
      <c r="AA206" s="228">
        <v>-10.4</v>
      </c>
      <c r="AB206" s="228">
        <v>13.3</v>
      </c>
      <c r="AC206" s="229">
        <v>8.0000000000000004E-4</v>
      </c>
      <c r="AD206" s="228">
        <v>2.9</v>
      </c>
      <c r="AE206" s="228">
        <v>-10.4</v>
      </c>
      <c r="AF206" s="228">
        <v>13.3</v>
      </c>
      <c r="AG206" s="229">
        <v>8.0000000000000004E-4</v>
      </c>
      <c r="AH206" s="228">
        <v>10.5</v>
      </c>
      <c r="AI206" s="228">
        <v>-1.1000000000000001</v>
      </c>
      <c r="AJ206" s="228">
        <v>11.6</v>
      </c>
      <c r="AK206" s="229">
        <v>2.7000000000000001E-3</v>
      </c>
      <c r="AL206" s="228">
        <v>25</v>
      </c>
      <c r="AM206" s="228">
        <v>11.3</v>
      </c>
      <c r="AN206" s="228">
        <v>13.7</v>
      </c>
      <c r="AO206" s="229">
        <v>6.4999999999999997E-3</v>
      </c>
      <c r="AP206" s="231">
        <v>3867.29</v>
      </c>
      <c r="AQ206" s="231">
        <v>3869.52</v>
      </c>
      <c r="AR206" s="228">
        <v>0</v>
      </c>
      <c r="AS206" s="228">
        <v>358</v>
      </c>
      <c r="AT206" s="228">
        <v>670</v>
      </c>
      <c r="AU206" s="228">
        <v>-312</v>
      </c>
      <c r="AV206" s="229">
        <v>-0.46579999999999999</v>
      </c>
      <c r="AW206" s="228">
        <v>312</v>
      </c>
      <c r="AX206" s="228">
        <v>594</v>
      </c>
      <c r="AY206" s="228">
        <v>-282</v>
      </c>
      <c r="AZ206" s="229">
        <v>-0.4743</v>
      </c>
      <c r="BA206" s="228">
        <v>43</v>
      </c>
      <c r="BB206" s="228">
        <v>69</v>
      </c>
      <c r="BC206" s="228">
        <v>-27</v>
      </c>
      <c r="BD206" s="229">
        <v>-0.38429999999999997</v>
      </c>
      <c r="BE206" s="228">
        <v>3</v>
      </c>
      <c r="BF206" s="228">
        <v>7</v>
      </c>
      <c r="BG206" s="228">
        <v>-4</v>
      </c>
      <c r="BH206" s="229">
        <v>-0.55679999999999996</v>
      </c>
      <c r="BI206" s="230">
        <v>1007</v>
      </c>
      <c r="BJ206" s="230">
        <v>2614</v>
      </c>
      <c r="BK206" s="230">
        <v>-1607</v>
      </c>
      <c r="BL206" s="229">
        <v>-0.61470000000000002</v>
      </c>
      <c r="BM206" s="228">
        <v>743</v>
      </c>
      <c r="BN206" s="230">
        <v>1232</v>
      </c>
      <c r="BO206" s="228">
        <v>-490</v>
      </c>
      <c r="BP206" s="229">
        <v>-0.39750000000000002</v>
      </c>
      <c r="BQ206" s="230">
        <v>2108</v>
      </c>
      <c r="BR206" s="230">
        <v>4517</v>
      </c>
      <c r="BS206" s="230">
        <v>-2409</v>
      </c>
      <c r="BT206" s="229">
        <v>-0.53339999999999999</v>
      </c>
      <c r="BU206" s="230">
        <v>808739</v>
      </c>
      <c r="BV206" s="230">
        <v>1520388</v>
      </c>
      <c r="BW206" s="230">
        <v>-711649</v>
      </c>
      <c r="BX206" s="229">
        <v>-0.46810000000000002</v>
      </c>
      <c r="BY206" s="230">
        <v>3019</v>
      </c>
      <c r="BZ206" s="230">
        <v>2939</v>
      </c>
      <c r="CA206" s="228">
        <v>80</v>
      </c>
      <c r="CB206" s="229">
        <v>2.7300000000000001E-2</v>
      </c>
      <c r="CC206" s="230">
        <v>2703</v>
      </c>
      <c r="CD206" s="230">
        <v>2649</v>
      </c>
      <c r="CE206" s="228">
        <v>54</v>
      </c>
      <c r="CF206" s="229">
        <v>2.0500000000000001E-2</v>
      </c>
      <c r="CG206" s="228">
        <v>301</v>
      </c>
      <c r="CH206" s="228">
        <v>276</v>
      </c>
      <c r="CI206" s="228">
        <v>25</v>
      </c>
      <c r="CJ206" s="229">
        <v>9.06E-2</v>
      </c>
      <c r="CK206" s="228">
        <v>16</v>
      </c>
      <c r="CL206" s="228">
        <v>15</v>
      </c>
      <c r="CM206" s="228">
        <v>1</v>
      </c>
      <c r="CN206" s="229">
        <v>7.0900000000000005E-2</v>
      </c>
      <c r="CO206" s="228">
        <v>924</v>
      </c>
      <c r="CP206" s="228">
        <v>878</v>
      </c>
      <c r="CQ206" s="228">
        <v>46</v>
      </c>
      <c r="CR206" s="229">
        <v>5.2600000000000001E-2</v>
      </c>
      <c r="CS206" s="228">
        <v>825</v>
      </c>
      <c r="CT206" s="228">
        <v>771</v>
      </c>
      <c r="CU206" s="228">
        <v>54</v>
      </c>
      <c r="CV206" s="229">
        <v>7.0300000000000001E-2</v>
      </c>
      <c r="CW206" s="230">
        <v>4769</v>
      </c>
      <c r="CX206" s="230">
        <v>4588</v>
      </c>
      <c r="CY206" s="228">
        <v>181</v>
      </c>
      <c r="CZ206" s="229">
        <v>3.9399999999999998E-2</v>
      </c>
      <c r="DA206" s="228">
        <v>38.799999999999997</v>
      </c>
      <c r="DB206" s="228">
        <v>38.729999999999997</v>
      </c>
      <c r="DC206" s="228">
        <v>7.0000000000000007E-2</v>
      </c>
      <c r="DD206" s="228">
        <v>7.0000000000000007E-2</v>
      </c>
      <c r="DE206" s="228">
        <v>44.31</v>
      </c>
      <c r="DF206" s="228">
        <v>44.38</v>
      </c>
      <c r="DG206" s="228">
        <v>-5.51</v>
      </c>
      <c r="DH206" s="228">
        <v>-7.0000000000000007E-2</v>
      </c>
      <c r="DI206" s="228">
        <v>38.25</v>
      </c>
      <c r="DJ206" s="228">
        <v>37.82</v>
      </c>
      <c r="DK206" s="228">
        <v>0.43</v>
      </c>
      <c r="DL206" s="228">
        <v>0.43</v>
      </c>
      <c r="DM206" s="228">
        <v>39.549999999999997</v>
      </c>
      <c r="DN206" s="228">
        <v>40.659999999999997</v>
      </c>
      <c r="DO206" s="228">
        <v>-1.1100000000000001</v>
      </c>
      <c r="DP206" s="228">
        <v>-1.1100000000000001</v>
      </c>
      <c r="DQ206" s="228">
        <v>0.89</v>
      </c>
      <c r="DR206" s="228">
        <v>0.88</v>
      </c>
      <c r="DS206" s="228">
        <v>0.01</v>
      </c>
      <c r="DT206" s="229">
        <v>1.14E-2</v>
      </c>
      <c r="DU206" s="231">
        <v>4000</v>
      </c>
      <c r="DV206" s="231">
        <v>3500</v>
      </c>
      <c r="DW206" s="228">
        <v>0.74</v>
      </c>
      <c r="DX206" s="228">
        <v>0.47</v>
      </c>
      <c r="DY206" s="228">
        <v>0.27</v>
      </c>
      <c r="DZ206" s="229">
        <v>0.57450000000000001</v>
      </c>
      <c r="EA206" s="229">
        <v>0.1048</v>
      </c>
      <c r="EB206" s="230">
        <v>753300</v>
      </c>
      <c r="EC206" s="229">
        <v>2E-3</v>
      </c>
      <c r="ED206" s="229">
        <v>0.1048</v>
      </c>
      <c r="EE206" s="228">
        <v>2.23</v>
      </c>
      <c r="EF206" s="229">
        <v>5.9999999999999995E-4</v>
      </c>
      <c r="EG206" s="230">
        <v>271523</v>
      </c>
      <c r="EH206" s="230">
        <v>512777</v>
      </c>
      <c r="EI206" s="229">
        <v>-0.47049999999999997</v>
      </c>
      <c r="EJ206" s="229">
        <v>0.3357</v>
      </c>
      <c r="EK206" s="231">
        <v>1073.42</v>
      </c>
      <c r="EL206" s="228">
        <v>729.66</v>
      </c>
      <c r="EM206" s="228">
        <v>359.08</v>
      </c>
      <c r="EN206" s="228">
        <v>213.24</v>
      </c>
      <c r="EO206" s="231">
        <v>2162.16</v>
      </c>
      <c r="EP206" s="231">
        <v>4698.5200000000004</v>
      </c>
      <c r="EQ206" s="231">
        <v>-2536.36</v>
      </c>
      <c r="ER206" s="229">
        <v>-0.53979999999999995</v>
      </c>
      <c r="ES206" s="228">
        <v>938.58</v>
      </c>
      <c r="ET206" s="228">
        <v>778.42</v>
      </c>
      <c r="EU206" s="231">
        <v>3020.13</v>
      </c>
      <c r="EV206" s="231">
        <v>33590487</v>
      </c>
      <c r="EW206" s="231">
        <v>4737.13</v>
      </c>
      <c r="EX206" s="231">
        <v>4590.05</v>
      </c>
      <c r="EY206" s="228">
        <v>147.08000000000001</v>
      </c>
      <c r="EZ206" s="229">
        <v>3.2000000000000001E-2</v>
      </c>
      <c r="FA206" s="229">
        <v>0.36840000000000001</v>
      </c>
      <c r="FB206" s="227" t="s">
        <v>566</v>
      </c>
      <c r="FC206">
        <f t="shared" si="4"/>
        <v>0</v>
      </c>
    </row>
    <row r="207" spans="1:159" ht="17.25" thickBot="1" x14ac:dyDescent="0.3">
      <c r="A207" s="226">
        <v>46121</v>
      </c>
      <c r="B207" s="227" t="s">
        <v>162</v>
      </c>
      <c r="C207" s="227" t="s">
        <v>300</v>
      </c>
      <c r="D207" s="228">
        <v>175</v>
      </c>
      <c r="E207" s="228">
        <v>19</v>
      </c>
      <c r="F207" s="231">
        <v>3738.4</v>
      </c>
      <c r="G207" s="231">
        <v>3714.5</v>
      </c>
      <c r="H207" s="228">
        <v>23.9</v>
      </c>
      <c r="I207" s="229">
        <v>6.4000000000000003E-3</v>
      </c>
      <c r="J207" s="231">
        <v>3727.1</v>
      </c>
      <c r="K207" s="231">
        <v>3701.4</v>
      </c>
      <c r="L207" s="228">
        <v>25.7</v>
      </c>
      <c r="M207" s="229">
        <v>6.8999999999999999E-3</v>
      </c>
      <c r="N207" s="231">
        <v>3738.4</v>
      </c>
      <c r="O207" s="231">
        <v>3714.5</v>
      </c>
      <c r="P207" s="228">
        <v>23.9</v>
      </c>
      <c r="Q207" s="229">
        <v>6.4000000000000003E-3</v>
      </c>
      <c r="R207" s="231">
        <v>3762.8</v>
      </c>
      <c r="S207" s="231">
        <v>3736.3</v>
      </c>
      <c r="T207" s="228">
        <v>26.5</v>
      </c>
      <c r="U207" s="229">
        <v>7.1000000000000004E-3</v>
      </c>
      <c r="V207" s="231">
        <v>3780.1</v>
      </c>
      <c r="W207" s="231">
        <v>3747.7</v>
      </c>
      <c r="X207" s="228">
        <v>32.4</v>
      </c>
      <c r="Y207" s="229">
        <v>8.6E-3</v>
      </c>
      <c r="Z207" s="228">
        <v>11.3</v>
      </c>
      <c r="AA207" s="228">
        <v>13.1</v>
      </c>
      <c r="AB207" s="228">
        <v>-1.8</v>
      </c>
      <c r="AC207" s="229">
        <v>3.0000000000000001E-3</v>
      </c>
      <c r="AD207" s="228">
        <v>11.3</v>
      </c>
      <c r="AE207" s="228">
        <v>13.1</v>
      </c>
      <c r="AF207" s="228">
        <v>-1.8</v>
      </c>
      <c r="AG207" s="229">
        <v>3.0000000000000001E-3</v>
      </c>
      <c r="AH207" s="228">
        <v>35.700000000000003</v>
      </c>
      <c r="AI207" s="228">
        <v>34.9</v>
      </c>
      <c r="AJ207" s="228">
        <v>0.8</v>
      </c>
      <c r="AK207" s="229">
        <v>9.5999999999999992E-3</v>
      </c>
      <c r="AL207" s="228">
        <v>53</v>
      </c>
      <c r="AM207" s="228">
        <v>46.3</v>
      </c>
      <c r="AN207" s="228">
        <v>6.7</v>
      </c>
      <c r="AO207" s="229">
        <v>1.4200000000000001E-2</v>
      </c>
      <c r="AP207" s="231">
        <v>3736.2</v>
      </c>
      <c r="AQ207" s="231">
        <v>3760.73</v>
      </c>
      <c r="AR207" s="228">
        <v>0</v>
      </c>
      <c r="AS207" s="228">
        <v>307</v>
      </c>
      <c r="AT207" s="228">
        <v>444</v>
      </c>
      <c r="AU207" s="228">
        <v>-137</v>
      </c>
      <c r="AV207" s="229">
        <v>-0.30880000000000002</v>
      </c>
      <c r="AW207" s="228">
        <v>282</v>
      </c>
      <c r="AX207" s="228">
        <v>423</v>
      </c>
      <c r="AY207" s="228">
        <v>-141</v>
      </c>
      <c r="AZ207" s="229">
        <v>-0.33429999999999999</v>
      </c>
      <c r="BA207" s="228">
        <v>23</v>
      </c>
      <c r="BB207" s="228">
        <v>19</v>
      </c>
      <c r="BC207" s="228">
        <v>5</v>
      </c>
      <c r="BD207" s="229">
        <v>0.2465</v>
      </c>
      <c r="BE207" s="228">
        <v>1</v>
      </c>
      <c r="BF207" s="228">
        <v>2</v>
      </c>
      <c r="BG207" s="228">
        <v>0</v>
      </c>
      <c r="BH207" s="229">
        <v>-0.125</v>
      </c>
      <c r="BI207" s="228">
        <v>565</v>
      </c>
      <c r="BJ207" s="230">
        <v>1168</v>
      </c>
      <c r="BK207" s="228">
        <v>-604</v>
      </c>
      <c r="BL207" s="229">
        <v>-0.51670000000000005</v>
      </c>
      <c r="BM207" s="228">
        <v>280</v>
      </c>
      <c r="BN207" s="228">
        <v>469</v>
      </c>
      <c r="BO207" s="228">
        <v>-189</v>
      </c>
      <c r="BP207" s="229">
        <v>-0.40300000000000002</v>
      </c>
      <c r="BQ207" s="230">
        <v>1151</v>
      </c>
      <c r="BR207" s="230">
        <v>2081</v>
      </c>
      <c r="BS207" s="228">
        <v>-930</v>
      </c>
      <c r="BT207" s="229">
        <v>-0.44679999999999997</v>
      </c>
      <c r="BU207" s="230">
        <v>832171</v>
      </c>
      <c r="BV207" s="230">
        <v>1627498</v>
      </c>
      <c r="BW207" s="230">
        <v>-795327</v>
      </c>
      <c r="BX207" s="229">
        <v>-0.48870000000000002</v>
      </c>
      <c r="BY207" s="230">
        <v>3173</v>
      </c>
      <c r="BZ207" s="230">
        <v>3153</v>
      </c>
      <c r="CA207" s="228">
        <v>20</v>
      </c>
      <c r="CB207" s="229">
        <v>6.4000000000000003E-3</v>
      </c>
      <c r="CC207" s="230">
        <v>3121</v>
      </c>
      <c r="CD207" s="230">
        <v>3111</v>
      </c>
      <c r="CE207" s="228">
        <v>10</v>
      </c>
      <c r="CF207" s="229">
        <v>3.0999999999999999E-3</v>
      </c>
      <c r="CG207" s="228">
        <v>51</v>
      </c>
      <c r="CH207" s="228">
        <v>40</v>
      </c>
      <c r="CI207" s="228">
        <v>10</v>
      </c>
      <c r="CJ207" s="229">
        <v>0.25040000000000001</v>
      </c>
      <c r="CK207" s="228">
        <v>2</v>
      </c>
      <c r="CL207" s="228">
        <v>1</v>
      </c>
      <c r="CM207" s="228">
        <v>0</v>
      </c>
      <c r="CN207" s="229">
        <v>0.25</v>
      </c>
      <c r="CO207" s="228">
        <v>445</v>
      </c>
      <c r="CP207" s="228">
        <v>413</v>
      </c>
      <c r="CQ207" s="228">
        <v>32</v>
      </c>
      <c r="CR207" s="229">
        <v>7.7700000000000005E-2</v>
      </c>
      <c r="CS207" s="228">
        <v>342</v>
      </c>
      <c r="CT207" s="228">
        <v>317</v>
      </c>
      <c r="CU207" s="228">
        <v>25</v>
      </c>
      <c r="CV207" s="229">
        <v>7.7399999999999997E-2</v>
      </c>
      <c r="CW207" s="230">
        <v>3960</v>
      </c>
      <c r="CX207" s="230">
        <v>3883</v>
      </c>
      <c r="CY207" s="228">
        <v>77</v>
      </c>
      <c r="CZ207" s="229">
        <v>1.9800000000000002E-2</v>
      </c>
      <c r="DA207" s="228">
        <v>33.1</v>
      </c>
      <c r="DB207" s="228">
        <v>32.869999999999997</v>
      </c>
      <c r="DC207" s="228">
        <v>0.23</v>
      </c>
      <c r="DD207" s="228">
        <v>0.23</v>
      </c>
      <c r="DE207" s="228">
        <v>33.47</v>
      </c>
      <c r="DF207" s="228">
        <v>33.54</v>
      </c>
      <c r="DG207" s="228">
        <v>-0.37</v>
      </c>
      <c r="DH207" s="228">
        <v>-7.0000000000000007E-2</v>
      </c>
      <c r="DI207" s="228">
        <v>31.99</v>
      </c>
      <c r="DJ207" s="228">
        <v>31.58</v>
      </c>
      <c r="DK207" s="228">
        <v>0.41</v>
      </c>
      <c r="DL207" s="228">
        <v>0.41</v>
      </c>
      <c r="DM207" s="228">
        <v>35.35</v>
      </c>
      <c r="DN207" s="228">
        <v>36.090000000000003</v>
      </c>
      <c r="DO207" s="228">
        <v>-0.74</v>
      </c>
      <c r="DP207" s="228">
        <v>-0.74</v>
      </c>
      <c r="DQ207" s="228">
        <v>0.77</v>
      </c>
      <c r="DR207" s="228">
        <v>0.77</v>
      </c>
      <c r="DS207" s="228">
        <v>0</v>
      </c>
      <c r="DT207" s="229">
        <v>0</v>
      </c>
      <c r="DU207" s="231">
        <v>4000</v>
      </c>
      <c r="DV207" s="231">
        <v>3400</v>
      </c>
      <c r="DW207" s="228">
        <v>0.5</v>
      </c>
      <c r="DX207" s="228">
        <v>0.4</v>
      </c>
      <c r="DY207" s="228">
        <v>0.1</v>
      </c>
      <c r="DZ207" s="229">
        <v>0.25</v>
      </c>
      <c r="EA207" s="229">
        <v>1.6500000000000001E-2</v>
      </c>
      <c r="EB207" s="230">
        <v>111825</v>
      </c>
      <c r="EC207" s="229">
        <v>6.4999999999999997E-3</v>
      </c>
      <c r="ED207" s="229">
        <v>1.6500000000000001E-2</v>
      </c>
      <c r="EE207" s="228">
        <v>24.53</v>
      </c>
      <c r="EF207" s="229">
        <v>6.6E-3</v>
      </c>
      <c r="EG207" s="230">
        <v>365286</v>
      </c>
      <c r="EH207" s="230">
        <v>904602</v>
      </c>
      <c r="EI207" s="229">
        <v>-0.59619999999999995</v>
      </c>
      <c r="EJ207" s="229">
        <v>0.439</v>
      </c>
      <c r="EK207" s="228">
        <v>589.99</v>
      </c>
      <c r="EL207" s="228">
        <v>273.51</v>
      </c>
      <c r="EM207" s="228">
        <v>306.56</v>
      </c>
      <c r="EN207" s="228">
        <v>55.69</v>
      </c>
      <c r="EO207" s="231">
        <v>1170.06</v>
      </c>
      <c r="EP207" s="231">
        <v>2090.81</v>
      </c>
      <c r="EQ207" s="228">
        <v>-920.75</v>
      </c>
      <c r="ER207" s="229">
        <v>-0.44040000000000001</v>
      </c>
      <c r="ES207" s="228">
        <v>441.83</v>
      </c>
      <c r="ET207" s="228">
        <v>315.52999999999997</v>
      </c>
      <c r="EU207" s="231">
        <v>3173.32</v>
      </c>
      <c r="EV207" s="231">
        <v>32253708</v>
      </c>
      <c r="EW207" s="231">
        <v>3930.68</v>
      </c>
      <c r="EX207" s="231">
        <v>3829.87</v>
      </c>
      <c r="EY207" s="228">
        <v>100.81</v>
      </c>
      <c r="EZ207" s="229">
        <v>2.63E-2</v>
      </c>
      <c r="FA207" s="229">
        <v>0.32840000000000003</v>
      </c>
      <c r="FB207" s="227" t="s">
        <v>555</v>
      </c>
      <c r="FC207">
        <f t="shared" si="4"/>
        <v>0</v>
      </c>
    </row>
    <row r="208" spans="1:159" ht="17.25" thickBot="1" x14ac:dyDescent="0.3">
      <c r="A208" s="226">
        <v>46121</v>
      </c>
      <c r="B208" s="227" t="s">
        <v>157</v>
      </c>
      <c r="C208" s="227" t="s">
        <v>302</v>
      </c>
      <c r="D208" s="228">
        <v>50</v>
      </c>
      <c r="E208" s="228">
        <v>19</v>
      </c>
      <c r="F208" s="231">
        <v>11468</v>
      </c>
      <c r="G208" s="231">
        <v>11625</v>
      </c>
      <c r="H208" s="228">
        <v>-157</v>
      </c>
      <c r="I208" s="229">
        <v>-1.35E-2</v>
      </c>
      <c r="J208" s="231">
        <v>11448</v>
      </c>
      <c r="K208" s="231">
        <v>11603</v>
      </c>
      <c r="L208" s="228">
        <v>-155</v>
      </c>
      <c r="M208" s="229">
        <v>-1.34E-2</v>
      </c>
      <c r="N208" s="231">
        <v>11468</v>
      </c>
      <c r="O208" s="231">
        <v>11625</v>
      </c>
      <c r="P208" s="228">
        <v>-157</v>
      </c>
      <c r="Q208" s="229">
        <v>-1.35E-2</v>
      </c>
      <c r="R208" s="231">
        <v>11534</v>
      </c>
      <c r="S208" s="231">
        <v>11706</v>
      </c>
      <c r="T208" s="228">
        <v>-172</v>
      </c>
      <c r="U208" s="229">
        <v>-1.47E-2</v>
      </c>
      <c r="V208" s="231">
        <v>11595</v>
      </c>
      <c r="W208" s="231">
        <v>11751</v>
      </c>
      <c r="X208" s="228">
        <v>-156</v>
      </c>
      <c r="Y208" s="229">
        <v>-1.3299999999999999E-2</v>
      </c>
      <c r="Z208" s="228">
        <v>20</v>
      </c>
      <c r="AA208" s="228">
        <v>22</v>
      </c>
      <c r="AB208" s="228">
        <v>-2</v>
      </c>
      <c r="AC208" s="229">
        <v>1.6999999999999999E-3</v>
      </c>
      <c r="AD208" s="228">
        <v>20</v>
      </c>
      <c r="AE208" s="228">
        <v>22</v>
      </c>
      <c r="AF208" s="228">
        <v>-2</v>
      </c>
      <c r="AG208" s="229">
        <v>1.6999999999999999E-3</v>
      </c>
      <c r="AH208" s="228">
        <v>86</v>
      </c>
      <c r="AI208" s="228">
        <v>103</v>
      </c>
      <c r="AJ208" s="228">
        <v>-17</v>
      </c>
      <c r="AK208" s="229">
        <v>7.4999999999999997E-3</v>
      </c>
      <c r="AL208" s="228">
        <v>147</v>
      </c>
      <c r="AM208" s="228">
        <v>148</v>
      </c>
      <c r="AN208" s="228">
        <v>-1</v>
      </c>
      <c r="AO208" s="229">
        <v>1.2800000000000001E-2</v>
      </c>
      <c r="AP208" s="231">
        <v>11475.72</v>
      </c>
      <c r="AQ208" s="231">
        <v>11544.64</v>
      </c>
      <c r="AR208" s="228">
        <v>0</v>
      </c>
      <c r="AS208" s="228">
        <v>338</v>
      </c>
      <c r="AT208" s="228">
        <v>650</v>
      </c>
      <c r="AU208" s="228">
        <v>-311</v>
      </c>
      <c r="AV208" s="229">
        <v>-0.4793</v>
      </c>
      <c r="AW208" s="228">
        <v>326</v>
      </c>
      <c r="AX208" s="228">
        <v>619</v>
      </c>
      <c r="AY208" s="228">
        <v>-293</v>
      </c>
      <c r="AZ208" s="229">
        <v>-0.47320000000000001</v>
      </c>
      <c r="BA208" s="228">
        <v>11</v>
      </c>
      <c r="BB208" s="228">
        <v>27</v>
      </c>
      <c r="BC208" s="228">
        <v>-16</v>
      </c>
      <c r="BD208" s="229">
        <v>-0.58809999999999996</v>
      </c>
      <c r="BE208" s="228">
        <v>1</v>
      </c>
      <c r="BF208" s="228">
        <v>3</v>
      </c>
      <c r="BG208" s="228">
        <v>-2</v>
      </c>
      <c r="BH208" s="229">
        <v>-0.73680000000000001</v>
      </c>
      <c r="BI208" s="228">
        <v>589</v>
      </c>
      <c r="BJ208" s="230">
        <v>1393</v>
      </c>
      <c r="BK208" s="228">
        <v>-804</v>
      </c>
      <c r="BL208" s="229">
        <v>-0.57699999999999996</v>
      </c>
      <c r="BM208" s="228">
        <v>429</v>
      </c>
      <c r="BN208" s="228">
        <v>899</v>
      </c>
      <c r="BO208" s="228">
        <v>-470</v>
      </c>
      <c r="BP208" s="229">
        <v>-0.52280000000000004</v>
      </c>
      <c r="BQ208" s="230">
        <v>1357</v>
      </c>
      <c r="BR208" s="230">
        <v>2942</v>
      </c>
      <c r="BS208" s="230">
        <v>-1585</v>
      </c>
      <c r="BT208" s="229">
        <v>-0.53890000000000005</v>
      </c>
      <c r="BU208" s="230">
        <v>351939</v>
      </c>
      <c r="BV208" s="230">
        <v>627808</v>
      </c>
      <c r="BW208" s="230">
        <v>-275869</v>
      </c>
      <c r="BX208" s="229">
        <v>-0.43940000000000001</v>
      </c>
      <c r="BY208" s="230">
        <v>2840</v>
      </c>
      <c r="BZ208" s="230">
        <v>2789</v>
      </c>
      <c r="CA208" s="228">
        <v>51</v>
      </c>
      <c r="CB208" s="229">
        <v>1.83E-2</v>
      </c>
      <c r="CC208" s="230">
        <v>2522</v>
      </c>
      <c r="CD208" s="230">
        <v>2475</v>
      </c>
      <c r="CE208" s="228">
        <v>47</v>
      </c>
      <c r="CF208" s="229">
        <v>1.9099999999999999E-2</v>
      </c>
      <c r="CG208" s="228">
        <v>220</v>
      </c>
      <c r="CH208" s="228">
        <v>217</v>
      </c>
      <c r="CI208" s="228">
        <v>3</v>
      </c>
      <c r="CJ208" s="229">
        <v>1.4E-2</v>
      </c>
      <c r="CK208" s="228">
        <v>98</v>
      </c>
      <c r="CL208" s="228">
        <v>97</v>
      </c>
      <c r="CM208" s="228">
        <v>1</v>
      </c>
      <c r="CN208" s="229">
        <v>5.8999999999999999E-3</v>
      </c>
      <c r="CO208" s="228">
        <v>518</v>
      </c>
      <c r="CP208" s="228">
        <v>479</v>
      </c>
      <c r="CQ208" s="228">
        <v>39</v>
      </c>
      <c r="CR208" s="229">
        <v>8.0399999999999999E-2</v>
      </c>
      <c r="CS208" s="228">
        <v>380</v>
      </c>
      <c r="CT208" s="228">
        <v>377</v>
      </c>
      <c r="CU208" s="228">
        <v>3</v>
      </c>
      <c r="CV208" s="229">
        <v>7.7999999999999996E-3</v>
      </c>
      <c r="CW208" s="230">
        <v>3737</v>
      </c>
      <c r="CX208" s="230">
        <v>3645</v>
      </c>
      <c r="CY208" s="228">
        <v>92</v>
      </c>
      <c r="CZ208" s="229">
        <v>2.5399999999999999E-2</v>
      </c>
      <c r="DA208" s="228">
        <v>32.9</v>
      </c>
      <c r="DB208" s="228">
        <v>32.21</v>
      </c>
      <c r="DC208" s="228">
        <v>0.69</v>
      </c>
      <c r="DD208" s="228">
        <v>0.69</v>
      </c>
      <c r="DE208" s="228">
        <v>30.27</v>
      </c>
      <c r="DF208" s="228">
        <v>30.29</v>
      </c>
      <c r="DG208" s="228">
        <v>2.63</v>
      </c>
      <c r="DH208" s="228">
        <v>-0.02</v>
      </c>
      <c r="DI208" s="228">
        <v>30.48</v>
      </c>
      <c r="DJ208" s="228">
        <v>30.48</v>
      </c>
      <c r="DK208" s="228">
        <v>0</v>
      </c>
      <c r="DL208" s="228">
        <v>0</v>
      </c>
      <c r="DM208" s="228">
        <v>36.21</v>
      </c>
      <c r="DN208" s="228">
        <v>34.869999999999997</v>
      </c>
      <c r="DO208" s="228">
        <v>1.34</v>
      </c>
      <c r="DP208" s="228">
        <v>1.34</v>
      </c>
      <c r="DQ208" s="228">
        <v>0.73</v>
      </c>
      <c r="DR208" s="228">
        <v>0.79</v>
      </c>
      <c r="DS208" s="228">
        <v>-0.06</v>
      </c>
      <c r="DT208" s="229">
        <v>-7.5899999999999995E-2</v>
      </c>
      <c r="DU208" s="231">
        <v>12000</v>
      </c>
      <c r="DV208" s="231">
        <v>10000</v>
      </c>
      <c r="DW208" s="228">
        <v>0.73</v>
      </c>
      <c r="DX208" s="228">
        <v>0.65</v>
      </c>
      <c r="DY208" s="228">
        <v>0.08</v>
      </c>
      <c r="DZ208" s="229">
        <v>0.1231</v>
      </c>
      <c r="EA208" s="229">
        <v>0.1119</v>
      </c>
      <c r="EB208" s="230">
        <v>273850</v>
      </c>
      <c r="EC208" s="229">
        <v>5.7999999999999996E-3</v>
      </c>
      <c r="ED208" s="229">
        <v>0.1119</v>
      </c>
      <c r="EE208" s="228">
        <v>68.92</v>
      </c>
      <c r="EF208" s="229">
        <v>6.0000000000000001E-3</v>
      </c>
      <c r="EG208" s="230">
        <v>175967</v>
      </c>
      <c r="EH208" s="230">
        <v>382594</v>
      </c>
      <c r="EI208" s="229">
        <v>-0.54010000000000002</v>
      </c>
      <c r="EJ208" s="229">
        <v>0.5</v>
      </c>
      <c r="EK208" s="228">
        <v>627.24</v>
      </c>
      <c r="EL208" s="228">
        <v>403.53</v>
      </c>
      <c r="EM208" s="228">
        <v>338.61</v>
      </c>
      <c r="EN208" s="228">
        <v>77.349999999999994</v>
      </c>
      <c r="EO208" s="231">
        <v>1369.38</v>
      </c>
      <c r="EP208" s="231">
        <v>3010.32</v>
      </c>
      <c r="EQ208" s="231">
        <v>-1640.95</v>
      </c>
      <c r="ER208" s="229">
        <v>-0.54510000000000003</v>
      </c>
      <c r="ES208" s="228">
        <v>536.01</v>
      </c>
      <c r="ET208" s="228">
        <v>352.82</v>
      </c>
      <c r="EU208" s="231">
        <v>2842</v>
      </c>
      <c r="EV208" s="231">
        <v>12994504</v>
      </c>
      <c r="EW208" s="231">
        <v>3730.82</v>
      </c>
      <c r="EX208" s="231">
        <v>3675.26</v>
      </c>
      <c r="EY208" s="228">
        <v>55.56</v>
      </c>
      <c r="EZ208" s="229">
        <v>1.5100000000000001E-2</v>
      </c>
      <c r="FA208" s="229">
        <v>0.25080000000000002</v>
      </c>
      <c r="FB208" s="227" t="s">
        <v>566</v>
      </c>
      <c r="FC208">
        <f t="shared" si="4"/>
        <v>0</v>
      </c>
    </row>
    <row r="209" spans="1:159" ht="17.25" thickBot="1" x14ac:dyDescent="0.3">
      <c r="A209" s="226">
        <v>46121</v>
      </c>
      <c r="B209" s="227" t="s">
        <v>172</v>
      </c>
      <c r="C209" s="227" t="s">
        <v>592</v>
      </c>
      <c r="D209" s="228">
        <v>4425</v>
      </c>
      <c r="E209" s="228">
        <v>19</v>
      </c>
      <c r="F209" s="228">
        <v>184.46</v>
      </c>
      <c r="G209" s="228">
        <v>186.18</v>
      </c>
      <c r="H209" s="228">
        <v>-1.72</v>
      </c>
      <c r="I209" s="229">
        <v>-9.1999999999999998E-3</v>
      </c>
      <c r="J209" s="228">
        <v>184.69</v>
      </c>
      <c r="K209" s="228">
        <v>185.66</v>
      </c>
      <c r="L209" s="228">
        <v>-0.97</v>
      </c>
      <c r="M209" s="229">
        <v>-5.1999999999999998E-3</v>
      </c>
      <c r="N209" s="228">
        <v>184.46</v>
      </c>
      <c r="O209" s="228">
        <v>186.18</v>
      </c>
      <c r="P209" s="228">
        <v>-1.72</v>
      </c>
      <c r="Q209" s="229">
        <v>-9.1999999999999998E-3</v>
      </c>
      <c r="R209" s="228">
        <v>184.39</v>
      </c>
      <c r="S209" s="228">
        <v>186.09</v>
      </c>
      <c r="T209" s="228">
        <v>-1.7</v>
      </c>
      <c r="U209" s="229">
        <v>-9.1000000000000004E-3</v>
      </c>
      <c r="V209" s="228">
        <v>184.55</v>
      </c>
      <c r="W209" s="228">
        <v>185.94</v>
      </c>
      <c r="X209" s="228">
        <v>-1.39</v>
      </c>
      <c r="Y209" s="229">
        <v>-7.4999999999999997E-3</v>
      </c>
      <c r="Z209" s="228">
        <v>-0.23</v>
      </c>
      <c r="AA209" s="228">
        <v>0.52</v>
      </c>
      <c r="AB209" s="228">
        <v>-0.75</v>
      </c>
      <c r="AC209" s="229">
        <v>-1.1999999999999999E-3</v>
      </c>
      <c r="AD209" s="228">
        <v>-0.23</v>
      </c>
      <c r="AE209" s="228">
        <v>0.52</v>
      </c>
      <c r="AF209" s="228">
        <v>-0.75</v>
      </c>
      <c r="AG209" s="229">
        <v>-1.1999999999999999E-3</v>
      </c>
      <c r="AH209" s="228">
        <v>-0.3</v>
      </c>
      <c r="AI209" s="228">
        <v>0.43</v>
      </c>
      <c r="AJ209" s="228">
        <v>-0.73</v>
      </c>
      <c r="AK209" s="229">
        <v>-1.6000000000000001E-3</v>
      </c>
      <c r="AL209" s="228">
        <v>-0.14000000000000001</v>
      </c>
      <c r="AM209" s="228">
        <v>0.28000000000000003</v>
      </c>
      <c r="AN209" s="228">
        <v>-0.42</v>
      </c>
      <c r="AO209" s="229">
        <v>-8.0000000000000004E-4</v>
      </c>
      <c r="AP209" s="228">
        <v>185.93</v>
      </c>
      <c r="AQ209" s="228">
        <v>185.33</v>
      </c>
      <c r="AR209" s="228">
        <v>0</v>
      </c>
      <c r="AS209" s="228">
        <v>432</v>
      </c>
      <c r="AT209" s="228">
        <v>606</v>
      </c>
      <c r="AU209" s="228">
        <v>-174</v>
      </c>
      <c r="AV209" s="229">
        <v>-0.28660000000000002</v>
      </c>
      <c r="AW209" s="228">
        <v>395</v>
      </c>
      <c r="AX209" s="228">
        <v>564</v>
      </c>
      <c r="AY209" s="228">
        <v>-169</v>
      </c>
      <c r="AZ209" s="229">
        <v>-0.2994</v>
      </c>
      <c r="BA209" s="228">
        <v>35</v>
      </c>
      <c r="BB209" s="228">
        <v>37</v>
      </c>
      <c r="BC209" s="228">
        <v>-3</v>
      </c>
      <c r="BD209" s="229">
        <v>-7.6300000000000007E-2</v>
      </c>
      <c r="BE209" s="228">
        <v>2</v>
      </c>
      <c r="BF209" s="228">
        <v>4</v>
      </c>
      <c r="BG209" s="228">
        <v>-2</v>
      </c>
      <c r="BH209" s="229">
        <v>-0.434</v>
      </c>
      <c r="BI209" s="228">
        <v>716</v>
      </c>
      <c r="BJ209" s="228">
        <v>971</v>
      </c>
      <c r="BK209" s="228">
        <v>-256</v>
      </c>
      <c r="BL209" s="229">
        <v>-0.26350000000000001</v>
      </c>
      <c r="BM209" s="228">
        <v>336</v>
      </c>
      <c r="BN209" s="228">
        <v>491</v>
      </c>
      <c r="BO209" s="228">
        <v>-155</v>
      </c>
      <c r="BP209" s="229">
        <v>-0.31530000000000002</v>
      </c>
      <c r="BQ209" s="230">
        <v>1484</v>
      </c>
      <c r="BR209" s="230">
        <v>2068</v>
      </c>
      <c r="BS209" s="228">
        <v>-584</v>
      </c>
      <c r="BT209" s="229">
        <v>-0.28249999999999997</v>
      </c>
      <c r="BU209" s="230">
        <v>14611039</v>
      </c>
      <c r="BV209" s="230">
        <v>21364128</v>
      </c>
      <c r="BW209" s="230">
        <v>-6753089</v>
      </c>
      <c r="BX209" s="229">
        <v>-0.31609999999999999</v>
      </c>
      <c r="BY209" s="230">
        <v>1818</v>
      </c>
      <c r="BZ209" s="230">
        <v>1734</v>
      </c>
      <c r="CA209" s="228">
        <v>84</v>
      </c>
      <c r="CB209" s="229">
        <v>4.87E-2</v>
      </c>
      <c r="CC209" s="230">
        <v>1754</v>
      </c>
      <c r="CD209" s="230">
        <v>1679</v>
      </c>
      <c r="CE209" s="228">
        <v>75</v>
      </c>
      <c r="CF209" s="229">
        <v>4.4400000000000002E-2</v>
      </c>
      <c r="CG209" s="228">
        <v>55</v>
      </c>
      <c r="CH209" s="228">
        <v>46</v>
      </c>
      <c r="CI209" s="228">
        <v>9</v>
      </c>
      <c r="CJ209" s="229">
        <v>0.18490000000000001</v>
      </c>
      <c r="CK209" s="228">
        <v>10</v>
      </c>
      <c r="CL209" s="228">
        <v>9</v>
      </c>
      <c r="CM209" s="228">
        <v>1</v>
      </c>
      <c r="CN209" s="229">
        <v>0.15240000000000001</v>
      </c>
      <c r="CO209" s="228">
        <v>480</v>
      </c>
      <c r="CP209" s="228">
        <v>442</v>
      </c>
      <c r="CQ209" s="228">
        <v>38</v>
      </c>
      <c r="CR209" s="229">
        <v>8.6499999999999994E-2</v>
      </c>
      <c r="CS209" s="228">
        <v>395</v>
      </c>
      <c r="CT209" s="228">
        <v>383</v>
      </c>
      <c r="CU209" s="228">
        <v>11</v>
      </c>
      <c r="CV209" s="229">
        <v>2.8899999999999999E-2</v>
      </c>
      <c r="CW209" s="230">
        <v>2693</v>
      </c>
      <c r="CX209" s="230">
        <v>2559</v>
      </c>
      <c r="CY209" s="228">
        <v>134</v>
      </c>
      <c r="CZ209" s="229">
        <v>5.2299999999999999E-2</v>
      </c>
      <c r="DA209" s="228">
        <v>41.38</v>
      </c>
      <c r="DB209" s="228">
        <v>42</v>
      </c>
      <c r="DC209" s="228">
        <v>-0.62</v>
      </c>
      <c r="DD209" s="228">
        <v>-0.62</v>
      </c>
      <c r="DE209" s="228">
        <v>44.41</v>
      </c>
      <c r="DF209" s="228">
        <v>44.5</v>
      </c>
      <c r="DG209" s="228">
        <v>-3.03</v>
      </c>
      <c r="DH209" s="228">
        <v>-0.09</v>
      </c>
      <c r="DI209" s="228">
        <v>40.39</v>
      </c>
      <c r="DJ209" s="228">
        <v>40.31</v>
      </c>
      <c r="DK209" s="228">
        <v>0.08</v>
      </c>
      <c r="DL209" s="228">
        <v>0.08</v>
      </c>
      <c r="DM209" s="228">
        <v>43.48</v>
      </c>
      <c r="DN209" s="228">
        <v>45.33</v>
      </c>
      <c r="DO209" s="228">
        <v>-1.85</v>
      </c>
      <c r="DP209" s="228">
        <v>-1.85</v>
      </c>
      <c r="DQ209" s="228">
        <v>0.82</v>
      </c>
      <c r="DR209" s="228">
        <v>0.87</v>
      </c>
      <c r="DS209" s="228">
        <v>-0.05</v>
      </c>
      <c r="DT209" s="229">
        <v>-5.7500000000000002E-2</v>
      </c>
      <c r="DU209" s="228">
        <v>190</v>
      </c>
      <c r="DV209" s="228">
        <v>180</v>
      </c>
      <c r="DW209" s="228">
        <v>0.47</v>
      </c>
      <c r="DX209" s="228">
        <v>0.51</v>
      </c>
      <c r="DY209" s="228">
        <v>-0.04</v>
      </c>
      <c r="DZ209" s="229">
        <v>-7.8399999999999997E-2</v>
      </c>
      <c r="EA209" s="229">
        <v>3.56E-2</v>
      </c>
      <c r="EB209" s="230">
        <v>2978025</v>
      </c>
      <c r="EC209" s="229">
        <v>-4.0000000000000002E-4</v>
      </c>
      <c r="ED209" s="229">
        <v>3.56E-2</v>
      </c>
      <c r="EE209" s="228">
        <v>-0.6</v>
      </c>
      <c r="EF209" s="229">
        <v>-3.2000000000000002E-3</v>
      </c>
      <c r="EG209" s="230">
        <v>3949203</v>
      </c>
      <c r="EH209" s="230">
        <v>6707839</v>
      </c>
      <c r="EI209" s="229">
        <v>-0.4113</v>
      </c>
      <c r="EJ209" s="229">
        <v>0.27029999999999998</v>
      </c>
      <c r="EK209" s="228">
        <v>765.35</v>
      </c>
      <c r="EL209" s="228">
        <v>331.99</v>
      </c>
      <c r="EM209" s="228">
        <v>435.38</v>
      </c>
      <c r="EN209" s="228">
        <v>71.64</v>
      </c>
      <c r="EO209" s="231">
        <v>1532.73</v>
      </c>
      <c r="EP209" s="231">
        <v>2105.91</v>
      </c>
      <c r="EQ209" s="228">
        <v>-573.17999999999995</v>
      </c>
      <c r="ER209" s="229">
        <v>-0.2722</v>
      </c>
      <c r="ES209" s="228">
        <v>490.58</v>
      </c>
      <c r="ET209" s="228">
        <v>368.32</v>
      </c>
      <c r="EU209" s="231">
        <v>1818.39</v>
      </c>
      <c r="EV209" s="231">
        <v>289041713</v>
      </c>
      <c r="EW209" s="231">
        <v>2677.3</v>
      </c>
      <c r="EX209" s="231">
        <v>2556.94</v>
      </c>
      <c r="EY209" s="228">
        <v>120.36</v>
      </c>
      <c r="EZ209" s="229">
        <v>4.7100000000000003E-2</v>
      </c>
      <c r="FA209" s="229">
        <v>0.50509999999999999</v>
      </c>
      <c r="FB209" s="227" t="s">
        <v>566</v>
      </c>
      <c r="FC209">
        <f t="shared" si="4"/>
        <v>0</v>
      </c>
    </row>
    <row r="210" spans="1:159" ht="17.25" thickBot="1" x14ac:dyDescent="0.3">
      <c r="A210" s="226">
        <v>46121</v>
      </c>
      <c r="B210" s="227" t="s">
        <v>168</v>
      </c>
      <c r="C210" s="227" t="s">
        <v>568</v>
      </c>
      <c r="D210" s="228">
        <v>400</v>
      </c>
      <c r="E210" s="228">
        <v>19</v>
      </c>
      <c r="F210" s="231">
        <v>1255.9000000000001</v>
      </c>
      <c r="G210" s="231">
        <v>1252.9000000000001</v>
      </c>
      <c r="H210" s="228">
        <v>3</v>
      </c>
      <c r="I210" s="229">
        <v>2.3999999999999998E-3</v>
      </c>
      <c r="J210" s="231">
        <v>1249.7</v>
      </c>
      <c r="K210" s="231">
        <v>1248.8</v>
      </c>
      <c r="L210" s="228">
        <v>0.9</v>
      </c>
      <c r="M210" s="229">
        <v>6.9999999999999999E-4</v>
      </c>
      <c r="N210" s="231">
        <v>1255.9000000000001</v>
      </c>
      <c r="O210" s="231">
        <v>1252.9000000000001</v>
      </c>
      <c r="P210" s="228">
        <v>3</v>
      </c>
      <c r="Q210" s="229">
        <v>2.3999999999999998E-3</v>
      </c>
      <c r="R210" s="231">
        <v>1263</v>
      </c>
      <c r="S210" s="231">
        <v>1261.8</v>
      </c>
      <c r="T210" s="228">
        <v>1.2</v>
      </c>
      <c r="U210" s="229">
        <v>1E-3</v>
      </c>
      <c r="V210" s="231">
        <v>1271.7</v>
      </c>
      <c r="W210" s="231">
        <v>1267.7</v>
      </c>
      <c r="X210" s="228">
        <v>4</v>
      </c>
      <c r="Y210" s="229">
        <v>3.2000000000000002E-3</v>
      </c>
      <c r="Z210" s="228">
        <v>6.2</v>
      </c>
      <c r="AA210" s="228">
        <v>4.0999999999999996</v>
      </c>
      <c r="AB210" s="228">
        <v>2.1</v>
      </c>
      <c r="AC210" s="229">
        <v>5.0000000000000001E-3</v>
      </c>
      <c r="AD210" s="228">
        <v>6.2</v>
      </c>
      <c r="AE210" s="228">
        <v>4.0999999999999996</v>
      </c>
      <c r="AF210" s="228">
        <v>2.1</v>
      </c>
      <c r="AG210" s="229">
        <v>5.0000000000000001E-3</v>
      </c>
      <c r="AH210" s="228">
        <v>13.3</v>
      </c>
      <c r="AI210" s="228">
        <v>13</v>
      </c>
      <c r="AJ210" s="228">
        <v>0.3</v>
      </c>
      <c r="AK210" s="229">
        <v>1.06E-2</v>
      </c>
      <c r="AL210" s="228">
        <v>22</v>
      </c>
      <c r="AM210" s="228">
        <v>18.899999999999999</v>
      </c>
      <c r="AN210" s="228">
        <v>3.1</v>
      </c>
      <c r="AO210" s="229">
        <v>1.7600000000000001E-2</v>
      </c>
      <c r="AP210" s="231">
        <v>1253.78</v>
      </c>
      <c r="AQ210" s="231">
        <v>1258.8699999999999</v>
      </c>
      <c r="AR210" s="228">
        <v>0</v>
      </c>
      <c r="AS210" s="228">
        <v>122</v>
      </c>
      <c r="AT210" s="228">
        <v>145</v>
      </c>
      <c r="AU210" s="228">
        <v>-23</v>
      </c>
      <c r="AV210" s="229">
        <v>-0.1578</v>
      </c>
      <c r="AW210" s="228">
        <v>115</v>
      </c>
      <c r="AX210" s="228">
        <v>137</v>
      </c>
      <c r="AY210" s="228">
        <v>-22</v>
      </c>
      <c r="AZ210" s="229">
        <v>-0.16370000000000001</v>
      </c>
      <c r="BA210" s="228">
        <v>7</v>
      </c>
      <c r="BB210" s="228">
        <v>7</v>
      </c>
      <c r="BC210" s="228">
        <v>-1</v>
      </c>
      <c r="BD210" s="229">
        <v>-9.5200000000000007E-2</v>
      </c>
      <c r="BE210" s="228">
        <v>1</v>
      </c>
      <c r="BF210" s="228">
        <v>1</v>
      </c>
      <c r="BG210" s="228">
        <v>0</v>
      </c>
      <c r="BH210" s="229">
        <v>0.41670000000000001</v>
      </c>
      <c r="BI210" s="228">
        <v>209</v>
      </c>
      <c r="BJ210" s="228">
        <v>289</v>
      </c>
      <c r="BK210" s="228">
        <v>-80</v>
      </c>
      <c r="BL210" s="229">
        <v>-0.27789999999999998</v>
      </c>
      <c r="BM210" s="228">
        <v>59</v>
      </c>
      <c r="BN210" s="228">
        <v>129</v>
      </c>
      <c r="BO210" s="228">
        <v>-71</v>
      </c>
      <c r="BP210" s="229">
        <v>-0.54720000000000002</v>
      </c>
      <c r="BQ210" s="228">
        <v>390</v>
      </c>
      <c r="BR210" s="228">
        <v>564</v>
      </c>
      <c r="BS210" s="228">
        <v>-174</v>
      </c>
      <c r="BT210" s="229">
        <v>-0.30869999999999997</v>
      </c>
      <c r="BU210" s="230">
        <v>1210668</v>
      </c>
      <c r="BV210" s="230">
        <v>777517</v>
      </c>
      <c r="BW210" s="230">
        <v>433151</v>
      </c>
      <c r="BX210" s="229">
        <v>0.55710000000000004</v>
      </c>
      <c r="BY210" s="230">
        <v>1610</v>
      </c>
      <c r="BZ210" s="230">
        <v>1573</v>
      </c>
      <c r="CA210" s="228">
        <v>37</v>
      </c>
      <c r="CB210" s="229">
        <v>2.3300000000000001E-2</v>
      </c>
      <c r="CC210" s="230">
        <v>1580</v>
      </c>
      <c r="CD210" s="230">
        <v>1547</v>
      </c>
      <c r="CE210" s="228">
        <v>34</v>
      </c>
      <c r="CF210" s="229">
        <v>2.1700000000000001E-2</v>
      </c>
      <c r="CG210" s="228">
        <v>28</v>
      </c>
      <c r="CH210" s="228">
        <v>26</v>
      </c>
      <c r="CI210" s="228">
        <v>2</v>
      </c>
      <c r="CJ210" s="229">
        <v>9.5299999999999996E-2</v>
      </c>
      <c r="CK210" s="228">
        <v>2</v>
      </c>
      <c r="CL210" s="228">
        <v>1</v>
      </c>
      <c r="CM210" s="228">
        <v>1</v>
      </c>
      <c r="CN210" s="229">
        <v>0.88239999999999996</v>
      </c>
      <c r="CO210" s="228">
        <v>456</v>
      </c>
      <c r="CP210" s="228">
        <v>416</v>
      </c>
      <c r="CQ210" s="228">
        <v>39</v>
      </c>
      <c r="CR210" s="229">
        <v>9.4399999999999998E-2</v>
      </c>
      <c r="CS210" s="228">
        <v>277</v>
      </c>
      <c r="CT210" s="228">
        <v>271</v>
      </c>
      <c r="CU210" s="228">
        <v>6</v>
      </c>
      <c r="CV210" s="229">
        <v>2.06E-2</v>
      </c>
      <c r="CW210" s="230">
        <v>2342</v>
      </c>
      <c r="CX210" s="230">
        <v>2261</v>
      </c>
      <c r="CY210" s="228">
        <v>82</v>
      </c>
      <c r="CZ210" s="229">
        <v>3.61E-2</v>
      </c>
      <c r="DA210" s="228">
        <v>29.45</v>
      </c>
      <c r="DB210" s="228">
        <v>30.59</v>
      </c>
      <c r="DC210" s="228">
        <v>-1.1399999999999999</v>
      </c>
      <c r="DD210" s="228">
        <v>-1.1399999999999999</v>
      </c>
      <c r="DE210" s="228">
        <v>29.59</v>
      </c>
      <c r="DF210" s="228">
        <v>29.66</v>
      </c>
      <c r="DG210" s="228">
        <v>-0.14000000000000001</v>
      </c>
      <c r="DH210" s="228">
        <v>-7.0000000000000007E-2</v>
      </c>
      <c r="DI210" s="228">
        <v>29.22</v>
      </c>
      <c r="DJ210" s="228">
        <v>30.46</v>
      </c>
      <c r="DK210" s="228">
        <v>-1.24</v>
      </c>
      <c r="DL210" s="228">
        <v>-1.24</v>
      </c>
      <c r="DM210" s="228">
        <v>30.28</v>
      </c>
      <c r="DN210" s="228">
        <v>30.88</v>
      </c>
      <c r="DO210" s="228">
        <v>-0.6</v>
      </c>
      <c r="DP210" s="228">
        <v>-0.6</v>
      </c>
      <c r="DQ210" s="228">
        <v>0.61</v>
      </c>
      <c r="DR210" s="228">
        <v>0.65</v>
      </c>
      <c r="DS210" s="228">
        <v>-0.04</v>
      </c>
      <c r="DT210" s="229">
        <v>-6.1499999999999999E-2</v>
      </c>
      <c r="DU210" s="231">
        <v>1400</v>
      </c>
      <c r="DV210" s="231">
        <v>1400</v>
      </c>
      <c r="DW210" s="228">
        <v>0.28000000000000003</v>
      </c>
      <c r="DX210" s="228">
        <v>0.45</v>
      </c>
      <c r="DY210" s="228">
        <v>-0.17</v>
      </c>
      <c r="DZ210" s="229">
        <v>-0.37780000000000002</v>
      </c>
      <c r="EA210" s="229">
        <v>1.8599999999999998E-2</v>
      </c>
      <c r="EB210" s="230">
        <v>212400</v>
      </c>
      <c r="EC210" s="229">
        <v>5.7000000000000002E-3</v>
      </c>
      <c r="ED210" s="229">
        <v>1.8599999999999998E-2</v>
      </c>
      <c r="EE210" s="228">
        <v>5.09</v>
      </c>
      <c r="EF210" s="229">
        <v>4.1000000000000003E-3</v>
      </c>
      <c r="EG210" s="230">
        <v>813900</v>
      </c>
      <c r="EH210" s="230">
        <v>491978</v>
      </c>
      <c r="EI210" s="229">
        <v>0.65429999999999999</v>
      </c>
      <c r="EJ210" s="229">
        <v>0.67230000000000001</v>
      </c>
      <c r="EK210" s="228">
        <v>220</v>
      </c>
      <c r="EL210" s="228">
        <v>58.25</v>
      </c>
      <c r="EM210" s="228">
        <v>122.1</v>
      </c>
      <c r="EN210" s="228">
        <v>28.53</v>
      </c>
      <c r="EO210" s="228">
        <v>400.36</v>
      </c>
      <c r="EP210" s="228">
        <v>584.47</v>
      </c>
      <c r="EQ210" s="228">
        <v>-184.11</v>
      </c>
      <c r="ER210" s="229">
        <v>-0.315</v>
      </c>
      <c r="ES210" s="228">
        <v>487.21</v>
      </c>
      <c r="ET210" s="228">
        <v>279.69</v>
      </c>
      <c r="EU210" s="231">
        <v>1610.19</v>
      </c>
      <c r="EV210" s="231">
        <v>38847259</v>
      </c>
      <c r="EW210" s="231">
        <v>2377.1</v>
      </c>
      <c r="EX210" s="231">
        <v>2290.02</v>
      </c>
      <c r="EY210" s="228">
        <v>87.08</v>
      </c>
      <c r="EZ210" s="229">
        <v>3.7999999999999999E-2</v>
      </c>
      <c r="FA210" s="229">
        <v>0.48010000000000003</v>
      </c>
      <c r="FB210" s="227" t="s">
        <v>555</v>
      </c>
      <c r="FC210">
        <f t="shared" si="4"/>
        <v>0</v>
      </c>
    </row>
    <row r="211" spans="1:159" ht="17.25" thickBot="1" x14ac:dyDescent="0.3">
      <c r="A211" s="226">
        <v>46121</v>
      </c>
      <c r="B211" s="227" t="s">
        <v>162</v>
      </c>
      <c r="C211" s="227" t="s">
        <v>672</v>
      </c>
      <c r="D211" s="228">
        <v>550</v>
      </c>
      <c r="E211" s="228">
        <v>19</v>
      </c>
      <c r="F211" s="231">
        <v>1056.4000000000001</v>
      </c>
      <c r="G211" s="231">
        <v>1096.2</v>
      </c>
      <c r="H211" s="228">
        <v>-39.799999999999997</v>
      </c>
      <c r="I211" s="229">
        <v>-3.6299999999999999E-2</v>
      </c>
      <c r="J211" s="231">
        <v>1054.5999999999999</v>
      </c>
      <c r="K211" s="231">
        <v>1090.2</v>
      </c>
      <c r="L211" s="228">
        <v>-35.6</v>
      </c>
      <c r="M211" s="229">
        <v>-3.27E-2</v>
      </c>
      <c r="N211" s="231">
        <v>1056.4000000000001</v>
      </c>
      <c r="O211" s="231">
        <v>1096.2</v>
      </c>
      <c r="P211" s="228">
        <v>-39.799999999999997</v>
      </c>
      <c r="Q211" s="229">
        <v>-3.6299999999999999E-2</v>
      </c>
      <c r="R211" s="231">
        <v>1061</v>
      </c>
      <c r="S211" s="231">
        <v>1099.3</v>
      </c>
      <c r="T211" s="228">
        <v>-38.299999999999997</v>
      </c>
      <c r="U211" s="229">
        <v>-3.4799999999999998E-2</v>
      </c>
      <c r="V211" s="231">
        <v>1064</v>
      </c>
      <c r="W211" s="231">
        <v>1105.3</v>
      </c>
      <c r="X211" s="228">
        <v>-41.3</v>
      </c>
      <c r="Y211" s="229">
        <v>-3.7400000000000003E-2</v>
      </c>
      <c r="Z211" s="228">
        <v>1.8</v>
      </c>
      <c r="AA211" s="228">
        <v>6</v>
      </c>
      <c r="AB211" s="228">
        <v>-4.2</v>
      </c>
      <c r="AC211" s="229">
        <v>1.6999999999999999E-3</v>
      </c>
      <c r="AD211" s="228">
        <v>1.8</v>
      </c>
      <c r="AE211" s="228">
        <v>6</v>
      </c>
      <c r="AF211" s="228">
        <v>-4.2</v>
      </c>
      <c r="AG211" s="229">
        <v>1.6999999999999999E-3</v>
      </c>
      <c r="AH211" s="228">
        <v>6.4</v>
      </c>
      <c r="AI211" s="228">
        <v>9.1</v>
      </c>
      <c r="AJ211" s="228">
        <v>-2.7</v>
      </c>
      <c r="AK211" s="229">
        <v>6.1000000000000004E-3</v>
      </c>
      <c r="AL211" s="228">
        <v>9.4</v>
      </c>
      <c r="AM211" s="228">
        <v>15.1</v>
      </c>
      <c r="AN211" s="228">
        <v>-5.7</v>
      </c>
      <c r="AO211" s="229">
        <v>8.8999999999999999E-3</v>
      </c>
      <c r="AP211" s="231">
        <v>1064.29</v>
      </c>
      <c r="AQ211" s="231">
        <v>1070.8399999999999</v>
      </c>
      <c r="AR211" s="228">
        <v>0</v>
      </c>
      <c r="AS211" s="228">
        <v>121</v>
      </c>
      <c r="AT211" s="228">
        <v>92</v>
      </c>
      <c r="AU211" s="228">
        <v>29</v>
      </c>
      <c r="AV211" s="229">
        <v>0.309</v>
      </c>
      <c r="AW211" s="228">
        <v>118</v>
      </c>
      <c r="AX211" s="228">
        <v>89</v>
      </c>
      <c r="AY211" s="228">
        <v>29</v>
      </c>
      <c r="AZ211" s="229">
        <v>0.32850000000000001</v>
      </c>
      <c r="BA211" s="228">
        <v>3</v>
      </c>
      <c r="BB211" s="228">
        <v>4</v>
      </c>
      <c r="BC211" s="228">
        <v>-1</v>
      </c>
      <c r="BD211" s="229">
        <v>-0.19350000000000001</v>
      </c>
      <c r="BE211" s="228">
        <v>0</v>
      </c>
      <c r="BF211" s="228">
        <v>0</v>
      </c>
      <c r="BG211" s="228">
        <v>0</v>
      </c>
      <c r="BH211" s="229">
        <v>0.6</v>
      </c>
      <c r="BI211" s="228">
        <v>104</v>
      </c>
      <c r="BJ211" s="228">
        <v>195</v>
      </c>
      <c r="BK211" s="228">
        <v>-90</v>
      </c>
      <c r="BL211" s="229">
        <v>-0.46510000000000001</v>
      </c>
      <c r="BM211" s="228">
        <v>58</v>
      </c>
      <c r="BN211" s="228">
        <v>58</v>
      </c>
      <c r="BO211" s="228">
        <v>1</v>
      </c>
      <c r="BP211" s="229">
        <v>9.1000000000000004E-3</v>
      </c>
      <c r="BQ211" s="228">
        <v>283</v>
      </c>
      <c r="BR211" s="228">
        <v>345</v>
      </c>
      <c r="BS211" s="228">
        <v>-61</v>
      </c>
      <c r="BT211" s="229">
        <v>-0.17799999999999999</v>
      </c>
      <c r="BU211" s="230">
        <v>829825</v>
      </c>
      <c r="BV211" s="230">
        <v>1436414</v>
      </c>
      <c r="BW211" s="230">
        <v>-606589</v>
      </c>
      <c r="BX211" s="229">
        <v>-0.42230000000000001</v>
      </c>
      <c r="BY211" s="228">
        <v>526</v>
      </c>
      <c r="BZ211" s="228">
        <v>539</v>
      </c>
      <c r="CA211" s="228">
        <v>-13</v>
      </c>
      <c r="CB211" s="229">
        <v>-2.4199999999999999E-2</v>
      </c>
      <c r="CC211" s="228">
        <v>521</v>
      </c>
      <c r="CD211" s="228">
        <v>535</v>
      </c>
      <c r="CE211" s="228">
        <v>-14</v>
      </c>
      <c r="CF211" s="229">
        <v>-2.64E-2</v>
      </c>
      <c r="CG211" s="228">
        <v>5</v>
      </c>
      <c r="CH211" s="228">
        <v>4</v>
      </c>
      <c r="CI211" s="228">
        <v>1</v>
      </c>
      <c r="CJ211" s="229">
        <v>0.17910000000000001</v>
      </c>
      <c r="CK211" s="228">
        <v>1</v>
      </c>
      <c r="CL211" s="228">
        <v>0</v>
      </c>
      <c r="CM211" s="228">
        <v>0</v>
      </c>
      <c r="CN211" s="229">
        <v>0.85709999999999997</v>
      </c>
      <c r="CO211" s="228">
        <v>134</v>
      </c>
      <c r="CP211" s="228">
        <v>111</v>
      </c>
      <c r="CQ211" s="228">
        <v>22</v>
      </c>
      <c r="CR211" s="229">
        <v>0.2006</v>
      </c>
      <c r="CS211" s="228">
        <v>67</v>
      </c>
      <c r="CT211" s="228">
        <v>55</v>
      </c>
      <c r="CU211" s="228">
        <v>12</v>
      </c>
      <c r="CV211" s="229">
        <v>0.21709999999999999</v>
      </c>
      <c r="CW211" s="228">
        <v>727</v>
      </c>
      <c r="CX211" s="228">
        <v>706</v>
      </c>
      <c r="CY211" s="228">
        <v>21</v>
      </c>
      <c r="CZ211" s="229">
        <v>0.03</v>
      </c>
      <c r="DA211" s="228">
        <v>43.42</v>
      </c>
      <c r="DB211" s="228">
        <v>40.72</v>
      </c>
      <c r="DC211" s="228">
        <v>2.7</v>
      </c>
      <c r="DD211" s="228">
        <v>2.7</v>
      </c>
      <c r="DE211" s="228">
        <v>43.26</v>
      </c>
      <c r="DF211" s="228">
        <v>43.07</v>
      </c>
      <c r="DG211" s="228">
        <v>0.16</v>
      </c>
      <c r="DH211" s="228">
        <v>0.19</v>
      </c>
      <c r="DI211" s="228">
        <v>41.4</v>
      </c>
      <c r="DJ211" s="228">
        <v>40.42</v>
      </c>
      <c r="DK211" s="228">
        <v>0.98</v>
      </c>
      <c r="DL211" s="228">
        <v>0.98</v>
      </c>
      <c r="DM211" s="228">
        <v>47.03</v>
      </c>
      <c r="DN211" s="228">
        <v>41.76</v>
      </c>
      <c r="DO211" s="228">
        <v>5.27</v>
      </c>
      <c r="DP211" s="228">
        <v>5.27</v>
      </c>
      <c r="DQ211" s="228">
        <v>0.5</v>
      </c>
      <c r="DR211" s="228">
        <v>0.5</v>
      </c>
      <c r="DS211" s="228">
        <v>0</v>
      </c>
      <c r="DT211" s="229">
        <v>0</v>
      </c>
      <c r="DU211" s="231">
        <v>1300</v>
      </c>
      <c r="DV211" s="231">
        <v>1100</v>
      </c>
      <c r="DW211" s="228">
        <v>0.56000000000000005</v>
      </c>
      <c r="DX211" s="228">
        <v>0.3</v>
      </c>
      <c r="DY211" s="228">
        <v>0.26</v>
      </c>
      <c r="DZ211" s="229">
        <v>0.86670000000000003</v>
      </c>
      <c r="EA211" s="229">
        <v>1.0200000000000001E-2</v>
      </c>
      <c r="EB211" s="230">
        <v>40700</v>
      </c>
      <c r="EC211" s="229">
        <v>4.4000000000000003E-3</v>
      </c>
      <c r="ED211" s="229">
        <v>1.0200000000000001E-2</v>
      </c>
      <c r="EE211" s="228">
        <v>6.55</v>
      </c>
      <c r="EF211" s="229">
        <v>6.1999999999999998E-3</v>
      </c>
      <c r="EG211" s="230">
        <v>401565</v>
      </c>
      <c r="EH211" s="230">
        <v>808774</v>
      </c>
      <c r="EI211" s="229">
        <v>-0.50349999999999995</v>
      </c>
      <c r="EJ211" s="229">
        <v>0.4839</v>
      </c>
      <c r="EK211" s="228">
        <v>114.09</v>
      </c>
      <c r="EL211" s="228">
        <v>56.5</v>
      </c>
      <c r="EM211" s="228">
        <v>122.01</v>
      </c>
      <c r="EN211" s="228">
        <v>15.12</v>
      </c>
      <c r="EO211" s="228">
        <v>292.60000000000002</v>
      </c>
      <c r="EP211" s="228">
        <v>372.51</v>
      </c>
      <c r="EQ211" s="228">
        <v>-79.91</v>
      </c>
      <c r="ER211" s="229">
        <v>-0.2145</v>
      </c>
      <c r="ES211" s="228">
        <v>147.69</v>
      </c>
      <c r="ET211" s="228">
        <v>66.239999999999995</v>
      </c>
      <c r="EU211" s="228">
        <v>526.37</v>
      </c>
      <c r="EV211" s="231">
        <v>27343613</v>
      </c>
      <c r="EW211" s="228">
        <v>740.3</v>
      </c>
      <c r="EX211" s="228">
        <v>738.29</v>
      </c>
      <c r="EY211" s="228">
        <v>2.0099999999999998</v>
      </c>
      <c r="EZ211" s="229">
        <v>2.7000000000000001E-3</v>
      </c>
      <c r="FA211" s="229">
        <v>0.25169999999999998</v>
      </c>
      <c r="FB211" s="227" t="s">
        <v>567</v>
      </c>
      <c r="FC211">
        <f t="shared" si="4"/>
        <v>0</v>
      </c>
    </row>
    <row r="212" spans="1:159" ht="17.25" thickBot="1" x14ac:dyDescent="0.3">
      <c r="A212" s="226">
        <v>46121</v>
      </c>
      <c r="B212" s="227" t="s">
        <v>498</v>
      </c>
      <c r="C212" s="227" t="s">
        <v>303</v>
      </c>
      <c r="D212" s="228">
        <v>1355</v>
      </c>
      <c r="E212" s="228">
        <v>19</v>
      </c>
      <c r="F212" s="228">
        <v>645.4</v>
      </c>
      <c r="G212" s="228">
        <v>642.70000000000005</v>
      </c>
      <c r="H212" s="228">
        <v>2.7</v>
      </c>
      <c r="I212" s="229">
        <v>4.1999999999999997E-3</v>
      </c>
      <c r="J212" s="228">
        <v>642</v>
      </c>
      <c r="K212" s="228">
        <v>640.25</v>
      </c>
      <c r="L212" s="228">
        <v>1.75</v>
      </c>
      <c r="M212" s="229">
        <v>2.7000000000000001E-3</v>
      </c>
      <c r="N212" s="228">
        <v>645.4</v>
      </c>
      <c r="O212" s="228">
        <v>642.70000000000005</v>
      </c>
      <c r="P212" s="228">
        <v>2.7</v>
      </c>
      <c r="Q212" s="229">
        <v>4.1999999999999997E-3</v>
      </c>
      <c r="R212" s="228">
        <v>648.25</v>
      </c>
      <c r="S212" s="228">
        <v>644.85</v>
      </c>
      <c r="T212" s="228">
        <v>3.4</v>
      </c>
      <c r="U212" s="229">
        <v>5.3E-3</v>
      </c>
      <c r="V212" s="228">
        <v>649.9</v>
      </c>
      <c r="W212" s="228">
        <v>646.75</v>
      </c>
      <c r="X212" s="228">
        <v>3.15</v>
      </c>
      <c r="Y212" s="229">
        <v>4.8999999999999998E-3</v>
      </c>
      <c r="Z212" s="228">
        <v>3.4</v>
      </c>
      <c r="AA212" s="228">
        <v>2.4500000000000002</v>
      </c>
      <c r="AB212" s="228">
        <v>0.95</v>
      </c>
      <c r="AC212" s="229">
        <v>5.3E-3</v>
      </c>
      <c r="AD212" s="228">
        <v>3.4</v>
      </c>
      <c r="AE212" s="228">
        <v>2.4500000000000002</v>
      </c>
      <c r="AF212" s="228">
        <v>0.95</v>
      </c>
      <c r="AG212" s="229">
        <v>5.3E-3</v>
      </c>
      <c r="AH212" s="228">
        <v>6.25</v>
      </c>
      <c r="AI212" s="228">
        <v>4.5999999999999996</v>
      </c>
      <c r="AJ212" s="228">
        <v>1.65</v>
      </c>
      <c r="AK212" s="229">
        <v>9.7000000000000003E-3</v>
      </c>
      <c r="AL212" s="228">
        <v>7.9</v>
      </c>
      <c r="AM212" s="228">
        <v>6.5</v>
      </c>
      <c r="AN212" s="228">
        <v>1.4</v>
      </c>
      <c r="AO212" s="229">
        <v>1.23E-2</v>
      </c>
      <c r="AP212" s="228">
        <v>646.02</v>
      </c>
      <c r="AQ212" s="228">
        <v>647.04</v>
      </c>
      <c r="AR212" s="228">
        <v>0</v>
      </c>
      <c r="AS212" s="228">
        <v>263</v>
      </c>
      <c r="AT212" s="228">
        <v>299</v>
      </c>
      <c r="AU212" s="228">
        <v>-36</v>
      </c>
      <c r="AV212" s="229">
        <v>-0.1198</v>
      </c>
      <c r="AW212" s="228">
        <v>235</v>
      </c>
      <c r="AX212" s="228">
        <v>277</v>
      </c>
      <c r="AY212" s="228">
        <v>-42</v>
      </c>
      <c r="AZ212" s="229">
        <v>-0.152</v>
      </c>
      <c r="BA212" s="228">
        <v>24</v>
      </c>
      <c r="BB212" s="228">
        <v>18</v>
      </c>
      <c r="BC212" s="228">
        <v>7</v>
      </c>
      <c r="BD212" s="229">
        <v>0.37309999999999999</v>
      </c>
      <c r="BE212" s="228">
        <v>4</v>
      </c>
      <c r="BF212" s="228">
        <v>4</v>
      </c>
      <c r="BG212" s="228">
        <v>0</v>
      </c>
      <c r="BH212" s="229">
        <v>-6.1199999999999997E-2</v>
      </c>
      <c r="BI212" s="228">
        <v>548</v>
      </c>
      <c r="BJ212" s="228">
        <v>823</v>
      </c>
      <c r="BK212" s="228">
        <v>-275</v>
      </c>
      <c r="BL212" s="229">
        <v>-0.33389999999999997</v>
      </c>
      <c r="BM212" s="228">
        <v>271</v>
      </c>
      <c r="BN212" s="228">
        <v>333</v>
      </c>
      <c r="BO212" s="228">
        <v>-63</v>
      </c>
      <c r="BP212" s="229">
        <v>-0.18759999999999999</v>
      </c>
      <c r="BQ212" s="230">
        <v>1082</v>
      </c>
      <c r="BR212" s="230">
        <v>1455</v>
      </c>
      <c r="BS212" s="228">
        <v>-373</v>
      </c>
      <c r="BT212" s="229">
        <v>-0.25640000000000002</v>
      </c>
      <c r="BU212" s="230">
        <v>2945637</v>
      </c>
      <c r="BV212" s="230">
        <v>3286736</v>
      </c>
      <c r="BW212" s="230">
        <v>-341099</v>
      </c>
      <c r="BX212" s="229">
        <v>-0.1038</v>
      </c>
      <c r="BY212" s="230">
        <v>1896</v>
      </c>
      <c r="BZ212" s="230">
        <v>1871</v>
      </c>
      <c r="CA212" s="228">
        <v>25</v>
      </c>
      <c r="CB212" s="229">
        <v>1.32E-2</v>
      </c>
      <c r="CC212" s="230">
        <v>1854</v>
      </c>
      <c r="CD212" s="230">
        <v>1828</v>
      </c>
      <c r="CE212" s="228">
        <v>26</v>
      </c>
      <c r="CF212" s="229">
        <v>1.44E-2</v>
      </c>
      <c r="CG212" s="228">
        <v>40</v>
      </c>
      <c r="CH212" s="228">
        <v>40</v>
      </c>
      <c r="CI212" s="228">
        <v>0</v>
      </c>
      <c r="CJ212" s="229">
        <v>-8.6999999999999994E-3</v>
      </c>
      <c r="CK212" s="228">
        <v>2</v>
      </c>
      <c r="CL212" s="228">
        <v>3</v>
      </c>
      <c r="CM212" s="228">
        <v>-1</v>
      </c>
      <c r="CN212" s="229">
        <v>-0.4</v>
      </c>
      <c r="CO212" s="228">
        <v>600</v>
      </c>
      <c r="CP212" s="228">
        <v>591</v>
      </c>
      <c r="CQ212" s="228">
        <v>10</v>
      </c>
      <c r="CR212" s="229">
        <v>1.6299999999999999E-2</v>
      </c>
      <c r="CS212" s="228">
        <v>413</v>
      </c>
      <c r="CT212" s="228">
        <v>392</v>
      </c>
      <c r="CU212" s="228">
        <v>21</v>
      </c>
      <c r="CV212" s="229">
        <v>5.4699999999999999E-2</v>
      </c>
      <c r="CW212" s="230">
        <v>2909</v>
      </c>
      <c r="CX212" s="230">
        <v>2854</v>
      </c>
      <c r="CY212" s="228">
        <v>56</v>
      </c>
      <c r="CZ212" s="229">
        <v>1.9599999999999999E-2</v>
      </c>
      <c r="DA212" s="228">
        <v>35.42</v>
      </c>
      <c r="DB212" s="228">
        <v>36.21</v>
      </c>
      <c r="DC212" s="228">
        <v>-0.79</v>
      </c>
      <c r="DD212" s="228">
        <v>-0.79</v>
      </c>
      <c r="DE212" s="228">
        <v>42.31</v>
      </c>
      <c r="DF212" s="228">
        <v>42.41</v>
      </c>
      <c r="DG212" s="228">
        <v>-6.89</v>
      </c>
      <c r="DH212" s="228">
        <v>-0.1</v>
      </c>
      <c r="DI212" s="228">
        <v>34.82</v>
      </c>
      <c r="DJ212" s="228">
        <v>35.159999999999997</v>
      </c>
      <c r="DK212" s="228">
        <v>-0.34</v>
      </c>
      <c r="DL212" s="228">
        <v>-0.34</v>
      </c>
      <c r="DM212" s="228">
        <v>36.630000000000003</v>
      </c>
      <c r="DN212" s="228">
        <v>38.799999999999997</v>
      </c>
      <c r="DO212" s="228">
        <v>-2.17</v>
      </c>
      <c r="DP212" s="228">
        <v>-2.17</v>
      </c>
      <c r="DQ212" s="228">
        <v>0.69</v>
      </c>
      <c r="DR212" s="228">
        <v>0.66</v>
      </c>
      <c r="DS212" s="228">
        <v>0.03</v>
      </c>
      <c r="DT212" s="229">
        <v>4.5499999999999999E-2</v>
      </c>
      <c r="DU212" s="228">
        <v>640</v>
      </c>
      <c r="DV212" s="228">
        <v>600</v>
      </c>
      <c r="DW212" s="228">
        <v>0.49</v>
      </c>
      <c r="DX212" s="228">
        <v>0.41</v>
      </c>
      <c r="DY212" s="228">
        <v>0.08</v>
      </c>
      <c r="DZ212" s="229">
        <v>0.1951</v>
      </c>
      <c r="EA212" s="229">
        <v>2.2100000000000002E-2</v>
      </c>
      <c r="EB212" s="230">
        <v>673435</v>
      </c>
      <c r="EC212" s="229">
        <v>4.4000000000000003E-3</v>
      </c>
      <c r="ED212" s="229">
        <v>2.2100000000000002E-2</v>
      </c>
      <c r="EE212" s="228">
        <v>1.02</v>
      </c>
      <c r="EF212" s="229">
        <v>1.6000000000000001E-3</v>
      </c>
      <c r="EG212" s="230">
        <v>1311195</v>
      </c>
      <c r="EH212" s="230">
        <v>1877625</v>
      </c>
      <c r="EI212" s="229">
        <v>-0.30170000000000002</v>
      </c>
      <c r="EJ212" s="229">
        <v>0.4451</v>
      </c>
      <c r="EK212" s="228">
        <v>573.88</v>
      </c>
      <c r="EL212" s="228">
        <v>268.72000000000003</v>
      </c>
      <c r="EM212" s="228">
        <v>263.19</v>
      </c>
      <c r="EN212" s="228">
        <v>23.63</v>
      </c>
      <c r="EO212" s="231">
        <v>1105.79</v>
      </c>
      <c r="EP212" s="231">
        <v>1466.38</v>
      </c>
      <c r="EQ212" s="228">
        <v>-360.58</v>
      </c>
      <c r="ER212" s="229">
        <v>-0.24590000000000001</v>
      </c>
      <c r="ES212" s="228">
        <v>589.49</v>
      </c>
      <c r="ET212" s="228">
        <v>389.21</v>
      </c>
      <c r="EU212" s="231">
        <v>1896.06</v>
      </c>
      <c r="EV212" s="231">
        <v>84189026</v>
      </c>
      <c r="EW212" s="231">
        <v>2874.76</v>
      </c>
      <c r="EX212" s="231">
        <v>2808.25</v>
      </c>
      <c r="EY212" s="228">
        <v>66.510000000000005</v>
      </c>
      <c r="EZ212" s="229">
        <v>2.3699999999999999E-2</v>
      </c>
      <c r="FA212" s="229">
        <v>0.53549999999999998</v>
      </c>
      <c r="FB212" s="227" t="s">
        <v>555</v>
      </c>
      <c r="FC212">
        <f t="shared" si="4"/>
        <v>0</v>
      </c>
    </row>
    <row r="213" spans="1:159" ht="17.25" thickBot="1" x14ac:dyDescent="0.3">
      <c r="A213" s="226">
        <v>46121</v>
      </c>
      <c r="B213" s="227" t="s">
        <v>168</v>
      </c>
      <c r="C213" s="227" t="s">
        <v>585</v>
      </c>
      <c r="D213" s="228">
        <v>1125</v>
      </c>
      <c r="E213" s="228">
        <v>19</v>
      </c>
      <c r="F213" s="228">
        <v>425.05</v>
      </c>
      <c r="G213" s="228">
        <v>423.45</v>
      </c>
      <c r="H213" s="228">
        <v>1.6</v>
      </c>
      <c r="I213" s="229">
        <v>3.8E-3</v>
      </c>
      <c r="J213" s="228">
        <v>422.9</v>
      </c>
      <c r="K213" s="228">
        <v>421.9</v>
      </c>
      <c r="L213" s="228">
        <v>1</v>
      </c>
      <c r="M213" s="229">
        <v>2.3999999999999998E-3</v>
      </c>
      <c r="N213" s="228">
        <v>425.05</v>
      </c>
      <c r="O213" s="228">
        <v>423.45</v>
      </c>
      <c r="P213" s="228">
        <v>1.6</v>
      </c>
      <c r="Q213" s="229">
        <v>3.8E-3</v>
      </c>
      <c r="R213" s="228">
        <v>427.2</v>
      </c>
      <c r="S213" s="228">
        <v>425.95</v>
      </c>
      <c r="T213" s="228">
        <v>1.25</v>
      </c>
      <c r="U213" s="229">
        <v>2.8999999999999998E-3</v>
      </c>
      <c r="V213" s="228">
        <v>430</v>
      </c>
      <c r="W213" s="228">
        <v>428</v>
      </c>
      <c r="X213" s="228">
        <v>2</v>
      </c>
      <c r="Y213" s="229">
        <v>4.7000000000000002E-3</v>
      </c>
      <c r="Z213" s="228">
        <v>2.15</v>
      </c>
      <c r="AA213" s="228">
        <v>1.55</v>
      </c>
      <c r="AB213" s="228">
        <v>0.6</v>
      </c>
      <c r="AC213" s="229">
        <v>5.1000000000000004E-3</v>
      </c>
      <c r="AD213" s="228">
        <v>2.15</v>
      </c>
      <c r="AE213" s="228">
        <v>1.55</v>
      </c>
      <c r="AF213" s="228">
        <v>0.6</v>
      </c>
      <c r="AG213" s="229">
        <v>5.1000000000000004E-3</v>
      </c>
      <c r="AH213" s="228">
        <v>4.3</v>
      </c>
      <c r="AI213" s="228">
        <v>4.05</v>
      </c>
      <c r="AJ213" s="228">
        <v>0.25</v>
      </c>
      <c r="AK213" s="229">
        <v>1.0200000000000001E-2</v>
      </c>
      <c r="AL213" s="228">
        <v>7.1</v>
      </c>
      <c r="AM213" s="228">
        <v>6.1</v>
      </c>
      <c r="AN213" s="228">
        <v>1</v>
      </c>
      <c r="AO213" s="229">
        <v>1.6799999999999999E-2</v>
      </c>
      <c r="AP213" s="228">
        <v>425.78</v>
      </c>
      <c r="AQ213" s="228">
        <v>427.29</v>
      </c>
      <c r="AR213" s="228">
        <v>0</v>
      </c>
      <c r="AS213" s="228">
        <v>246</v>
      </c>
      <c r="AT213" s="228">
        <v>354</v>
      </c>
      <c r="AU213" s="228">
        <v>-107</v>
      </c>
      <c r="AV213" s="229">
        <v>-0.30370000000000003</v>
      </c>
      <c r="AW213" s="228">
        <v>229</v>
      </c>
      <c r="AX213" s="228">
        <v>325</v>
      </c>
      <c r="AY213" s="228">
        <v>-96</v>
      </c>
      <c r="AZ213" s="229">
        <v>-0.29430000000000001</v>
      </c>
      <c r="BA213" s="228">
        <v>15</v>
      </c>
      <c r="BB213" s="228">
        <v>27</v>
      </c>
      <c r="BC213" s="228">
        <v>-11</v>
      </c>
      <c r="BD213" s="229">
        <v>-0.42270000000000002</v>
      </c>
      <c r="BE213" s="228">
        <v>2</v>
      </c>
      <c r="BF213" s="228">
        <v>2</v>
      </c>
      <c r="BG213" s="228">
        <v>-1</v>
      </c>
      <c r="BH213" s="229">
        <v>-0.25</v>
      </c>
      <c r="BI213" s="228">
        <v>414</v>
      </c>
      <c r="BJ213" s="228">
        <v>592</v>
      </c>
      <c r="BK213" s="228">
        <v>-178</v>
      </c>
      <c r="BL213" s="229">
        <v>-0.30130000000000001</v>
      </c>
      <c r="BM213" s="228">
        <v>179</v>
      </c>
      <c r="BN213" s="228">
        <v>296</v>
      </c>
      <c r="BO213" s="228">
        <v>-117</v>
      </c>
      <c r="BP213" s="229">
        <v>-0.39410000000000001</v>
      </c>
      <c r="BQ213" s="228">
        <v>839</v>
      </c>
      <c r="BR213" s="230">
        <v>1242</v>
      </c>
      <c r="BS213" s="228">
        <v>-402</v>
      </c>
      <c r="BT213" s="229">
        <v>-0.3241</v>
      </c>
      <c r="BU213" s="230">
        <v>6135952</v>
      </c>
      <c r="BV213" s="230">
        <v>7148674</v>
      </c>
      <c r="BW213" s="230">
        <v>-1012722</v>
      </c>
      <c r="BX213" s="229">
        <v>-0.14169999999999999</v>
      </c>
      <c r="BY213" s="230">
        <v>1943</v>
      </c>
      <c r="BZ213" s="230">
        <v>1880</v>
      </c>
      <c r="CA213" s="228">
        <v>64</v>
      </c>
      <c r="CB213" s="229">
        <v>3.3799999999999997E-2</v>
      </c>
      <c r="CC213" s="230">
        <v>1895</v>
      </c>
      <c r="CD213" s="230">
        <v>1829</v>
      </c>
      <c r="CE213" s="228">
        <v>66</v>
      </c>
      <c r="CF213" s="229">
        <v>3.5999999999999997E-2</v>
      </c>
      <c r="CG213" s="228">
        <v>42</v>
      </c>
      <c r="CH213" s="228">
        <v>45</v>
      </c>
      <c r="CI213" s="228">
        <v>-3</v>
      </c>
      <c r="CJ213" s="229">
        <v>-6.4299999999999996E-2</v>
      </c>
      <c r="CK213" s="228">
        <v>6</v>
      </c>
      <c r="CL213" s="228">
        <v>5</v>
      </c>
      <c r="CM213" s="228">
        <v>0</v>
      </c>
      <c r="CN213" s="229">
        <v>9.2600000000000002E-2</v>
      </c>
      <c r="CO213" s="228">
        <v>436</v>
      </c>
      <c r="CP213" s="228">
        <v>448</v>
      </c>
      <c r="CQ213" s="228">
        <v>-12</v>
      </c>
      <c r="CR213" s="229">
        <v>-2.75E-2</v>
      </c>
      <c r="CS213" s="228">
        <v>300</v>
      </c>
      <c r="CT213" s="228">
        <v>294</v>
      </c>
      <c r="CU213" s="228">
        <v>6</v>
      </c>
      <c r="CV213" s="229">
        <v>1.9199999999999998E-2</v>
      </c>
      <c r="CW213" s="230">
        <v>2679</v>
      </c>
      <c r="CX213" s="230">
        <v>2622</v>
      </c>
      <c r="CY213" s="228">
        <v>57</v>
      </c>
      <c r="CZ213" s="229">
        <v>2.1700000000000001E-2</v>
      </c>
      <c r="DA213" s="228">
        <v>34.04</v>
      </c>
      <c r="DB213" s="228">
        <v>34.159999999999997</v>
      </c>
      <c r="DC213" s="228">
        <v>-0.12</v>
      </c>
      <c r="DD213" s="228">
        <v>-0.12</v>
      </c>
      <c r="DE213" s="228">
        <v>37.96</v>
      </c>
      <c r="DF213" s="228">
        <v>38.06</v>
      </c>
      <c r="DG213" s="228">
        <v>-3.92</v>
      </c>
      <c r="DH213" s="228">
        <v>-0.1</v>
      </c>
      <c r="DI213" s="228">
        <v>33.85</v>
      </c>
      <c r="DJ213" s="228">
        <v>33.65</v>
      </c>
      <c r="DK213" s="228">
        <v>0.2</v>
      </c>
      <c r="DL213" s="228">
        <v>0.2</v>
      </c>
      <c r="DM213" s="228">
        <v>34.479999999999997</v>
      </c>
      <c r="DN213" s="228">
        <v>35.159999999999997</v>
      </c>
      <c r="DO213" s="228">
        <v>-0.68</v>
      </c>
      <c r="DP213" s="228">
        <v>-0.68</v>
      </c>
      <c r="DQ213" s="228">
        <v>0.69</v>
      </c>
      <c r="DR213" s="228">
        <v>0.66</v>
      </c>
      <c r="DS213" s="228">
        <v>0.03</v>
      </c>
      <c r="DT213" s="229">
        <v>4.5499999999999999E-2</v>
      </c>
      <c r="DU213" s="228">
        <v>500</v>
      </c>
      <c r="DV213" s="228">
        <v>420</v>
      </c>
      <c r="DW213" s="228">
        <v>0.43</v>
      </c>
      <c r="DX213" s="228">
        <v>0.5</v>
      </c>
      <c r="DY213" s="228">
        <v>-7.0000000000000007E-2</v>
      </c>
      <c r="DZ213" s="229">
        <v>-0.14000000000000001</v>
      </c>
      <c r="EA213" s="229">
        <v>2.47E-2</v>
      </c>
      <c r="EB213" s="230">
        <v>1188000</v>
      </c>
      <c r="EC213" s="229">
        <v>5.1000000000000004E-3</v>
      </c>
      <c r="ED213" s="229">
        <v>2.47E-2</v>
      </c>
      <c r="EE213" s="228">
        <v>1.51</v>
      </c>
      <c r="EF213" s="229">
        <v>3.5000000000000001E-3</v>
      </c>
      <c r="EG213" s="230">
        <v>2811101</v>
      </c>
      <c r="EH213" s="230">
        <v>3442625</v>
      </c>
      <c r="EI213" s="229">
        <v>-0.18340000000000001</v>
      </c>
      <c r="EJ213" s="229">
        <v>0.45810000000000001</v>
      </c>
      <c r="EK213" s="228">
        <v>436.8</v>
      </c>
      <c r="EL213" s="228">
        <v>178.87</v>
      </c>
      <c r="EM213" s="228">
        <v>246.85</v>
      </c>
      <c r="EN213" s="228">
        <v>45.09</v>
      </c>
      <c r="EO213" s="228">
        <v>862.52</v>
      </c>
      <c r="EP213" s="231">
        <v>1262.7</v>
      </c>
      <c r="EQ213" s="228">
        <v>-400.18</v>
      </c>
      <c r="ER213" s="229">
        <v>-0.31690000000000002</v>
      </c>
      <c r="ES213" s="228">
        <v>453.05</v>
      </c>
      <c r="ET213" s="228">
        <v>287.13</v>
      </c>
      <c r="EU213" s="231">
        <v>1943.66</v>
      </c>
      <c r="EV213" s="231">
        <v>205765243</v>
      </c>
      <c r="EW213" s="231">
        <v>2683.84</v>
      </c>
      <c r="EX213" s="231">
        <v>2619.92</v>
      </c>
      <c r="EY213" s="228">
        <v>63.92</v>
      </c>
      <c r="EZ213" s="229">
        <v>2.4400000000000002E-2</v>
      </c>
      <c r="FA213" s="229">
        <v>0.30630000000000002</v>
      </c>
      <c r="FB213" s="227" t="s">
        <v>555</v>
      </c>
      <c r="FC213">
        <f t="shared" si="4"/>
        <v>0</v>
      </c>
    </row>
    <row r="214" spans="1:159" ht="17.25" thickBot="1" x14ac:dyDescent="0.3">
      <c r="A214" s="226">
        <v>46121</v>
      </c>
      <c r="B214" s="227" t="s">
        <v>227</v>
      </c>
      <c r="C214" s="227" t="s">
        <v>304</v>
      </c>
      <c r="D214" s="228">
        <v>1150</v>
      </c>
      <c r="E214" s="228">
        <v>19</v>
      </c>
      <c r="F214" s="228">
        <v>740.8</v>
      </c>
      <c r="G214" s="228">
        <v>725.5</v>
      </c>
      <c r="H214" s="228">
        <v>15.3</v>
      </c>
      <c r="I214" s="229">
        <v>2.1100000000000001E-2</v>
      </c>
      <c r="J214" s="228">
        <v>737</v>
      </c>
      <c r="K214" s="228">
        <v>721.4</v>
      </c>
      <c r="L214" s="228">
        <v>15.6</v>
      </c>
      <c r="M214" s="229">
        <v>2.1600000000000001E-2</v>
      </c>
      <c r="N214" s="228">
        <v>740.8</v>
      </c>
      <c r="O214" s="228">
        <v>725.5</v>
      </c>
      <c r="P214" s="228">
        <v>15.3</v>
      </c>
      <c r="Q214" s="229">
        <v>2.1100000000000001E-2</v>
      </c>
      <c r="R214" s="228">
        <v>743</v>
      </c>
      <c r="S214" s="228">
        <v>727.75</v>
      </c>
      <c r="T214" s="228">
        <v>15.25</v>
      </c>
      <c r="U214" s="229">
        <v>2.1000000000000001E-2</v>
      </c>
      <c r="V214" s="228">
        <v>743.15</v>
      </c>
      <c r="W214" s="228">
        <v>728.95</v>
      </c>
      <c r="X214" s="228">
        <v>14.2</v>
      </c>
      <c r="Y214" s="229">
        <v>1.95E-2</v>
      </c>
      <c r="Z214" s="228">
        <v>3.8</v>
      </c>
      <c r="AA214" s="228">
        <v>4.0999999999999996</v>
      </c>
      <c r="AB214" s="228">
        <v>-0.3</v>
      </c>
      <c r="AC214" s="229">
        <v>5.1999999999999998E-3</v>
      </c>
      <c r="AD214" s="228">
        <v>3.8</v>
      </c>
      <c r="AE214" s="228">
        <v>4.0999999999999996</v>
      </c>
      <c r="AF214" s="228">
        <v>-0.3</v>
      </c>
      <c r="AG214" s="229">
        <v>5.1999999999999998E-3</v>
      </c>
      <c r="AH214" s="228">
        <v>6</v>
      </c>
      <c r="AI214" s="228">
        <v>6.35</v>
      </c>
      <c r="AJ214" s="228">
        <v>-0.35</v>
      </c>
      <c r="AK214" s="229">
        <v>8.0999999999999996E-3</v>
      </c>
      <c r="AL214" s="228">
        <v>6.15</v>
      </c>
      <c r="AM214" s="228">
        <v>7.55</v>
      </c>
      <c r="AN214" s="228">
        <v>-1.4</v>
      </c>
      <c r="AO214" s="229">
        <v>8.3000000000000001E-3</v>
      </c>
      <c r="AP214" s="228">
        <v>737.7</v>
      </c>
      <c r="AQ214" s="228">
        <v>739.98</v>
      </c>
      <c r="AR214" s="228">
        <v>0</v>
      </c>
      <c r="AS214" s="228">
        <v>905</v>
      </c>
      <c r="AT214" s="230">
        <v>1150</v>
      </c>
      <c r="AU214" s="228">
        <v>-245</v>
      </c>
      <c r="AV214" s="229">
        <v>-0.2132</v>
      </c>
      <c r="AW214" s="228">
        <v>832</v>
      </c>
      <c r="AX214" s="230">
        <v>1062</v>
      </c>
      <c r="AY214" s="228">
        <v>-230</v>
      </c>
      <c r="AZ214" s="229">
        <v>-0.21640000000000001</v>
      </c>
      <c r="BA214" s="228">
        <v>62</v>
      </c>
      <c r="BB214" s="228">
        <v>77</v>
      </c>
      <c r="BC214" s="228">
        <v>-16</v>
      </c>
      <c r="BD214" s="229">
        <v>-0.2029</v>
      </c>
      <c r="BE214" s="228">
        <v>11</v>
      </c>
      <c r="BF214" s="228">
        <v>11</v>
      </c>
      <c r="BG214" s="228">
        <v>0</v>
      </c>
      <c r="BH214" s="229">
        <v>2.3300000000000001E-2</v>
      </c>
      <c r="BI214" s="230">
        <v>3443</v>
      </c>
      <c r="BJ214" s="230">
        <v>2740</v>
      </c>
      <c r="BK214" s="228">
        <v>703</v>
      </c>
      <c r="BL214" s="229">
        <v>0.25640000000000002</v>
      </c>
      <c r="BM214" s="230">
        <v>2072</v>
      </c>
      <c r="BN214" s="230">
        <v>2032</v>
      </c>
      <c r="BO214" s="228">
        <v>40</v>
      </c>
      <c r="BP214" s="229">
        <v>1.9599999999999999E-2</v>
      </c>
      <c r="BQ214" s="230">
        <v>6420</v>
      </c>
      <c r="BR214" s="230">
        <v>5922</v>
      </c>
      <c r="BS214" s="228">
        <v>497</v>
      </c>
      <c r="BT214" s="229">
        <v>8.4000000000000005E-2</v>
      </c>
      <c r="BU214" s="230">
        <v>16200939</v>
      </c>
      <c r="BV214" s="230">
        <v>17322194</v>
      </c>
      <c r="BW214" s="230">
        <v>-1121255</v>
      </c>
      <c r="BX214" s="229">
        <v>-6.4699999999999994E-2</v>
      </c>
      <c r="BY214" s="230">
        <v>3887</v>
      </c>
      <c r="BZ214" s="230">
        <v>3689</v>
      </c>
      <c r="CA214" s="228">
        <v>198</v>
      </c>
      <c r="CB214" s="229">
        <v>5.3699999999999998E-2</v>
      </c>
      <c r="CC214" s="230">
        <v>3740</v>
      </c>
      <c r="CD214" s="230">
        <v>3554</v>
      </c>
      <c r="CE214" s="228">
        <v>186</v>
      </c>
      <c r="CF214" s="229">
        <v>5.2299999999999999E-2</v>
      </c>
      <c r="CG214" s="228">
        <v>137</v>
      </c>
      <c r="CH214" s="228">
        <v>125</v>
      </c>
      <c r="CI214" s="228">
        <v>12</v>
      </c>
      <c r="CJ214" s="229">
        <v>9.2700000000000005E-2</v>
      </c>
      <c r="CK214" s="228">
        <v>10</v>
      </c>
      <c r="CL214" s="228">
        <v>10</v>
      </c>
      <c r="CM214" s="228">
        <v>1</v>
      </c>
      <c r="CN214" s="229">
        <v>5.2600000000000001E-2</v>
      </c>
      <c r="CO214" s="230">
        <v>1808</v>
      </c>
      <c r="CP214" s="230">
        <v>1779</v>
      </c>
      <c r="CQ214" s="228">
        <v>29</v>
      </c>
      <c r="CR214" s="229">
        <v>1.6199999999999999E-2</v>
      </c>
      <c r="CS214" s="230">
        <v>1695</v>
      </c>
      <c r="CT214" s="230">
        <v>1559</v>
      </c>
      <c r="CU214" s="228">
        <v>135</v>
      </c>
      <c r="CV214" s="229">
        <v>8.6699999999999999E-2</v>
      </c>
      <c r="CW214" s="230">
        <v>7390</v>
      </c>
      <c r="CX214" s="230">
        <v>7028</v>
      </c>
      <c r="CY214" s="228">
        <v>362</v>
      </c>
      <c r="CZ214" s="229">
        <v>5.1499999999999997E-2</v>
      </c>
      <c r="DA214" s="228">
        <v>37.4</v>
      </c>
      <c r="DB214" s="228">
        <v>37.39</v>
      </c>
      <c r="DC214" s="228">
        <v>0.01</v>
      </c>
      <c r="DD214" s="228">
        <v>0.01</v>
      </c>
      <c r="DE214" s="228">
        <v>41.1</v>
      </c>
      <c r="DF214" s="228">
        <v>41.1</v>
      </c>
      <c r="DG214" s="228">
        <v>-3.7</v>
      </c>
      <c r="DH214" s="228">
        <v>0</v>
      </c>
      <c r="DI214" s="228">
        <v>36.380000000000003</v>
      </c>
      <c r="DJ214" s="228">
        <v>36.549999999999997</v>
      </c>
      <c r="DK214" s="228">
        <v>-0.17</v>
      </c>
      <c r="DL214" s="228">
        <v>-0.17</v>
      </c>
      <c r="DM214" s="228">
        <v>39.090000000000003</v>
      </c>
      <c r="DN214" s="228">
        <v>38.51</v>
      </c>
      <c r="DO214" s="228">
        <v>0.57999999999999996</v>
      </c>
      <c r="DP214" s="228">
        <v>0.57999999999999996</v>
      </c>
      <c r="DQ214" s="228">
        <v>0.94</v>
      </c>
      <c r="DR214" s="228">
        <v>0.88</v>
      </c>
      <c r="DS214" s="228">
        <v>0.06</v>
      </c>
      <c r="DT214" s="229">
        <v>6.8199999999999997E-2</v>
      </c>
      <c r="DU214" s="228">
        <v>750</v>
      </c>
      <c r="DV214" s="228">
        <v>700</v>
      </c>
      <c r="DW214" s="228">
        <v>0.6</v>
      </c>
      <c r="DX214" s="228">
        <v>0.74</v>
      </c>
      <c r="DY214" s="228">
        <v>-0.14000000000000001</v>
      </c>
      <c r="DZ214" s="229">
        <v>-0.18920000000000001</v>
      </c>
      <c r="EA214" s="229">
        <v>3.78E-2</v>
      </c>
      <c r="EB214" s="230">
        <v>1818150</v>
      </c>
      <c r="EC214" s="229">
        <v>3.0000000000000001E-3</v>
      </c>
      <c r="ED214" s="229">
        <v>3.78E-2</v>
      </c>
      <c r="EE214" s="228">
        <v>2.2799999999999998</v>
      </c>
      <c r="EF214" s="229">
        <v>3.0999999999999999E-3</v>
      </c>
      <c r="EG214" s="230">
        <v>6386240</v>
      </c>
      <c r="EH214" s="230">
        <v>7041775</v>
      </c>
      <c r="EI214" s="229">
        <v>-9.3100000000000002E-2</v>
      </c>
      <c r="EJ214" s="229">
        <v>0.39419999999999999</v>
      </c>
      <c r="EK214" s="231">
        <v>3589.92</v>
      </c>
      <c r="EL214" s="231">
        <v>1989.25</v>
      </c>
      <c r="EM214" s="228">
        <v>901.42</v>
      </c>
      <c r="EN214" s="228">
        <v>127.26</v>
      </c>
      <c r="EO214" s="231">
        <v>6480.59</v>
      </c>
      <c r="EP214" s="231">
        <v>5881.18</v>
      </c>
      <c r="EQ214" s="228">
        <v>599.41999999999996</v>
      </c>
      <c r="ER214" s="229">
        <v>0.1019</v>
      </c>
      <c r="ES214" s="231">
        <v>1783.73</v>
      </c>
      <c r="ET214" s="231">
        <v>1537.16</v>
      </c>
      <c r="EU214" s="231">
        <v>3887.24</v>
      </c>
      <c r="EV214" s="231">
        <v>255495438</v>
      </c>
      <c r="EW214" s="231">
        <v>7208.13</v>
      </c>
      <c r="EX214" s="231">
        <v>6750.42</v>
      </c>
      <c r="EY214" s="228">
        <v>457.71</v>
      </c>
      <c r="EZ214" s="229">
        <v>6.7799999999999999E-2</v>
      </c>
      <c r="FA214" s="229">
        <v>0.39040000000000002</v>
      </c>
      <c r="FB214" s="227" t="s">
        <v>555</v>
      </c>
      <c r="FC214">
        <f t="shared" si="4"/>
        <v>0</v>
      </c>
    </row>
    <row r="215" spans="1:159" ht="17.25" thickBot="1" x14ac:dyDescent="0.3">
      <c r="A215" s="226">
        <v>46121</v>
      </c>
      <c r="B215" s="227" t="s">
        <v>702</v>
      </c>
      <c r="C215" s="227" t="s">
        <v>698</v>
      </c>
      <c r="D215" s="228">
        <v>4850</v>
      </c>
      <c r="E215" s="228">
        <v>19</v>
      </c>
      <c r="F215" s="228">
        <v>112.73</v>
      </c>
      <c r="G215" s="228">
        <v>116.74</v>
      </c>
      <c r="H215" s="228">
        <v>-4.01</v>
      </c>
      <c r="I215" s="229">
        <v>-3.4299999999999997E-2</v>
      </c>
      <c r="J215" s="228">
        <v>112.07</v>
      </c>
      <c r="K215" s="228">
        <v>116.59</v>
      </c>
      <c r="L215" s="228">
        <v>-4.5199999999999996</v>
      </c>
      <c r="M215" s="229">
        <v>-3.8800000000000001E-2</v>
      </c>
      <c r="N215" s="228">
        <v>112.73</v>
      </c>
      <c r="O215" s="228">
        <v>116.74</v>
      </c>
      <c r="P215" s="228">
        <v>-4.01</v>
      </c>
      <c r="Q215" s="229">
        <v>-3.4299999999999997E-2</v>
      </c>
      <c r="R215" s="228">
        <v>113.03</v>
      </c>
      <c r="S215" s="228">
        <v>116.76</v>
      </c>
      <c r="T215" s="228">
        <v>-3.73</v>
      </c>
      <c r="U215" s="229">
        <v>-3.1899999999999998E-2</v>
      </c>
      <c r="V215" s="228">
        <v>112.97</v>
      </c>
      <c r="W215" s="228">
        <v>103</v>
      </c>
      <c r="X215" s="228">
        <v>9.9700000000000006</v>
      </c>
      <c r="Y215" s="229">
        <v>9.6799999999999997E-2</v>
      </c>
      <c r="Z215" s="228">
        <v>0.66</v>
      </c>
      <c r="AA215" s="228">
        <v>0.15</v>
      </c>
      <c r="AB215" s="228">
        <v>0.51</v>
      </c>
      <c r="AC215" s="229">
        <v>5.8999999999999999E-3</v>
      </c>
      <c r="AD215" s="228">
        <v>0.66</v>
      </c>
      <c r="AE215" s="228">
        <v>0.15</v>
      </c>
      <c r="AF215" s="228">
        <v>0.51</v>
      </c>
      <c r="AG215" s="229">
        <v>5.8999999999999999E-3</v>
      </c>
      <c r="AH215" s="228">
        <v>0.96</v>
      </c>
      <c r="AI215" s="228">
        <v>0.17</v>
      </c>
      <c r="AJ215" s="228">
        <v>0.79</v>
      </c>
      <c r="AK215" s="229">
        <v>8.6E-3</v>
      </c>
      <c r="AL215" s="228">
        <v>0.9</v>
      </c>
      <c r="AM215" s="228">
        <v>-13.59</v>
      </c>
      <c r="AN215" s="228">
        <v>14.49</v>
      </c>
      <c r="AO215" s="229">
        <v>8.0000000000000002E-3</v>
      </c>
      <c r="AP215" s="228">
        <v>113.61</v>
      </c>
      <c r="AQ215" s="228">
        <v>113.88</v>
      </c>
      <c r="AR215" s="228">
        <v>0</v>
      </c>
      <c r="AS215" s="228">
        <v>140</v>
      </c>
      <c r="AT215" s="228">
        <v>104</v>
      </c>
      <c r="AU215" s="228">
        <v>37</v>
      </c>
      <c r="AV215" s="229">
        <v>0.35160000000000002</v>
      </c>
      <c r="AW215" s="228">
        <v>133</v>
      </c>
      <c r="AX215" s="228">
        <v>98</v>
      </c>
      <c r="AY215" s="228">
        <v>35</v>
      </c>
      <c r="AZ215" s="229">
        <v>0.35870000000000002</v>
      </c>
      <c r="BA215" s="228">
        <v>7</v>
      </c>
      <c r="BB215" s="228">
        <v>6</v>
      </c>
      <c r="BC215" s="228">
        <v>1</v>
      </c>
      <c r="BD215" s="229">
        <v>8.8499999999999995E-2</v>
      </c>
      <c r="BE215" s="228">
        <v>1</v>
      </c>
      <c r="BF215" s="228">
        <v>0</v>
      </c>
      <c r="BG215" s="228">
        <v>1</v>
      </c>
      <c r="BH215" s="229">
        <v>0</v>
      </c>
      <c r="BI215" s="228">
        <v>81</v>
      </c>
      <c r="BJ215" s="228">
        <v>55</v>
      </c>
      <c r="BK215" s="228">
        <v>26</v>
      </c>
      <c r="BL215" s="229">
        <v>0.47960000000000003</v>
      </c>
      <c r="BM215" s="228">
        <v>59</v>
      </c>
      <c r="BN215" s="228">
        <v>16</v>
      </c>
      <c r="BO215" s="228">
        <v>42</v>
      </c>
      <c r="BP215" s="229">
        <v>2.5680999999999998</v>
      </c>
      <c r="BQ215" s="228">
        <v>280</v>
      </c>
      <c r="BR215" s="228">
        <v>175</v>
      </c>
      <c r="BS215" s="228">
        <v>105</v>
      </c>
      <c r="BT215" s="229">
        <v>0.59989999999999999</v>
      </c>
      <c r="BU215" s="230">
        <v>26742888</v>
      </c>
      <c r="BV215" s="230">
        <v>18398112</v>
      </c>
      <c r="BW215" s="230">
        <v>8344776</v>
      </c>
      <c r="BX215" s="229">
        <v>0.4536</v>
      </c>
      <c r="BY215" s="228">
        <v>220</v>
      </c>
      <c r="BZ215" s="228">
        <v>204</v>
      </c>
      <c r="CA215" s="228">
        <v>16</v>
      </c>
      <c r="CB215" s="229">
        <v>7.8100000000000003E-2</v>
      </c>
      <c r="CC215" s="228">
        <v>215</v>
      </c>
      <c r="CD215" s="228">
        <v>202</v>
      </c>
      <c r="CE215" s="228">
        <v>13</v>
      </c>
      <c r="CF215" s="229">
        <v>6.4500000000000002E-2</v>
      </c>
      <c r="CG215" s="228">
        <v>5</v>
      </c>
      <c r="CH215" s="228">
        <v>3</v>
      </c>
      <c r="CI215" s="228">
        <v>2</v>
      </c>
      <c r="CJ215" s="229">
        <v>0.81630000000000003</v>
      </c>
      <c r="CK215" s="228">
        <v>1</v>
      </c>
      <c r="CL215" s="228">
        <v>0</v>
      </c>
      <c r="CM215" s="228">
        <v>1</v>
      </c>
      <c r="CN215" s="229">
        <v>14</v>
      </c>
      <c r="CO215" s="228">
        <v>54</v>
      </c>
      <c r="CP215" s="228">
        <v>38</v>
      </c>
      <c r="CQ215" s="228">
        <v>15</v>
      </c>
      <c r="CR215" s="229">
        <v>0.40539999999999998</v>
      </c>
      <c r="CS215" s="228">
        <v>42</v>
      </c>
      <c r="CT215" s="228">
        <v>33</v>
      </c>
      <c r="CU215" s="228">
        <v>8</v>
      </c>
      <c r="CV215" s="229">
        <v>0.25040000000000001</v>
      </c>
      <c r="CW215" s="228">
        <v>316</v>
      </c>
      <c r="CX215" s="228">
        <v>276</v>
      </c>
      <c r="CY215" s="228">
        <v>40</v>
      </c>
      <c r="CZ215" s="229">
        <v>0.14419999999999999</v>
      </c>
      <c r="DA215" s="228">
        <v>44.51</v>
      </c>
      <c r="DB215" s="228">
        <v>39.92</v>
      </c>
      <c r="DC215" s="228">
        <v>4.59</v>
      </c>
      <c r="DD215" s="228">
        <v>4.59</v>
      </c>
      <c r="DE215" s="228">
        <v>38.409999999999997</v>
      </c>
      <c r="DF215" s="228">
        <v>38.130000000000003</v>
      </c>
      <c r="DG215" s="228">
        <v>6.1</v>
      </c>
      <c r="DH215" s="228">
        <v>0.28000000000000003</v>
      </c>
      <c r="DI215" s="228">
        <v>42.05</v>
      </c>
      <c r="DJ215" s="228">
        <v>38.72</v>
      </c>
      <c r="DK215" s="228">
        <v>3.33</v>
      </c>
      <c r="DL215" s="228">
        <v>3.33</v>
      </c>
      <c r="DM215" s="228">
        <v>47.92</v>
      </c>
      <c r="DN215" s="228">
        <v>43.93</v>
      </c>
      <c r="DO215" s="228">
        <v>3.99</v>
      </c>
      <c r="DP215" s="228">
        <v>3.99</v>
      </c>
      <c r="DQ215" s="228">
        <v>0.78</v>
      </c>
      <c r="DR215" s="228">
        <v>0.88</v>
      </c>
      <c r="DS215" s="228">
        <v>-0.1</v>
      </c>
      <c r="DT215" s="229">
        <v>-0.11360000000000001</v>
      </c>
      <c r="DU215" s="228">
        <v>120</v>
      </c>
      <c r="DV215" s="228">
        <v>105</v>
      </c>
      <c r="DW215" s="228">
        <v>0.72</v>
      </c>
      <c r="DX215" s="228">
        <v>0.3</v>
      </c>
      <c r="DY215" s="228">
        <v>0.42</v>
      </c>
      <c r="DZ215" s="229">
        <v>1.4</v>
      </c>
      <c r="EA215" s="229">
        <v>2.58E-2</v>
      </c>
      <c r="EB215" s="230">
        <v>242500</v>
      </c>
      <c r="EC215" s="229">
        <v>2.7000000000000001E-3</v>
      </c>
      <c r="ED215" s="229">
        <v>2.58E-2</v>
      </c>
      <c r="EE215" s="228">
        <v>0.27</v>
      </c>
      <c r="EF215" s="229">
        <v>2.3999999999999998E-3</v>
      </c>
      <c r="EG215" s="230">
        <v>12371316</v>
      </c>
      <c r="EH215" s="230">
        <v>8024633</v>
      </c>
      <c r="EI215" s="229">
        <v>0.54169999999999996</v>
      </c>
      <c r="EJ215" s="229">
        <v>0.46260000000000001</v>
      </c>
      <c r="EK215" s="228">
        <v>85.64</v>
      </c>
      <c r="EL215" s="228">
        <v>56.82</v>
      </c>
      <c r="EM215" s="228">
        <v>141.53</v>
      </c>
      <c r="EN215" s="228">
        <v>18.53</v>
      </c>
      <c r="EO215" s="228">
        <v>283.99</v>
      </c>
      <c r="EP215" s="228">
        <v>181.49</v>
      </c>
      <c r="EQ215" s="228">
        <v>102.49</v>
      </c>
      <c r="ER215" s="229">
        <v>0.56469999999999998</v>
      </c>
      <c r="ES215" s="228">
        <v>53.87</v>
      </c>
      <c r="ET215" s="228">
        <v>39.29</v>
      </c>
      <c r="EU215" s="228">
        <v>220.41</v>
      </c>
      <c r="EV215" s="231">
        <v>321828727</v>
      </c>
      <c r="EW215" s="228">
        <v>313.56</v>
      </c>
      <c r="EX215" s="228">
        <v>281.2</v>
      </c>
      <c r="EY215" s="228">
        <v>32.36</v>
      </c>
      <c r="EZ215" s="229">
        <v>0.11509999999999999</v>
      </c>
      <c r="FA215" s="229">
        <v>8.6999999999999994E-2</v>
      </c>
      <c r="FB215" s="227" t="s">
        <v>566</v>
      </c>
      <c r="FC215">
        <f t="shared" si="4"/>
        <v>0</v>
      </c>
    </row>
    <row r="216" spans="1:159" ht="17.25" thickBot="1" x14ac:dyDescent="0.3">
      <c r="A216" s="226">
        <v>46121</v>
      </c>
      <c r="B216" s="227" t="s">
        <v>184</v>
      </c>
      <c r="C216" s="227" t="s">
        <v>305</v>
      </c>
      <c r="D216" s="228">
        <v>375</v>
      </c>
      <c r="E216" s="228">
        <v>19</v>
      </c>
      <c r="F216" s="231">
        <v>1286.8</v>
      </c>
      <c r="G216" s="231">
        <v>1259.0999999999999</v>
      </c>
      <c r="H216" s="228">
        <v>27.7</v>
      </c>
      <c r="I216" s="229">
        <v>2.1999999999999999E-2</v>
      </c>
      <c r="J216" s="231">
        <v>1283.9000000000001</v>
      </c>
      <c r="K216" s="231">
        <v>1264.8</v>
      </c>
      <c r="L216" s="228">
        <v>19.100000000000001</v>
      </c>
      <c r="M216" s="229">
        <v>1.5100000000000001E-2</v>
      </c>
      <c r="N216" s="231">
        <v>1286.8</v>
      </c>
      <c r="O216" s="231">
        <v>1259.0999999999999</v>
      </c>
      <c r="P216" s="228">
        <v>27.7</v>
      </c>
      <c r="Q216" s="229">
        <v>2.1999999999999999E-2</v>
      </c>
      <c r="R216" s="231">
        <v>1274.3</v>
      </c>
      <c r="S216" s="231">
        <v>1246.3</v>
      </c>
      <c r="T216" s="228">
        <v>28</v>
      </c>
      <c r="U216" s="229">
        <v>2.2499999999999999E-2</v>
      </c>
      <c r="V216" s="231">
        <v>1259</v>
      </c>
      <c r="W216" s="231">
        <v>1233.4000000000001</v>
      </c>
      <c r="X216" s="228">
        <v>25.6</v>
      </c>
      <c r="Y216" s="229">
        <v>2.0799999999999999E-2</v>
      </c>
      <c r="Z216" s="228">
        <v>2.9</v>
      </c>
      <c r="AA216" s="228">
        <v>-5.7</v>
      </c>
      <c r="AB216" s="228">
        <v>8.6</v>
      </c>
      <c r="AC216" s="229">
        <v>2.3E-3</v>
      </c>
      <c r="AD216" s="228">
        <v>2.9</v>
      </c>
      <c r="AE216" s="228">
        <v>-5.7</v>
      </c>
      <c r="AF216" s="228">
        <v>8.6</v>
      </c>
      <c r="AG216" s="229">
        <v>2.3E-3</v>
      </c>
      <c r="AH216" s="228">
        <v>-9.6</v>
      </c>
      <c r="AI216" s="228">
        <v>-18.5</v>
      </c>
      <c r="AJ216" s="228">
        <v>8.9</v>
      </c>
      <c r="AK216" s="229">
        <v>-7.4999999999999997E-3</v>
      </c>
      <c r="AL216" s="228">
        <v>-24.9</v>
      </c>
      <c r="AM216" s="228">
        <v>-31.4</v>
      </c>
      <c r="AN216" s="228">
        <v>6.5</v>
      </c>
      <c r="AO216" s="229">
        <v>-1.9400000000000001E-2</v>
      </c>
      <c r="AP216" s="231">
        <v>1268.76</v>
      </c>
      <c r="AQ216" s="231">
        <v>1249.72</v>
      </c>
      <c r="AR216" s="228">
        <v>0</v>
      </c>
      <c r="AS216" s="228">
        <v>456</v>
      </c>
      <c r="AT216" s="228">
        <v>445</v>
      </c>
      <c r="AU216" s="228">
        <v>11</v>
      </c>
      <c r="AV216" s="229">
        <v>2.4400000000000002E-2</v>
      </c>
      <c r="AW216" s="228">
        <v>418</v>
      </c>
      <c r="AX216" s="228">
        <v>383</v>
      </c>
      <c r="AY216" s="228">
        <v>34</v>
      </c>
      <c r="AZ216" s="229">
        <v>8.8999999999999996E-2</v>
      </c>
      <c r="BA216" s="228">
        <v>34</v>
      </c>
      <c r="BB216" s="228">
        <v>54</v>
      </c>
      <c r="BC216" s="228">
        <v>-20</v>
      </c>
      <c r="BD216" s="229">
        <v>-0.37130000000000002</v>
      </c>
      <c r="BE216" s="228">
        <v>4</v>
      </c>
      <c r="BF216" s="228">
        <v>7</v>
      </c>
      <c r="BG216" s="228">
        <v>-3</v>
      </c>
      <c r="BH216" s="229">
        <v>-0.42759999999999998</v>
      </c>
      <c r="BI216" s="230">
        <v>1193</v>
      </c>
      <c r="BJ216" s="230">
        <v>1138</v>
      </c>
      <c r="BK216" s="228">
        <v>55</v>
      </c>
      <c r="BL216" s="229">
        <v>4.8800000000000003E-2</v>
      </c>
      <c r="BM216" s="228">
        <v>548</v>
      </c>
      <c r="BN216" s="228">
        <v>465</v>
      </c>
      <c r="BO216" s="228">
        <v>83</v>
      </c>
      <c r="BP216" s="229">
        <v>0.17760000000000001</v>
      </c>
      <c r="BQ216" s="230">
        <v>2197</v>
      </c>
      <c r="BR216" s="230">
        <v>2048</v>
      </c>
      <c r="BS216" s="228">
        <v>149</v>
      </c>
      <c r="BT216" s="229">
        <v>7.2800000000000004E-2</v>
      </c>
      <c r="BU216" s="230">
        <v>2073119</v>
      </c>
      <c r="BV216" s="230">
        <v>1641003</v>
      </c>
      <c r="BW216" s="230">
        <v>432116</v>
      </c>
      <c r="BX216" s="229">
        <v>0.26329999999999998</v>
      </c>
      <c r="BY216" s="230">
        <v>1673</v>
      </c>
      <c r="BZ216" s="230">
        <v>1684</v>
      </c>
      <c r="CA216" s="228">
        <v>-11</v>
      </c>
      <c r="CB216" s="229">
        <v>-6.4000000000000003E-3</v>
      </c>
      <c r="CC216" s="230">
        <v>1583</v>
      </c>
      <c r="CD216" s="230">
        <v>1605</v>
      </c>
      <c r="CE216" s="228">
        <v>-22</v>
      </c>
      <c r="CF216" s="229">
        <v>-1.3599999999999999E-2</v>
      </c>
      <c r="CG216" s="228">
        <v>83</v>
      </c>
      <c r="CH216" s="228">
        <v>71</v>
      </c>
      <c r="CI216" s="228">
        <v>11</v>
      </c>
      <c r="CJ216" s="229">
        <v>0.15890000000000001</v>
      </c>
      <c r="CK216" s="228">
        <v>8</v>
      </c>
      <c r="CL216" s="228">
        <v>8</v>
      </c>
      <c r="CM216" s="228">
        <v>0</v>
      </c>
      <c r="CN216" s="229">
        <v>-4.2200000000000001E-2</v>
      </c>
      <c r="CO216" s="228">
        <v>609</v>
      </c>
      <c r="CP216" s="228">
        <v>585</v>
      </c>
      <c r="CQ216" s="228">
        <v>24</v>
      </c>
      <c r="CR216" s="229">
        <v>4.1300000000000003E-2</v>
      </c>
      <c r="CS216" s="228">
        <v>379</v>
      </c>
      <c r="CT216" s="228">
        <v>310</v>
      </c>
      <c r="CU216" s="228">
        <v>69</v>
      </c>
      <c r="CV216" s="229">
        <v>0.22220000000000001</v>
      </c>
      <c r="CW216" s="230">
        <v>2661</v>
      </c>
      <c r="CX216" s="230">
        <v>2579</v>
      </c>
      <c r="CY216" s="228">
        <v>82</v>
      </c>
      <c r="CZ216" s="229">
        <v>3.1899999999999998E-2</v>
      </c>
      <c r="DA216" s="228">
        <v>42.78</v>
      </c>
      <c r="DB216" s="228">
        <v>42.51</v>
      </c>
      <c r="DC216" s="228">
        <v>0.27</v>
      </c>
      <c r="DD216" s="228">
        <v>0.27</v>
      </c>
      <c r="DE216" s="228">
        <v>39.840000000000003</v>
      </c>
      <c r="DF216" s="228">
        <v>39.83</v>
      </c>
      <c r="DG216" s="228">
        <v>2.94</v>
      </c>
      <c r="DH216" s="228">
        <v>0.01</v>
      </c>
      <c r="DI216" s="228">
        <v>42.41</v>
      </c>
      <c r="DJ216" s="228">
        <v>41.57</v>
      </c>
      <c r="DK216" s="228">
        <v>0.84</v>
      </c>
      <c r="DL216" s="228">
        <v>0.84</v>
      </c>
      <c r="DM216" s="228">
        <v>43.57</v>
      </c>
      <c r="DN216" s="228">
        <v>44.8</v>
      </c>
      <c r="DO216" s="228">
        <v>-1.23</v>
      </c>
      <c r="DP216" s="228">
        <v>-1.23</v>
      </c>
      <c r="DQ216" s="228">
        <v>0.62</v>
      </c>
      <c r="DR216" s="228">
        <v>0.53</v>
      </c>
      <c r="DS216" s="228">
        <v>0.09</v>
      </c>
      <c r="DT216" s="229">
        <v>0.16980000000000001</v>
      </c>
      <c r="DU216" s="231">
        <v>1300</v>
      </c>
      <c r="DV216" s="231">
        <v>1200</v>
      </c>
      <c r="DW216" s="228">
        <v>0.46</v>
      </c>
      <c r="DX216" s="228">
        <v>0.41</v>
      </c>
      <c r="DY216" s="228">
        <v>0.05</v>
      </c>
      <c r="DZ216" s="229">
        <v>0.122</v>
      </c>
      <c r="EA216" s="229">
        <v>5.3999999999999999E-2</v>
      </c>
      <c r="EB216" s="230">
        <v>616875</v>
      </c>
      <c r="EC216" s="229">
        <v>-9.7000000000000003E-3</v>
      </c>
      <c r="ED216" s="229">
        <v>5.3999999999999999E-2</v>
      </c>
      <c r="EE216" s="228">
        <v>-19.04</v>
      </c>
      <c r="EF216" s="229">
        <v>-1.4999999999999999E-2</v>
      </c>
      <c r="EG216" s="230">
        <v>1082467</v>
      </c>
      <c r="EH216" s="230">
        <v>603708</v>
      </c>
      <c r="EI216" s="229">
        <v>0.79300000000000004</v>
      </c>
      <c r="EJ216" s="229">
        <v>0.52210000000000001</v>
      </c>
      <c r="EK216" s="231">
        <v>1262.26</v>
      </c>
      <c r="EL216" s="228">
        <v>543.09</v>
      </c>
      <c r="EM216" s="228">
        <v>448.79</v>
      </c>
      <c r="EN216" s="228">
        <v>59.99</v>
      </c>
      <c r="EO216" s="231">
        <v>2254.14</v>
      </c>
      <c r="EP216" s="231">
        <v>2079.09</v>
      </c>
      <c r="EQ216" s="228">
        <v>175.05</v>
      </c>
      <c r="ER216" s="229">
        <v>8.4199999999999997E-2</v>
      </c>
      <c r="ES216" s="228">
        <v>658.02</v>
      </c>
      <c r="ET216" s="228">
        <v>362.7</v>
      </c>
      <c r="EU216" s="231">
        <v>1672.32</v>
      </c>
      <c r="EV216" s="231">
        <v>25134629</v>
      </c>
      <c r="EW216" s="231">
        <v>2693.04</v>
      </c>
      <c r="EX216" s="231">
        <v>2571.2199999999998</v>
      </c>
      <c r="EY216" s="228">
        <v>121.82</v>
      </c>
      <c r="EZ216" s="229">
        <v>4.7399999999999998E-2</v>
      </c>
      <c r="FA216" s="229">
        <v>0.82289999999999996</v>
      </c>
      <c r="FB216" s="227" t="s">
        <v>694</v>
      </c>
      <c r="FC216">
        <f t="shared" si="4"/>
        <v>0</v>
      </c>
    </row>
    <row r="217" spans="1:159" ht="17.25" thickBot="1" x14ac:dyDescent="0.3">
      <c r="A217" s="226">
        <v>46121</v>
      </c>
      <c r="B217" s="227" t="s">
        <v>184</v>
      </c>
      <c r="C217" s="227" t="s">
        <v>690</v>
      </c>
      <c r="D217" s="228">
        <v>175</v>
      </c>
      <c r="E217" s="228">
        <v>19</v>
      </c>
      <c r="F217" s="231">
        <v>3249.2</v>
      </c>
      <c r="G217" s="231">
        <v>3142.4</v>
      </c>
      <c r="H217" s="228">
        <v>106.8</v>
      </c>
      <c r="I217" s="229">
        <v>3.4000000000000002E-2</v>
      </c>
      <c r="J217" s="231">
        <v>3232.3</v>
      </c>
      <c r="K217" s="231">
        <v>3125</v>
      </c>
      <c r="L217" s="228">
        <v>107.3</v>
      </c>
      <c r="M217" s="229">
        <v>3.4299999999999997E-2</v>
      </c>
      <c r="N217" s="231">
        <v>3249.2</v>
      </c>
      <c r="O217" s="231">
        <v>3142.4</v>
      </c>
      <c r="P217" s="228">
        <v>106.8</v>
      </c>
      <c r="Q217" s="229">
        <v>3.4000000000000002E-2</v>
      </c>
      <c r="R217" s="231">
        <v>3267.2</v>
      </c>
      <c r="S217" s="231">
        <v>3158.3</v>
      </c>
      <c r="T217" s="228">
        <v>108.9</v>
      </c>
      <c r="U217" s="229">
        <v>3.4500000000000003E-2</v>
      </c>
      <c r="V217" s="231">
        <v>3290.8</v>
      </c>
      <c r="W217" s="231">
        <v>3173.5</v>
      </c>
      <c r="X217" s="228">
        <v>117.3</v>
      </c>
      <c r="Y217" s="229">
        <v>3.6999999999999998E-2</v>
      </c>
      <c r="Z217" s="228">
        <v>16.899999999999999</v>
      </c>
      <c r="AA217" s="228">
        <v>17.399999999999999</v>
      </c>
      <c r="AB217" s="228">
        <v>-0.5</v>
      </c>
      <c r="AC217" s="229">
        <v>5.1999999999999998E-3</v>
      </c>
      <c r="AD217" s="228">
        <v>16.899999999999999</v>
      </c>
      <c r="AE217" s="228">
        <v>17.399999999999999</v>
      </c>
      <c r="AF217" s="228">
        <v>-0.5</v>
      </c>
      <c r="AG217" s="229">
        <v>5.1999999999999998E-3</v>
      </c>
      <c r="AH217" s="228">
        <v>34.9</v>
      </c>
      <c r="AI217" s="228">
        <v>33.299999999999997</v>
      </c>
      <c r="AJ217" s="228">
        <v>1.6</v>
      </c>
      <c r="AK217" s="229">
        <v>1.0800000000000001E-2</v>
      </c>
      <c r="AL217" s="228">
        <v>58.5</v>
      </c>
      <c r="AM217" s="228">
        <v>48.5</v>
      </c>
      <c r="AN217" s="228">
        <v>10</v>
      </c>
      <c r="AO217" s="229">
        <v>1.8100000000000002E-2</v>
      </c>
      <c r="AP217" s="231">
        <v>3214.02</v>
      </c>
      <c r="AQ217" s="231">
        <v>3231.15</v>
      </c>
      <c r="AR217" s="228">
        <v>0</v>
      </c>
      <c r="AS217" s="228">
        <v>472</v>
      </c>
      <c r="AT217" s="228">
        <v>494</v>
      </c>
      <c r="AU217" s="228">
        <v>-22</v>
      </c>
      <c r="AV217" s="229">
        <v>-4.3799999999999999E-2</v>
      </c>
      <c r="AW217" s="228">
        <v>439</v>
      </c>
      <c r="AX217" s="228">
        <v>452</v>
      </c>
      <c r="AY217" s="228">
        <v>-12</v>
      </c>
      <c r="AZ217" s="229">
        <v>-2.7300000000000001E-2</v>
      </c>
      <c r="BA217" s="228">
        <v>31</v>
      </c>
      <c r="BB217" s="228">
        <v>40</v>
      </c>
      <c r="BC217" s="228">
        <v>-9</v>
      </c>
      <c r="BD217" s="229">
        <v>-0.2346</v>
      </c>
      <c r="BE217" s="228">
        <v>2</v>
      </c>
      <c r="BF217" s="228">
        <v>1</v>
      </c>
      <c r="BG217" s="228">
        <v>0</v>
      </c>
      <c r="BH217" s="229">
        <v>0.16669999999999999</v>
      </c>
      <c r="BI217" s="230">
        <v>2403</v>
      </c>
      <c r="BJ217" s="228">
        <v>959</v>
      </c>
      <c r="BK217" s="230">
        <v>1444</v>
      </c>
      <c r="BL217" s="229">
        <v>1.5054000000000001</v>
      </c>
      <c r="BM217" s="228">
        <v>495</v>
      </c>
      <c r="BN217" s="228">
        <v>406</v>
      </c>
      <c r="BO217" s="228">
        <v>89</v>
      </c>
      <c r="BP217" s="229">
        <v>0.2185</v>
      </c>
      <c r="BQ217" s="230">
        <v>3370</v>
      </c>
      <c r="BR217" s="230">
        <v>1859</v>
      </c>
      <c r="BS217" s="230">
        <v>1511</v>
      </c>
      <c r="BT217" s="229">
        <v>0.81279999999999997</v>
      </c>
      <c r="BU217" s="230">
        <v>2495594</v>
      </c>
      <c r="BV217" s="230">
        <v>1759222</v>
      </c>
      <c r="BW217" s="230">
        <v>736372</v>
      </c>
      <c r="BX217" s="229">
        <v>0.41860000000000003</v>
      </c>
      <c r="BY217" s="230">
        <v>1284</v>
      </c>
      <c r="BZ217" s="230">
        <v>1136</v>
      </c>
      <c r="CA217" s="228">
        <v>149</v>
      </c>
      <c r="CB217" s="229">
        <v>0.1308</v>
      </c>
      <c r="CC217" s="230">
        <v>1240</v>
      </c>
      <c r="CD217" s="230">
        <v>1101</v>
      </c>
      <c r="CE217" s="228">
        <v>140</v>
      </c>
      <c r="CF217" s="229">
        <v>0.12690000000000001</v>
      </c>
      <c r="CG217" s="228">
        <v>42</v>
      </c>
      <c r="CH217" s="228">
        <v>34</v>
      </c>
      <c r="CI217" s="228">
        <v>8</v>
      </c>
      <c r="CJ217" s="229">
        <v>0.24079999999999999</v>
      </c>
      <c r="CK217" s="228">
        <v>2</v>
      </c>
      <c r="CL217" s="228">
        <v>1</v>
      </c>
      <c r="CM217" s="228">
        <v>1</v>
      </c>
      <c r="CN217" s="229">
        <v>0.63160000000000005</v>
      </c>
      <c r="CO217" s="228">
        <v>547</v>
      </c>
      <c r="CP217" s="228">
        <v>422</v>
      </c>
      <c r="CQ217" s="228">
        <v>125</v>
      </c>
      <c r="CR217" s="229">
        <v>0.29670000000000002</v>
      </c>
      <c r="CS217" s="228">
        <v>280</v>
      </c>
      <c r="CT217" s="228">
        <v>228</v>
      </c>
      <c r="CU217" s="228">
        <v>51</v>
      </c>
      <c r="CV217" s="229">
        <v>0.22459999999999999</v>
      </c>
      <c r="CW217" s="230">
        <v>2111</v>
      </c>
      <c r="CX217" s="230">
        <v>1786</v>
      </c>
      <c r="CY217" s="228">
        <v>325</v>
      </c>
      <c r="CZ217" s="229">
        <v>0.18190000000000001</v>
      </c>
      <c r="DA217" s="228">
        <v>50.06</v>
      </c>
      <c r="DB217" s="228">
        <v>47.37</v>
      </c>
      <c r="DC217" s="228">
        <v>2.69</v>
      </c>
      <c r="DD217" s="228">
        <v>2.69</v>
      </c>
      <c r="DE217" s="228">
        <v>53.34</v>
      </c>
      <c r="DF217" s="228">
        <v>53.28</v>
      </c>
      <c r="DG217" s="228">
        <v>-3.28</v>
      </c>
      <c r="DH217" s="228">
        <v>0.06</v>
      </c>
      <c r="DI217" s="228">
        <v>49.84</v>
      </c>
      <c r="DJ217" s="228">
        <v>46.64</v>
      </c>
      <c r="DK217" s="228">
        <v>3.2</v>
      </c>
      <c r="DL217" s="228">
        <v>3.2</v>
      </c>
      <c r="DM217" s="228">
        <v>51.13</v>
      </c>
      <c r="DN217" s="228">
        <v>49.1</v>
      </c>
      <c r="DO217" s="228">
        <v>2.0299999999999998</v>
      </c>
      <c r="DP217" s="228">
        <v>2.0299999999999998</v>
      </c>
      <c r="DQ217" s="228">
        <v>0.51</v>
      </c>
      <c r="DR217" s="228">
        <v>0.54</v>
      </c>
      <c r="DS217" s="228">
        <v>-0.03</v>
      </c>
      <c r="DT217" s="229">
        <v>-5.5599999999999997E-2</v>
      </c>
      <c r="DU217" s="231">
        <v>3500</v>
      </c>
      <c r="DV217" s="231">
        <v>3100</v>
      </c>
      <c r="DW217" s="228">
        <v>0.21</v>
      </c>
      <c r="DX217" s="228">
        <v>0.42</v>
      </c>
      <c r="DY217" s="228">
        <v>-0.21</v>
      </c>
      <c r="DZ217" s="229">
        <v>-0.5</v>
      </c>
      <c r="EA217" s="229">
        <v>3.4200000000000001E-2</v>
      </c>
      <c r="EB217" s="230">
        <v>107975</v>
      </c>
      <c r="EC217" s="229">
        <v>5.4999999999999997E-3</v>
      </c>
      <c r="ED217" s="229">
        <v>3.4200000000000001E-2</v>
      </c>
      <c r="EE217" s="228">
        <v>17.13</v>
      </c>
      <c r="EF217" s="229">
        <v>5.3E-3</v>
      </c>
      <c r="EG217" s="230">
        <v>936701</v>
      </c>
      <c r="EH217" s="230">
        <v>720769</v>
      </c>
      <c r="EI217" s="229">
        <v>0.29959999999999998</v>
      </c>
      <c r="EJ217" s="229">
        <v>0.37530000000000002</v>
      </c>
      <c r="EK217" s="231">
        <v>2557.6999999999998</v>
      </c>
      <c r="EL217" s="228">
        <v>476.25</v>
      </c>
      <c r="EM217" s="228">
        <v>467.12</v>
      </c>
      <c r="EN217" s="228">
        <v>45.27</v>
      </c>
      <c r="EO217" s="231">
        <v>3501.08</v>
      </c>
      <c r="EP217" s="231">
        <v>1863.92</v>
      </c>
      <c r="EQ217" s="231">
        <v>1637.16</v>
      </c>
      <c r="ER217" s="229">
        <v>0.87829999999999997</v>
      </c>
      <c r="ES217" s="228">
        <v>567.22</v>
      </c>
      <c r="ET217" s="228">
        <v>257.67</v>
      </c>
      <c r="EU217" s="231">
        <v>1284.69</v>
      </c>
      <c r="EV217" s="231">
        <v>15436318</v>
      </c>
      <c r="EW217" s="231">
        <v>2109.58</v>
      </c>
      <c r="EX217" s="231">
        <v>1739.13</v>
      </c>
      <c r="EY217" s="228">
        <v>370.45</v>
      </c>
      <c r="EZ217" s="229">
        <v>0.21299999999999999</v>
      </c>
      <c r="FA217" s="229">
        <v>0.42080000000000001</v>
      </c>
      <c r="FB217" s="227" t="s">
        <v>555</v>
      </c>
      <c r="FC217">
        <f t="shared" si="4"/>
        <v>0</v>
      </c>
    </row>
    <row r="218" spans="1:159" ht="17.25" thickBot="1" x14ac:dyDescent="0.3">
      <c r="A218" s="226">
        <v>46121</v>
      </c>
      <c r="B218" s="227" t="s">
        <v>221</v>
      </c>
      <c r="C218" s="227" t="s">
        <v>306</v>
      </c>
      <c r="D218" s="228">
        <v>3000</v>
      </c>
      <c r="E218" s="228">
        <v>19</v>
      </c>
      <c r="F218" s="228">
        <v>202.36</v>
      </c>
      <c r="G218" s="228">
        <v>201.82</v>
      </c>
      <c r="H218" s="228">
        <v>0.54</v>
      </c>
      <c r="I218" s="229">
        <v>2.7000000000000001E-3</v>
      </c>
      <c r="J218" s="228">
        <v>202.87</v>
      </c>
      <c r="K218" s="228">
        <v>203.42</v>
      </c>
      <c r="L218" s="228">
        <v>-0.55000000000000004</v>
      </c>
      <c r="M218" s="229">
        <v>-2.7000000000000001E-3</v>
      </c>
      <c r="N218" s="228">
        <v>202.36</v>
      </c>
      <c r="O218" s="228">
        <v>201.82</v>
      </c>
      <c r="P218" s="228">
        <v>0.54</v>
      </c>
      <c r="Q218" s="229">
        <v>2.7000000000000001E-3</v>
      </c>
      <c r="R218" s="228">
        <v>201.44</v>
      </c>
      <c r="S218" s="228">
        <v>201.01</v>
      </c>
      <c r="T218" s="228">
        <v>0.43</v>
      </c>
      <c r="U218" s="229">
        <v>2.0999999999999999E-3</v>
      </c>
      <c r="V218" s="228">
        <v>201.15</v>
      </c>
      <c r="W218" s="228">
        <v>200.84</v>
      </c>
      <c r="X218" s="228">
        <v>0.31</v>
      </c>
      <c r="Y218" s="229">
        <v>1.5E-3</v>
      </c>
      <c r="Z218" s="228">
        <v>-0.51</v>
      </c>
      <c r="AA218" s="228">
        <v>-1.6</v>
      </c>
      <c r="AB218" s="228">
        <v>1.0900000000000001</v>
      </c>
      <c r="AC218" s="229">
        <v>-2.5000000000000001E-3</v>
      </c>
      <c r="AD218" s="228">
        <v>-0.51</v>
      </c>
      <c r="AE218" s="228">
        <v>-1.6</v>
      </c>
      <c r="AF218" s="228">
        <v>1.0900000000000001</v>
      </c>
      <c r="AG218" s="229">
        <v>-2.5000000000000001E-3</v>
      </c>
      <c r="AH218" s="228">
        <v>-1.43</v>
      </c>
      <c r="AI218" s="228">
        <v>-2.41</v>
      </c>
      <c r="AJ218" s="228">
        <v>0.98</v>
      </c>
      <c r="AK218" s="229">
        <v>-7.0000000000000001E-3</v>
      </c>
      <c r="AL218" s="228">
        <v>-1.72</v>
      </c>
      <c r="AM218" s="228">
        <v>-2.58</v>
      </c>
      <c r="AN218" s="228">
        <v>0.86</v>
      </c>
      <c r="AO218" s="229">
        <v>-8.5000000000000006E-3</v>
      </c>
      <c r="AP218" s="228">
        <v>201.79</v>
      </c>
      <c r="AQ218" s="228">
        <v>200.79</v>
      </c>
      <c r="AR218" s="228">
        <v>0</v>
      </c>
      <c r="AS218" s="228">
        <v>423</v>
      </c>
      <c r="AT218" s="230">
        <v>1023</v>
      </c>
      <c r="AU218" s="228">
        <v>-600</v>
      </c>
      <c r="AV218" s="229">
        <v>-0.58620000000000005</v>
      </c>
      <c r="AW218" s="228">
        <v>364</v>
      </c>
      <c r="AX218" s="228">
        <v>788</v>
      </c>
      <c r="AY218" s="228">
        <v>-424</v>
      </c>
      <c r="AZ218" s="229">
        <v>-0.53779999999999994</v>
      </c>
      <c r="BA218" s="228">
        <v>51</v>
      </c>
      <c r="BB218" s="228">
        <v>204</v>
      </c>
      <c r="BC218" s="228">
        <v>-153</v>
      </c>
      <c r="BD218" s="229">
        <v>-0.74970000000000003</v>
      </c>
      <c r="BE218" s="228">
        <v>8</v>
      </c>
      <c r="BF218" s="228">
        <v>31</v>
      </c>
      <c r="BG218" s="228">
        <v>-23</v>
      </c>
      <c r="BH218" s="229">
        <v>-0.74060000000000004</v>
      </c>
      <c r="BI218" s="228">
        <v>785</v>
      </c>
      <c r="BJ218" s="230">
        <v>1376</v>
      </c>
      <c r="BK218" s="228">
        <v>-592</v>
      </c>
      <c r="BL218" s="229">
        <v>-0.4299</v>
      </c>
      <c r="BM218" s="228">
        <v>393</v>
      </c>
      <c r="BN218" s="228">
        <v>615</v>
      </c>
      <c r="BO218" s="228">
        <v>-221</v>
      </c>
      <c r="BP218" s="229">
        <v>-0.36009999999999998</v>
      </c>
      <c r="BQ218" s="230">
        <v>1601</v>
      </c>
      <c r="BR218" s="230">
        <v>3014</v>
      </c>
      <c r="BS218" s="230">
        <v>-1413</v>
      </c>
      <c r="BT218" s="229">
        <v>-0.46870000000000001</v>
      </c>
      <c r="BU218" s="230">
        <v>14884053</v>
      </c>
      <c r="BV218" s="230">
        <v>22911491</v>
      </c>
      <c r="BW218" s="230">
        <v>-8027438</v>
      </c>
      <c r="BX218" s="229">
        <v>-0.35039999999999999</v>
      </c>
      <c r="BY218" s="230">
        <v>4542</v>
      </c>
      <c r="BZ218" s="230">
        <v>4486</v>
      </c>
      <c r="CA218" s="228">
        <v>56</v>
      </c>
      <c r="CB218" s="229">
        <v>1.24E-2</v>
      </c>
      <c r="CC218" s="230">
        <v>4218</v>
      </c>
      <c r="CD218" s="230">
        <v>4186</v>
      </c>
      <c r="CE218" s="228">
        <v>32</v>
      </c>
      <c r="CF218" s="229">
        <v>7.6E-3</v>
      </c>
      <c r="CG218" s="228">
        <v>280</v>
      </c>
      <c r="CH218" s="228">
        <v>259</v>
      </c>
      <c r="CI218" s="228">
        <v>21</v>
      </c>
      <c r="CJ218" s="229">
        <v>7.9100000000000004E-2</v>
      </c>
      <c r="CK218" s="228">
        <v>44</v>
      </c>
      <c r="CL218" s="228">
        <v>41</v>
      </c>
      <c r="CM218" s="228">
        <v>3</v>
      </c>
      <c r="CN218" s="229">
        <v>7.5600000000000001E-2</v>
      </c>
      <c r="CO218" s="230">
        <v>1074</v>
      </c>
      <c r="CP218" s="230">
        <v>1032</v>
      </c>
      <c r="CQ218" s="228">
        <v>42</v>
      </c>
      <c r="CR218" s="229">
        <v>4.0899999999999999E-2</v>
      </c>
      <c r="CS218" s="228">
        <v>786</v>
      </c>
      <c r="CT218" s="228">
        <v>712</v>
      </c>
      <c r="CU218" s="228">
        <v>74</v>
      </c>
      <c r="CV218" s="229">
        <v>0.1033</v>
      </c>
      <c r="CW218" s="230">
        <v>6402</v>
      </c>
      <c r="CX218" s="230">
        <v>6230</v>
      </c>
      <c r="CY218" s="228">
        <v>171</v>
      </c>
      <c r="CZ218" s="229">
        <v>2.75E-2</v>
      </c>
      <c r="DA218" s="228">
        <v>38.97</v>
      </c>
      <c r="DB218" s="228">
        <v>38</v>
      </c>
      <c r="DC218" s="228">
        <v>0.97</v>
      </c>
      <c r="DD218" s="228">
        <v>0.97</v>
      </c>
      <c r="DE218" s="228">
        <v>31.32</v>
      </c>
      <c r="DF218" s="228">
        <v>31.4</v>
      </c>
      <c r="DG218" s="228">
        <v>7.65</v>
      </c>
      <c r="DH218" s="228">
        <v>-0.08</v>
      </c>
      <c r="DI218" s="228">
        <v>38.4</v>
      </c>
      <c r="DJ218" s="228">
        <v>37.729999999999997</v>
      </c>
      <c r="DK218" s="228">
        <v>0.67</v>
      </c>
      <c r="DL218" s="228">
        <v>0.67</v>
      </c>
      <c r="DM218" s="228">
        <v>40.11</v>
      </c>
      <c r="DN218" s="228">
        <v>38.61</v>
      </c>
      <c r="DO218" s="228">
        <v>1.5</v>
      </c>
      <c r="DP218" s="228">
        <v>1.5</v>
      </c>
      <c r="DQ218" s="228">
        <v>0.73</v>
      </c>
      <c r="DR218" s="228">
        <v>0.69</v>
      </c>
      <c r="DS218" s="228">
        <v>0.04</v>
      </c>
      <c r="DT218" s="229">
        <v>5.8000000000000003E-2</v>
      </c>
      <c r="DU218" s="228">
        <v>200</v>
      </c>
      <c r="DV218" s="228">
        <v>200</v>
      </c>
      <c r="DW218" s="228">
        <v>0.5</v>
      </c>
      <c r="DX218" s="228">
        <v>0.45</v>
      </c>
      <c r="DY218" s="228">
        <v>0.05</v>
      </c>
      <c r="DZ218" s="229">
        <v>0.1111</v>
      </c>
      <c r="EA218" s="229">
        <v>7.1300000000000002E-2</v>
      </c>
      <c r="EB218" s="230">
        <v>14838000</v>
      </c>
      <c r="EC218" s="229">
        <v>-4.4999999999999997E-3</v>
      </c>
      <c r="ED218" s="229">
        <v>7.1300000000000002E-2</v>
      </c>
      <c r="EE218" s="228">
        <v>-1</v>
      </c>
      <c r="EF218" s="229">
        <v>-5.0000000000000001E-3</v>
      </c>
      <c r="EG218" s="230">
        <v>7239417</v>
      </c>
      <c r="EH218" s="230">
        <v>8669641</v>
      </c>
      <c r="EI218" s="229">
        <v>-0.16500000000000001</v>
      </c>
      <c r="EJ218" s="229">
        <v>0.4864</v>
      </c>
      <c r="EK218" s="228">
        <v>834.37</v>
      </c>
      <c r="EL218" s="228">
        <v>385.6</v>
      </c>
      <c r="EM218" s="228">
        <v>421.7</v>
      </c>
      <c r="EN218" s="228">
        <v>111.46</v>
      </c>
      <c r="EO218" s="231">
        <v>1641.67</v>
      </c>
      <c r="EP218" s="231">
        <v>3097.07</v>
      </c>
      <c r="EQ218" s="231">
        <v>-1455.39</v>
      </c>
      <c r="ER218" s="229">
        <v>-0.46989999999999998</v>
      </c>
      <c r="ES218" s="231">
        <v>1115.58</v>
      </c>
      <c r="ET218" s="228">
        <v>755.16</v>
      </c>
      <c r="EU218" s="231">
        <v>4540.1499999999996</v>
      </c>
      <c r="EV218" s="231">
        <v>428710078</v>
      </c>
      <c r="EW218" s="231">
        <v>6410.9</v>
      </c>
      <c r="EX218" s="231">
        <v>6227.97</v>
      </c>
      <c r="EY218" s="228">
        <v>182.93</v>
      </c>
      <c r="EZ218" s="229">
        <v>2.9399999999999999E-2</v>
      </c>
      <c r="FA218" s="229">
        <v>0.7379</v>
      </c>
      <c r="FB218" s="227" t="s">
        <v>555</v>
      </c>
      <c r="FC218">
        <f t="shared" si="4"/>
        <v>0</v>
      </c>
    </row>
    <row r="219" spans="1:159" ht="17.25" thickBot="1" x14ac:dyDescent="0.3">
      <c r="A219" s="226">
        <v>46121</v>
      </c>
      <c r="B219" s="227" t="s">
        <v>172</v>
      </c>
      <c r="C219" s="227" t="s">
        <v>589</v>
      </c>
      <c r="D219" s="228">
        <v>31100</v>
      </c>
      <c r="E219" s="228">
        <v>19</v>
      </c>
      <c r="F219" s="228">
        <v>19.02</v>
      </c>
      <c r="G219" s="228">
        <v>19.11</v>
      </c>
      <c r="H219" s="228">
        <v>-0.09</v>
      </c>
      <c r="I219" s="229">
        <v>-4.7000000000000002E-3</v>
      </c>
      <c r="J219" s="228">
        <v>18.93</v>
      </c>
      <c r="K219" s="228">
        <v>19.04</v>
      </c>
      <c r="L219" s="228">
        <v>-0.11</v>
      </c>
      <c r="M219" s="229">
        <v>-5.7999999999999996E-3</v>
      </c>
      <c r="N219" s="228">
        <v>19.02</v>
      </c>
      <c r="O219" s="228">
        <v>19.11</v>
      </c>
      <c r="P219" s="228">
        <v>-0.09</v>
      </c>
      <c r="Q219" s="229">
        <v>-4.7000000000000002E-3</v>
      </c>
      <c r="R219" s="228">
        <v>19.14</v>
      </c>
      <c r="S219" s="228">
        <v>19.22</v>
      </c>
      <c r="T219" s="228">
        <v>-0.08</v>
      </c>
      <c r="U219" s="229">
        <v>-4.1999999999999997E-3</v>
      </c>
      <c r="V219" s="228">
        <v>19.27</v>
      </c>
      <c r="W219" s="228">
        <v>19.37</v>
      </c>
      <c r="X219" s="228">
        <v>-0.1</v>
      </c>
      <c r="Y219" s="229">
        <v>-5.1999999999999998E-3</v>
      </c>
      <c r="Z219" s="228">
        <v>0.09</v>
      </c>
      <c r="AA219" s="228">
        <v>7.0000000000000007E-2</v>
      </c>
      <c r="AB219" s="228">
        <v>0.02</v>
      </c>
      <c r="AC219" s="229">
        <v>4.7999999999999996E-3</v>
      </c>
      <c r="AD219" s="228">
        <v>0.09</v>
      </c>
      <c r="AE219" s="228">
        <v>7.0000000000000007E-2</v>
      </c>
      <c r="AF219" s="228">
        <v>0.02</v>
      </c>
      <c r="AG219" s="229">
        <v>4.7999999999999996E-3</v>
      </c>
      <c r="AH219" s="228">
        <v>0.21</v>
      </c>
      <c r="AI219" s="228">
        <v>0.18</v>
      </c>
      <c r="AJ219" s="228">
        <v>0.03</v>
      </c>
      <c r="AK219" s="229">
        <v>1.11E-2</v>
      </c>
      <c r="AL219" s="228">
        <v>0.34</v>
      </c>
      <c r="AM219" s="228">
        <v>0.33</v>
      </c>
      <c r="AN219" s="228">
        <v>0.01</v>
      </c>
      <c r="AO219" s="229">
        <v>1.7999999999999999E-2</v>
      </c>
      <c r="AP219" s="228">
        <v>19.07</v>
      </c>
      <c r="AQ219" s="228">
        <v>19.190000000000001</v>
      </c>
      <c r="AR219" s="228">
        <v>0</v>
      </c>
      <c r="AS219" s="228">
        <v>155</v>
      </c>
      <c r="AT219" s="228">
        <v>303</v>
      </c>
      <c r="AU219" s="228">
        <v>-148</v>
      </c>
      <c r="AV219" s="229">
        <v>-0.48859999999999998</v>
      </c>
      <c r="AW219" s="228">
        <v>125</v>
      </c>
      <c r="AX219" s="228">
        <v>263</v>
      </c>
      <c r="AY219" s="228">
        <v>-138</v>
      </c>
      <c r="AZ219" s="229">
        <v>-0.52370000000000005</v>
      </c>
      <c r="BA219" s="228">
        <v>26</v>
      </c>
      <c r="BB219" s="228">
        <v>34</v>
      </c>
      <c r="BC219" s="228">
        <v>-9</v>
      </c>
      <c r="BD219" s="229">
        <v>-0.253</v>
      </c>
      <c r="BE219" s="228">
        <v>4</v>
      </c>
      <c r="BF219" s="228">
        <v>5</v>
      </c>
      <c r="BG219" s="228">
        <v>-1</v>
      </c>
      <c r="BH219" s="229">
        <v>-0.25879999999999997</v>
      </c>
      <c r="BI219" s="228">
        <v>423</v>
      </c>
      <c r="BJ219" s="228">
        <v>627</v>
      </c>
      <c r="BK219" s="228">
        <v>-204</v>
      </c>
      <c r="BL219" s="229">
        <v>-0.32479999999999998</v>
      </c>
      <c r="BM219" s="228">
        <v>223</v>
      </c>
      <c r="BN219" s="228">
        <v>331</v>
      </c>
      <c r="BO219" s="228">
        <v>-109</v>
      </c>
      <c r="BP219" s="229">
        <v>-0.32790000000000002</v>
      </c>
      <c r="BQ219" s="228">
        <v>801</v>
      </c>
      <c r="BR219" s="230">
        <v>1261</v>
      </c>
      <c r="BS219" s="228">
        <v>-460</v>
      </c>
      <c r="BT219" s="229">
        <v>-0.3649</v>
      </c>
      <c r="BU219" s="230">
        <v>88849586</v>
      </c>
      <c r="BV219" s="230">
        <v>129163515</v>
      </c>
      <c r="BW219" s="230">
        <v>-40313929</v>
      </c>
      <c r="BX219" s="229">
        <v>-0.31209999999999999</v>
      </c>
      <c r="BY219" s="230">
        <v>2195</v>
      </c>
      <c r="BZ219" s="230">
        <v>2191</v>
      </c>
      <c r="CA219" s="228">
        <v>4</v>
      </c>
      <c r="CB219" s="229">
        <v>2E-3</v>
      </c>
      <c r="CC219" s="230">
        <v>2026</v>
      </c>
      <c r="CD219" s="230">
        <v>2027</v>
      </c>
      <c r="CE219" s="228">
        <v>-1</v>
      </c>
      <c r="CF219" s="229">
        <v>-5.9999999999999995E-4</v>
      </c>
      <c r="CG219" s="228">
        <v>154</v>
      </c>
      <c r="CH219" s="228">
        <v>150</v>
      </c>
      <c r="CI219" s="228">
        <v>4</v>
      </c>
      <c r="CJ219" s="229">
        <v>2.93E-2</v>
      </c>
      <c r="CK219" s="228">
        <v>15</v>
      </c>
      <c r="CL219" s="228">
        <v>14</v>
      </c>
      <c r="CM219" s="228">
        <v>1</v>
      </c>
      <c r="CN219" s="229">
        <v>7.6300000000000007E-2</v>
      </c>
      <c r="CO219" s="228">
        <v>533</v>
      </c>
      <c r="CP219" s="228">
        <v>506</v>
      </c>
      <c r="CQ219" s="228">
        <v>27</v>
      </c>
      <c r="CR219" s="229">
        <v>5.3600000000000002E-2</v>
      </c>
      <c r="CS219" s="228">
        <v>461</v>
      </c>
      <c r="CT219" s="228">
        <v>445</v>
      </c>
      <c r="CU219" s="228">
        <v>15</v>
      </c>
      <c r="CV219" s="229">
        <v>3.4099999999999998E-2</v>
      </c>
      <c r="CW219" s="230">
        <v>3189</v>
      </c>
      <c r="CX219" s="230">
        <v>3143</v>
      </c>
      <c r="CY219" s="228">
        <v>47</v>
      </c>
      <c r="CZ219" s="229">
        <v>1.49E-2</v>
      </c>
      <c r="DA219" s="228">
        <v>37.92</v>
      </c>
      <c r="DB219" s="228">
        <v>38.25</v>
      </c>
      <c r="DC219" s="228">
        <v>-0.33</v>
      </c>
      <c r="DD219" s="228">
        <v>-0.33</v>
      </c>
      <c r="DE219" s="228">
        <v>38.68</v>
      </c>
      <c r="DF219" s="228">
        <v>38.78</v>
      </c>
      <c r="DG219" s="228">
        <v>-0.76</v>
      </c>
      <c r="DH219" s="228">
        <v>-0.1</v>
      </c>
      <c r="DI219" s="228">
        <v>36.54</v>
      </c>
      <c r="DJ219" s="228">
        <v>37.17</v>
      </c>
      <c r="DK219" s="228">
        <v>-0.63</v>
      </c>
      <c r="DL219" s="228">
        <v>-0.63</v>
      </c>
      <c r="DM219" s="228">
        <v>40.56</v>
      </c>
      <c r="DN219" s="228">
        <v>40.299999999999997</v>
      </c>
      <c r="DO219" s="228">
        <v>0.26</v>
      </c>
      <c r="DP219" s="228">
        <v>0.26</v>
      </c>
      <c r="DQ219" s="228">
        <v>0.86</v>
      </c>
      <c r="DR219" s="228">
        <v>0.88</v>
      </c>
      <c r="DS219" s="228">
        <v>-0.02</v>
      </c>
      <c r="DT219" s="229">
        <v>-2.2700000000000001E-2</v>
      </c>
      <c r="DU219" s="228">
        <v>20</v>
      </c>
      <c r="DV219" s="228">
        <v>18</v>
      </c>
      <c r="DW219" s="228">
        <v>0.53</v>
      </c>
      <c r="DX219" s="228">
        <v>0.53</v>
      </c>
      <c r="DY219" s="228">
        <v>0</v>
      </c>
      <c r="DZ219" s="229">
        <v>0</v>
      </c>
      <c r="EA219" s="229">
        <v>7.6999999999999999E-2</v>
      </c>
      <c r="EB219" s="230">
        <v>85991500</v>
      </c>
      <c r="EC219" s="229">
        <v>6.3E-3</v>
      </c>
      <c r="ED219" s="229">
        <v>7.6999999999999999E-2</v>
      </c>
      <c r="EE219" s="228">
        <v>0.12</v>
      </c>
      <c r="EF219" s="229">
        <v>6.3E-3</v>
      </c>
      <c r="EG219" s="230">
        <v>31635407</v>
      </c>
      <c r="EH219" s="230">
        <v>52993089</v>
      </c>
      <c r="EI219" s="229">
        <v>-0.40300000000000002</v>
      </c>
      <c r="EJ219" s="229">
        <v>0.35610000000000003</v>
      </c>
      <c r="EK219" s="228">
        <v>463.76</v>
      </c>
      <c r="EL219" s="228">
        <v>211.73</v>
      </c>
      <c r="EM219" s="228">
        <v>155.43</v>
      </c>
      <c r="EN219" s="228">
        <v>39.15</v>
      </c>
      <c r="EO219" s="228">
        <v>830.93</v>
      </c>
      <c r="EP219" s="231">
        <v>1293.07</v>
      </c>
      <c r="EQ219" s="228">
        <v>-462.15</v>
      </c>
      <c r="ER219" s="229">
        <v>-0.3574</v>
      </c>
      <c r="ES219" s="228">
        <v>570.05999999999995</v>
      </c>
      <c r="ET219" s="228">
        <v>437.71</v>
      </c>
      <c r="EU219" s="231">
        <v>2196.25</v>
      </c>
      <c r="EV219" s="231">
        <v>3425130022</v>
      </c>
      <c r="EW219" s="231">
        <v>3204.02</v>
      </c>
      <c r="EX219" s="231">
        <v>3165.06</v>
      </c>
      <c r="EY219" s="228">
        <v>38.96</v>
      </c>
      <c r="EZ219" s="229">
        <v>1.23E-2</v>
      </c>
      <c r="FA219" s="229">
        <v>0.48949999999999999</v>
      </c>
      <c r="FB219" s="227" t="s">
        <v>566</v>
      </c>
      <c r="FC219">
        <f t="shared" si="4"/>
        <v>0</v>
      </c>
    </row>
    <row r="220" spans="1:159" ht="17.25" thickBot="1" x14ac:dyDescent="0.3">
      <c r="A220" s="226">
        <v>46121</v>
      </c>
      <c r="B220" s="227" t="s">
        <v>170</v>
      </c>
      <c r="C220" s="227" t="s">
        <v>556</v>
      </c>
      <c r="D220" s="228">
        <v>900</v>
      </c>
      <c r="E220" s="228">
        <v>19</v>
      </c>
      <c r="F220" s="228">
        <v>905.7</v>
      </c>
      <c r="G220" s="228">
        <v>893.45</v>
      </c>
      <c r="H220" s="228">
        <v>12.25</v>
      </c>
      <c r="I220" s="229">
        <v>1.37E-2</v>
      </c>
      <c r="J220" s="228">
        <v>902.25</v>
      </c>
      <c r="K220" s="228">
        <v>891.55</v>
      </c>
      <c r="L220" s="228">
        <v>10.7</v>
      </c>
      <c r="M220" s="229">
        <v>1.2E-2</v>
      </c>
      <c r="N220" s="228">
        <v>905.7</v>
      </c>
      <c r="O220" s="228">
        <v>893.45</v>
      </c>
      <c r="P220" s="228">
        <v>12.25</v>
      </c>
      <c r="Q220" s="229">
        <v>1.37E-2</v>
      </c>
      <c r="R220" s="228">
        <v>909.75</v>
      </c>
      <c r="S220" s="228">
        <v>899.6</v>
      </c>
      <c r="T220" s="228">
        <v>10.15</v>
      </c>
      <c r="U220" s="229">
        <v>1.1299999999999999E-2</v>
      </c>
      <c r="V220" s="228">
        <v>915.45</v>
      </c>
      <c r="W220" s="228">
        <v>902.4</v>
      </c>
      <c r="X220" s="228">
        <v>13.05</v>
      </c>
      <c r="Y220" s="229">
        <v>1.4500000000000001E-2</v>
      </c>
      <c r="Z220" s="228">
        <v>3.45</v>
      </c>
      <c r="AA220" s="228">
        <v>1.9</v>
      </c>
      <c r="AB220" s="228">
        <v>1.55</v>
      </c>
      <c r="AC220" s="229">
        <v>3.8E-3</v>
      </c>
      <c r="AD220" s="228">
        <v>3.45</v>
      </c>
      <c r="AE220" s="228">
        <v>1.9</v>
      </c>
      <c r="AF220" s="228">
        <v>1.55</v>
      </c>
      <c r="AG220" s="229">
        <v>3.8E-3</v>
      </c>
      <c r="AH220" s="228">
        <v>7.5</v>
      </c>
      <c r="AI220" s="228">
        <v>8.0500000000000007</v>
      </c>
      <c r="AJ220" s="228">
        <v>-0.55000000000000004</v>
      </c>
      <c r="AK220" s="229">
        <v>8.3000000000000001E-3</v>
      </c>
      <c r="AL220" s="228">
        <v>13.2</v>
      </c>
      <c r="AM220" s="228">
        <v>10.85</v>
      </c>
      <c r="AN220" s="228">
        <v>2.35</v>
      </c>
      <c r="AO220" s="229">
        <v>1.46E-2</v>
      </c>
      <c r="AP220" s="228">
        <v>904.38</v>
      </c>
      <c r="AQ220" s="228">
        <v>907.65</v>
      </c>
      <c r="AR220" s="228">
        <v>0</v>
      </c>
      <c r="AS220" s="228">
        <v>107</v>
      </c>
      <c r="AT220" s="228">
        <v>119</v>
      </c>
      <c r="AU220" s="228">
        <v>-13</v>
      </c>
      <c r="AV220" s="229">
        <v>-0.1052</v>
      </c>
      <c r="AW220" s="228">
        <v>100</v>
      </c>
      <c r="AX220" s="228">
        <v>111</v>
      </c>
      <c r="AY220" s="228">
        <v>-12</v>
      </c>
      <c r="AZ220" s="229">
        <v>-0.1048</v>
      </c>
      <c r="BA220" s="228">
        <v>7</v>
      </c>
      <c r="BB220" s="228">
        <v>8</v>
      </c>
      <c r="BC220" s="228">
        <v>-1</v>
      </c>
      <c r="BD220" s="229">
        <v>-0.13400000000000001</v>
      </c>
      <c r="BE220" s="228">
        <v>0</v>
      </c>
      <c r="BF220" s="228">
        <v>0</v>
      </c>
      <c r="BG220" s="228">
        <v>0</v>
      </c>
      <c r="BH220" s="229">
        <v>1</v>
      </c>
      <c r="BI220" s="228">
        <v>498</v>
      </c>
      <c r="BJ220" s="228">
        <v>211</v>
      </c>
      <c r="BK220" s="228">
        <v>286</v>
      </c>
      <c r="BL220" s="229">
        <v>1.3552999999999999</v>
      </c>
      <c r="BM220" s="228">
        <v>155</v>
      </c>
      <c r="BN220" s="228">
        <v>94</v>
      </c>
      <c r="BO220" s="228">
        <v>61</v>
      </c>
      <c r="BP220" s="229">
        <v>0.65680000000000005</v>
      </c>
      <c r="BQ220" s="228">
        <v>759</v>
      </c>
      <c r="BR220" s="228">
        <v>424</v>
      </c>
      <c r="BS220" s="228">
        <v>335</v>
      </c>
      <c r="BT220" s="229">
        <v>0.79039999999999999</v>
      </c>
      <c r="BU220" s="230">
        <v>732798</v>
      </c>
      <c r="BV220" s="230">
        <v>793841</v>
      </c>
      <c r="BW220" s="230">
        <v>-61043</v>
      </c>
      <c r="BX220" s="229">
        <v>-7.6899999999999996E-2</v>
      </c>
      <c r="BY220" s="228">
        <v>818</v>
      </c>
      <c r="BZ220" s="228">
        <v>832</v>
      </c>
      <c r="CA220" s="228">
        <v>-15</v>
      </c>
      <c r="CB220" s="229">
        <v>-1.77E-2</v>
      </c>
      <c r="CC220" s="228">
        <v>804</v>
      </c>
      <c r="CD220" s="228">
        <v>819</v>
      </c>
      <c r="CE220" s="228">
        <v>-15</v>
      </c>
      <c r="CF220" s="229">
        <v>-1.8800000000000001E-2</v>
      </c>
      <c r="CG220" s="228">
        <v>13</v>
      </c>
      <c r="CH220" s="228">
        <v>13</v>
      </c>
      <c r="CI220" s="228">
        <v>1</v>
      </c>
      <c r="CJ220" s="229">
        <v>4.4900000000000002E-2</v>
      </c>
      <c r="CK220" s="228">
        <v>0</v>
      </c>
      <c r="CL220" s="228">
        <v>0</v>
      </c>
      <c r="CM220" s="228">
        <v>0</v>
      </c>
      <c r="CN220" s="229">
        <v>0.2</v>
      </c>
      <c r="CO220" s="228">
        <v>237</v>
      </c>
      <c r="CP220" s="228">
        <v>210</v>
      </c>
      <c r="CQ220" s="228">
        <v>27</v>
      </c>
      <c r="CR220" s="229">
        <v>0.12989999999999999</v>
      </c>
      <c r="CS220" s="228">
        <v>185</v>
      </c>
      <c r="CT220" s="228">
        <v>181</v>
      </c>
      <c r="CU220" s="228">
        <v>4</v>
      </c>
      <c r="CV220" s="229">
        <v>2.4299999999999999E-2</v>
      </c>
      <c r="CW220" s="230">
        <v>1240</v>
      </c>
      <c r="CX220" s="230">
        <v>1223</v>
      </c>
      <c r="CY220" s="228">
        <v>17</v>
      </c>
      <c r="CZ220" s="229">
        <v>1.38E-2</v>
      </c>
      <c r="DA220" s="228">
        <v>25.13</v>
      </c>
      <c r="DB220" s="228">
        <v>25</v>
      </c>
      <c r="DC220" s="228">
        <v>0.13</v>
      </c>
      <c r="DD220" s="228">
        <v>0.13</v>
      </c>
      <c r="DE220" s="228">
        <v>28.35</v>
      </c>
      <c r="DF220" s="228">
        <v>28.36</v>
      </c>
      <c r="DG220" s="228">
        <v>-3.22</v>
      </c>
      <c r="DH220" s="228">
        <v>-0.01</v>
      </c>
      <c r="DI220" s="228">
        <v>24.56</v>
      </c>
      <c r="DJ220" s="228">
        <v>24.25</v>
      </c>
      <c r="DK220" s="228">
        <v>0.31</v>
      </c>
      <c r="DL220" s="228">
        <v>0.31</v>
      </c>
      <c r="DM220" s="228">
        <v>26.94</v>
      </c>
      <c r="DN220" s="228">
        <v>26.71</v>
      </c>
      <c r="DO220" s="228">
        <v>0.23</v>
      </c>
      <c r="DP220" s="228">
        <v>0.23</v>
      </c>
      <c r="DQ220" s="228">
        <v>0.78</v>
      </c>
      <c r="DR220" s="228">
        <v>0.86</v>
      </c>
      <c r="DS220" s="228">
        <v>-0.08</v>
      </c>
      <c r="DT220" s="229">
        <v>-9.2999999999999999E-2</v>
      </c>
      <c r="DU220" s="231">
        <v>1000</v>
      </c>
      <c r="DV220" s="228">
        <v>900</v>
      </c>
      <c r="DW220" s="228">
        <v>0.31</v>
      </c>
      <c r="DX220" s="228">
        <v>0.44</v>
      </c>
      <c r="DY220" s="228">
        <v>-0.13</v>
      </c>
      <c r="DZ220" s="229">
        <v>-0.29549999999999998</v>
      </c>
      <c r="EA220" s="229">
        <v>1.6799999999999999E-2</v>
      </c>
      <c r="EB220" s="230">
        <v>144900</v>
      </c>
      <c r="EC220" s="229">
        <v>4.4999999999999997E-3</v>
      </c>
      <c r="ED220" s="229">
        <v>1.6799999999999999E-2</v>
      </c>
      <c r="EE220" s="228">
        <v>3.27</v>
      </c>
      <c r="EF220" s="229">
        <v>3.5999999999999999E-3</v>
      </c>
      <c r="EG220" s="230">
        <v>351599</v>
      </c>
      <c r="EH220" s="230">
        <v>369128</v>
      </c>
      <c r="EI220" s="229">
        <v>-4.7500000000000001E-2</v>
      </c>
      <c r="EJ220" s="229">
        <v>0.4798</v>
      </c>
      <c r="EK220" s="228">
        <v>515.72</v>
      </c>
      <c r="EL220" s="228">
        <v>151.59</v>
      </c>
      <c r="EM220" s="228">
        <v>106.65</v>
      </c>
      <c r="EN220" s="228">
        <v>15.98</v>
      </c>
      <c r="EO220" s="228">
        <v>773.96</v>
      </c>
      <c r="EP220" s="228">
        <v>422.6</v>
      </c>
      <c r="EQ220" s="228">
        <v>351.36</v>
      </c>
      <c r="ER220" s="229">
        <v>0.83140000000000003</v>
      </c>
      <c r="ES220" s="228">
        <v>245.39</v>
      </c>
      <c r="ET220" s="228">
        <v>181.28</v>
      </c>
      <c r="EU220" s="228">
        <v>817.72</v>
      </c>
      <c r="EV220" s="231">
        <v>25160867</v>
      </c>
      <c r="EW220" s="231">
        <v>1244.3900000000001</v>
      </c>
      <c r="EX220" s="231">
        <v>1212.8699999999999</v>
      </c>
      <c r="EY220" s="228">
        <v>31.52</v>
      </c>
      <c r="EZ220" s="229">
        <v>2.5999999999999999E-2</v>
      </c>
      <c r="FA220" s="229">
        <v>0.54410000000000003</v>
      </c>
      <c r="FB220" s="227" t="s">
        <v>694</v>
      </c>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BY330-CC330</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BY394-CC394</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A15" zoomScaleNormal="100" workbookViewId="0">
      <selection activeCell="BZ23" sqref="BZ23"/>
    </sheetView>
  </sheetViews>
  <sheetFormatPr defaultRowHeight="15" x14ac:dyDescent="0.25"/>
  <cols>
    <col min="1" max="1" width="12"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90" width="12.7109375" customWidth="1"/>
    <col min="91" max="91" width="11.28515625" customWidth="1"/>
    <col min="92" max="93" width="15.5703125" customWidth="1"/>
    <col min="94" max="94" width="12.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6.7109375" customWidth="1"/>
    <col min="153"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46121</v>
      </c>
      <c r="B2" s="227" t="s">
        <v>175</v>
      </c>
      <c r="C2" s="227" t="s">
        <v>680</v>
      </c>
      <c r="D2" s="228">
        <v>500</v>
      </c>
      <c r="E2" s="231">
        <v>1001.3</v>
      </c>
      <c r="F2" s="228">
        <v>973.85</v>
      </c>
      <c r="G2" s="228">
        <v>27.45</v>
      </c>
      <c r="H2" s="229">
        <v>2.8199999999999999E-2</v>
      </c>
      <c r="I2" s="228">
        <v>998.1</v>
      </c>
      <c r="J2" s="228">
        <v>971.7</v>
      </c>
      <c r="K2" s="228">
        <v>26.4</v>
      </c>
      <c r="L2" s="229">
        <v>2.7199999999999998E-2</v>
      </c>
      <c r="M2" s="231">
        <v>1001.3</v>
      </c>
      <c r="N2" s="228">
        <v>973.85</v>
      </c>
      <c r="O2" s="228">
        <v>27.45</v>
      </c>
      <c r="P2" s="229">
        <v>2.8199999999999999E-2</v>
      </c>
      <c r="Q2" s="231">
        <v>1010.25</v>
      </c>
      <c r="R2" s="228">
        <v>979.1</v>
      </c>
      <c r="S2" s="228">
        <v>31.15</v>
      </c>
      <c r="T2" s="229">
        <v>3.1800000000000002E-2</v>
      </c>
      <c r="U2" s="231">
        <v>1009.55</v>
      </c>
      <c r="V2" s="228">
        <v>978</v>
      </c>
      <c r="W2" s="228">
        <v>31.55</v>
      </c>
      <c r="X2" s="229">
        <v>3.2300000000000002E-2</v>
      </c>
      <c r="Y2" s="228">
        <v>3.2</v>
      </c>
      <c r="Z2" s="228">
        <v>2.15</v>
      </c>
      <c r="AA2" s="228">
        <v>1.05</v>
      </c>
      <c r="AB2" s="229">
        <v>3.2000000000000002E-3</v>
      </c>
      <c r="AC2" s="228">
        <v>3.2</v>
      </c>
      <c r="AD2" s="228">
        <v>2.15</v>
      </c>
      <c r="AE2" s="228">
        <v>1.05</v>
      </c>
      <c r="AF2" s="229">
        <v>3.2000000000000002E-3</v>
      </c>
      <c r="AG2" s="228">
        <v>12.15</v>
      </c>
      <c r="AH2" s="228">
        <v>7.4</v>
      </c>
      <c r="AI2" s="228">
        <v>4.75</v>
      </c>
      <c r="AJ2" s="229">
        <v>1.2200000000000001E-2</v>
      </c>
      <c r="AK2" s="228">
        <v>11.45</v>
      </c>
      <c r="AL2" s="228">
        <v>6.3</v>
      </c>
      <c r="AM2" s="228">
        <v>5.15</v>
      </c>
      <c r="AN2" s="229">
        <v>1.15E-2</v>
      </c>
      <c r="AO2" s="231">
        <v>1001.09</v>
      </c>
      <c r="AP2" s="231">
        <v>1009.02</v>
      </c>
      <c r="AQ2" s="228">
        <v>0</v>
      </c>
      <c r="AR2" s="230">
        <v>1866500</v>
      </c>
      <c r="AS2" s="230">
        <v>2853000</v>
      </c>
      <c r="AT2" s="230">
        <v>-986500</v>
      </c>
      <c r="AU2" s="229">
        <v>-0.3458</v>
      </c>
      <c r="AV2" s="230">
        <v>1706500</v>
      </c>
      <c r="AW2" s="230">
        <v>2787000</v>
      </c>
      <c r="AX2" s="230">
        <v>-1080500</v>
      </c>
      <c r="AY2" s="229">
        <v>-0.38769999999999999</v>
      </c>
      <c r="AZ2" s="230">
        <v>157000</v>
      </c>
      <c r="BA2" s="230">
        <v>64500</v>
      </c>
      <c r="BB2" s="230">
        <v>92500</v>
      </c>
      <c r="BC2" s="229">
        <v>1.4340999999999999</v>
      </c>
      <c r="BD2" s="230">
        <v>3000</v>
      </c>
      <c r="BE2" s="230">
        <v>1500</v>
      </c>
      <c r="BF2" s="230">
        <v>1500</v>
      </c>
      <c r="BG2" s="229">
        <v>1</v>
      </c>
      <c r="BH2" s="230">
        <v>4188000</v>
      </c>
      <c r="BI2" s="230">
        <v>3102000</v>
      </c>
      <c r="BJ2" s="230">
        <v>1086000</v>
      </c>
      <c r="BK2" s="229">
        <v>0.35010000000000002</v>
      </c>
      <c r="BL2" s="230">
        <v>848500</v>
      </c>
      <c r="BM2" s="230">
        <v>759500</v>
      </c>
      <c r="BN2" s="230">
        <v>89000</v>
      </c>
      <c r="BO2" s="229">
        <v>0.1172</v>
      </c>
      <c r="BP2" s="230">
        <v>6903000</v>
      </c>
      <c r="BQ2" s="230">
        <v>6714500</v>
      </c>
      <c r="BR2" s="230">
        <v>188500</v>
      </c>
      <c r="BS2" s="229">
        <v>2.81E-2</v>
      </c>
      <c r="BT2" s="230">
        <v>3171641</v>
      </c>
      <c r="BU2" s="230">
        <v>4855833</v>
      </c>
      <c r="BV2" s="230">
        <v>-1684192</v>
      </c>
      <c r="BW2" s="229">
        <v>-0.3468</v>
      </c>
      <c r="BX2" s="230">
        <v>5022500</v>
      </c>
      <c r="BY2" s="230">
        <v>4581500</v>
      </c>
      <c r="BZ2" s="230">
        <v>441000</v>
      </c>
      <c r="CA2" s="229">
        <v>9.6299999999999997E-2</v>
      </c>
      <c r="CB2" s="230">
        <v>4907000</v>
      </c>
      <c r="CC2" s="230">
        <v>4518000</v>
      </c>
      <c r="CD2" s="230">
        <v>389000</v>
      </c>
      <c r="CE2" s="229">
        <v>8.6099999999999996E-2</v>
      </c>
      <c r="CF2" s="230">
        <v>112000</v>
      </c>
      <c r="CG2" s="230">
        <v>61000</v>
      </c>
      <c r="CH2" s="230">
        <v>51000</v>
      </c>
      <c r="CI2" s="229">
        <v>0.83609999999999995</v>
      </c>
      <c r="CJ2" s="230">
        <v>3500</v>
      </c>
      <c r="CK2" s="230">
        <v>2500</v>
      </c>
      <c r="CL2" s="230">
        <v>1000</v>
      </c>
      <c r="CM2" s="229">
        <v>0.4</v>
      </c>
      <c r="CN2" s="230">
        <v>855000</v>
      </c>
      <c r="CO2" s="230">
        <v>903500</v>
      </c>
      <c r="CP2" s="230">
        <v>-48500</v>
      </c>
      <c r="CQ2" s="229">
        <v>-5.3699999999999998E-2</v>
      </c>
      <c r="CR2" s="230">
        <v>663000</v>
      </c>
      <c r="CS2" s="230">
        <v>514500</v>
      </c>
      <c r="CT2" s="230">
        <v>148500</v>
      </c>
      <c r="CU2" s="229">
        <v>0.28860000000000002</v>
      </c>
      <c r="CV2" s="230">
        <v>6540500</v>
      </c>
      <c r="CW2" s="230">
        <v>5999500</v>
      </c>
      <c r="CX2" s="230">
        <v>541000</v>
      </c>
      <c r="CY2" s="229">
        <v>9.0200000000000002E-2</v>
      </c>
      <c r="CZ2" s="228">
        <v>43.44</v>
      </c>
      <c r="DA2" s="228">
        <v>43.58</v>
      </c>
      <c r="DB2" s="228">
        <v>-0.14000000000000001</v>
      </c>
      <c r="DC2" s="228">
        <v>-0.14000000000000001</v>
      </c>
      <c r="DD2" s="228">
        <v>41.95</v>
      </c>
      <c r="DE2" s="228">
        <v>41.88</v>
      </c>
      <c r="DF2" s="228">
        <v>1.49</v>
      </c>
      <c r="DG2" s="228">
        <v>7.0000000000000007E-2</v>
      </c>
      <c r="DH2" s="228">
        <v>43.49</v>
      </c>
      <c r="DI2" s="228">
        <v>43.75</v>
      </c>
      <c r="DJ2" s="228">
        <v>-0.26</v>
      </c>
      <c r="DK2" s="228">
        <v>-0.26</v>
      </c>
      <c r="DL2" s="228">
        <v>43.19</v>
      </c>
      <c r="DM2" s="228">
        <v>42.87</v>
      </c>
      <c r="DN2" s="228">
        <v>0.32</v>
      </c>
      <c r="DO2" s="228">
        <v>0.32</v>
      </c>
      <c r="DP2" s="228">
        <v>0.78</v>
      </c>
      <c r="DQ2" s="228">
        <v>0.56999999999999995</v>
      </c>
      <c r="DR2" s="228">
        <v>0.21</v>
      </c>
      <c r="DS2" s="229">
        <v>0.36840000000000001</v>
      </c>
      <c r="DT2" s="231">
        <v>1000</v>
      </c>
      <c r="DU2" s="228">
        <v>940</v>
      </c>
      <c r="DV2" s="228">
        <v>0.2</v>
      </c>
      <c r="DW2" s="228">
        <v>0.24</v>
      </c>
      <c r="DX2" s="228">
        <v>-0.04</v>
      </c>
      <c r="DY2" s="229">
        <v>-0.16669999999999999</v>
      </c>
      <c r="DZ2" s="229">
        <v>2.3E-2</v>
      </c>
      <c r="EA2" s="230">
        <v>63500</v>
      </c>
      <c r="EB2" s="229">
        <v>8.8999999999999999E-3</v>
      </c>
      <c r="EC2" s="229">
        <v>2.3E-2</v>
      </c>
      <c r="ED2" s="228">
        <v>7.93</v>
      </c>
      <c r="EE2" s="229">
        <v>7.9000000000000008E-3</v>
      </c>
      <c r="EF2" s="230">
        <v>1905658</v>
      </c>
      <c r="EG2" s="230">
        <v>3532951</v>
      </c>
      <c r="EH2" s="229">
        <v>-0.46060000000000001</v>
      </c>
      <c r="EI2" s="229">
        <v>0.6008</v>
      </c>
      <c r="EJ2" s="231">
        <v>44410.69</v>
      </c>
      <c r="EK2" s="231">
        <v>8477.77</v>
      </c>
      <c r="EL2" s="231">
        <v>18698.05</v>
      </c>
      <c r="EM2" s="231">
        <v>3202</v>
      </c>
      <c r="EN2" s="231">
        <v>71586.509999999995</v>
      </c>
      <c r="EO2" s="231">
        <v>67713.070000000007</v>
      </c>
      <c r="EP2" s="231">
        <v>3873.44</v>
      </c>
      <c r="EQ2" s="229">
        <v>5.7200000000000001E-2</v>
      </c>
      <c r="ER2" s="231">
        <v>8776</v>
      </c>
      <c r="ES2" s="231">
        <v>6326</v>
      </c>
      <c r="ET2" s="231">
        <v>50301</v>
      </c>
      <c r="EU2" s="231">
        <v>37756901</v>
      </c>
      <c r="EV2" s="231">
        <v>65402</v>
      </c>
      <c r="EW2" s="231">
        <v>58676</v>
      </c>
      <c r="EX2" s="231">
        <v>6726</v>
      </c>
      <c r="EY2" s="229">
        <v>0.11459999999999999</v>
      </c>
      <c r="EZ2" s="229">
        <v>0.17319999999999999</v>
      </c>
      <c r="FA2" s="227" t="s">
        <v>555</v>
      </c>
      <c r="FB2" s="161">
        <f>BX2-CB2</f>
        <v>115500</v>
      </c>
    </row>
    <row r="3" spans="1:158" ht="17.25" thickBot="1" x14ac:dyDescent="0.3">
      <c r="A3" s="226">
        <v>46121</v>
      </c>
      <c r="B3" s="227" t="s">
        <v>184</v>
      </c>
      <c r="C3" s="227" t="s">
        <v>553</v>
      </c>
      <c r="D3" s="228">
        <v>125</v>
      </c>
      <c r="E3" s="231">
        <v>6646.5</v>
      </c>
      <c r="F3" s="231">
        <v>6557</v>
      </c>
      <c r="G3" s="228">
        <v>89.5</v>
      </c>
      <c r="H3" s="229">
        <v>1.3599999999999999E-2</v>
      </c>
      <c r="I3" s="231">
        <v>6614</v>
      </c>
      <c r="J3" s="231">
        <v>6565</v>
      </c>
      <c r="K3" s="228">
        <v>49</v>
      </c>
      <c r="L3" s="229">
        <v>7.4999999999999997E-3</v>
      </c>
      <c r="M3" s="231">
        <v>6646.5</v>
      </c>
      <c r="N3" s="231">
        <v>6557</v>
      </c>
      <c r="O3" s="228">
        <v>89.5</v>
      </c>
      <c r="P3" s="229">
        <v>1.3599999999999999E-2</v>
      </c>
      <c r="Q3" s="231">
        <v>6614.5</v>
      </c>
      <c r="R3" s="231">
        <v>6524.5</v>
      </c>
      <c r="S3" s="228">
        <v>90</v>
      </c>
      <c r="T3" s="229">
        <v>1.38E-2</v>
      </c>
      <c r="U3" s="231">
        <v>6624.5</v>
      </c>
      <c r="V3" s="231">
        <v>6515.5</v>
      </c>
      <c r="W3" s="228">
        <v>109</v>
      </c>
      <c r="X3" s="229">
        <v>1.67E-2</v>
      </c>
      <c r="Y3" s="228">
        <v>32.5</v>
      </c>
      <c r="Z3" s="228">
        <v>-8</v>
      </c>
      <c r="AA3" s="228">
        <v>40.5</v>
      </c>
      <c r="AB3" s="229">
        <v>4.8999999999999998E-3</v>
      </c>
      <c r="AC3" s="228">
        <v>32.5</v>
      </c>
      <c r="AD3" s="228">
        <v>-8</v>
      </c>
      <c r="AE3" s="228">
        <v>40.5</v>
      </c>
      <c r="AF3" s="229">
        <v>4.8999999999999998E-3</v>
      </c>
      <c r="AG3" s="228">
        <v>0.5</v>
      </c>
      <c r="AH3" s="228">
        <v>-40.5</v>
      </c>
      <c r="AI3" s="228">
        <v>41</v>
      </c>
      <c r="AJ3" s="229">
        <v>1E-4</v>
      </c>
      <c r="AK3" s="228">
        <v>10.5</v>
      </c>
      <c r="AL3" s="228">
        <v>-49.5</v>
      </c>
      <c r="AM3" s="228">
        <v>60</v>
      </c>
      <c r="AN3" s="229">
        <v>1.6000000000000001E-3</v>
      </c>
      <c r="AO3" s="231">
        <v>6605.09</v>
      </c>
      <c r="AP3" s="231">
        <v>6590.96</v>
      </c>
      <c r="AQ3" s="228">
        <v>0</v>
      </c>
      <c r="AR3" s="230">
        <v>669375</v>
      </c>
      <c r="AS3" s="230">
        <v>720500</v>
      </c>
      <c r="AT3" s="230">
        <v>-51125</v>
      </c>
      <c r="AU3" s="229">
        <v>-7.0999999999999994E-2</v>
      </c>
      <c r="AV3" s="230">
        <v>586750</v>
      </c>
      <c r="AW3" s="230">
        <v>670625</v>
      </c>
      <c r="AX3" s="230">
        <v>-83875</v>
      </c>
      <c r="AY3" s="229">
        <v>-0.12509999999999999</v>
      </c>
      <c r="AZ3" s="230">
        <v>77625</v>
      </c>
      <c r="BA3" s="230">
        <v>44125</v>
      </c>
      <c r="BB3" s="230">
        <v>33500</v>
      </c>
      <c r="BC3" s="229">
        <v>0.75919999999999999</v>
      </c>
      <c r="BD3" s="230">
        <v>5000</v>
      </c>
      <c r="BE3" s="230">
        <v>5750</v>
      </c>
      <c r="BF3" s="228">
        <v>-750</v>
      </c>
      <c r="BG3" s="229">
        <v>-0.13039999999999999</v>
      </c>
      <c r="BH3" s="230">
        <v>1560000</v>
      </c>
      <c r="BI3" s="230">
        <v>2236000</v>
      </c>
      <c r="BJ3" s="230">
        <v>-676000</v>
      </c>
      <c r="BK3" s="229">
        <v>-0.30230000000000001</v>
      </c>
      <c r="BL3" s="230">
        <v>748750</v>
      </c>
      <c r="BM3" s="230">
        <v>962125</v>
      </c>
      <c r="BN3" s="230">
        <v>-213375</v>
      </c>
      <c r="BO3" s="229">
        <v>-0.2218</v>
      </c>
      <c r="BP3" s="230">
        <v>2978125</v>
      </c>
      <c r="BQ3" s="230">
        <v>3918625</v>
      </c>
      <c r="BR3" s="230">
        <v>-940500</v>
      </c>
      <c r="BS3" s="229">
        <v>-0.24</v>
      </c>
      <c r="BT3" s="230">
        <v>614191</v>
      </c>
      <c r="BU3" s="230">
        <v>654695</v>
      </c>
      <c r="BV3" s="230">
        <v>-40504</v>
      </c>
      <c r="BW3" s="229">
        <v>-6.1899999999999997E-2</v>
      </c>
      <c r="BX3" s="230">
        <v>2174625</v>
      </c>
      <c r="BY3" s="230">
        <v>2127125</v>
      </c>
      <c r="BZ3" s="230">
        <v>47500</v>
      </c>
      <c r="CA3" s="229">
        <v>2.23E-2</v>
      </c>
      <c r="CB3" s="230">
        <v>2100000</v>
      </c>
      <c r="CC3" s="230">
        <v>2059375</v>
      </c>
      <c r="CD3" s="230">
        <v>40625</v>
      </c>
      <c r="CE3" s="229">
        <v>1.9699999999999999E-2</v>
      </c>
      <c r="CF3" s="230">
        <v>62500</v>
      </c>
      <c r="CG3" s="230">
        <v>56750</v>
      </c>
      <c r="CH3" s="230">
        <v>5750</v>
      </c>
      <c r="CI3" s="229">
        <v>0.1013</v>
      </c>
      <c r="CJ3" s="230">
        <v>12125</v>
      </c>
      <c r="CK3" s="230">
        <v>11000</v>
      </c>
      <c r="CL3" s="230">
        <v>1125</v>
      </c>
      <c r="CM3" s="229">
        <v>0.1023</v>
      </c>
      <c r="CN3" s="230">
        <v>665500</v>
      </c>
      <c r="CO3" s="230">
        <v>631000</v>
      </c>
      <c r="CP3" s="230">
        <v>34500</v>
      </c>
      <c r="CQ3" s="229">
        <v>5.4699999999999999E-2</v>
      </c>
      <c r="CR3" s="230">
        <v>698125</v>
      </c>
      <c r="CS3" s="230">
        <v>613000</v>
      </c>
      <c r="CT3" s="230">
        <v>85125</v>
      </c>
      <c r="CU3" s="229">
        <v>0.1389</v>
      </c>
      <c r="CV3" s="230">
        <v>3538250</v>
      </c>
      <c r="CW3" s="230">
        <v>3371125</v>
      </c>
      <c r="CX3" s="230">
        <v>167125</v>
      </c>
      <c r="CY3" s="229">
        <v>4.9599999999999998E-2</v>
      </c>
      <c r="CZ3" s="228">
        <v>33.79</v>
      </c>
      <c r="DA3" s="228">
        <v>33.979999999999997</v>
      </c>
      <c r="DB3" s="228">
        <v>-0.19</v>
      </c>
      <c r="DC3" s="228">
        <v>-0.19</v>
      </c>
      <c r="DD3" s="228">
        <v>37.119999999999997</v>
      </c>
      <c r="DE3" s="228">
        <v>37.200000000000003</v>
      </c>
      <c r="DF3" s="228">
        <v>-3.33</v>
      </c>
      <c r="DG3" s="228">
        <v>-0.08</v>
      </c>
      <c r="DH3" s="228">
        <v>32.39</v>
      </c>
      <c r="DI3" s="228">
        <v>32.590000000000003</v>
      </c>
      <c r="DJ3" s="228">
        <v>-0.2</v>
      </c>
      <c r="DK3" s="228">
        <v>-0.2</v>
      </c>
      <c r="DL3" s="228">
        <v>36.71</v>
      </c>
      <c r="DM3" s="228">
        <v>37.200000000000003</v>
      </c>
      <c r="DN3" s="228">
        <v>-0.49</v>
      </c>
      <c r="DO3" s="228">
        <v>-0.49</v>
      </c>
      <c r="DP3" s="228">
        <v>1.05</v>
      </c>
      <c r="DQ3" s="228">
        <v>0.97</v>
      </c>
      <c r="DR3" s="228">
        <v>0.08</v>
      </c>
      <c r="DS3" s="229">
        <v>8.2500000000000004E-2</v>
      </c>
      <c r="DT3" s="231">
        <v>7000</v>
      </c>
      <c r="DU3" s="231">
        <v>6000</v>
      </c>
      <c r="DV3" s="228">
        <v>0.48</v>
      </c>
      <c r="DW3" s="228">
        <v>0.43</v>
      </c>
      <c r="DX3" s="228">
        <v>0.05</v>
      </c>
      <c r="DY3" s="229">
        <v>0.1163</v>
      </c>
      <c r="DZ3" s="229">
        <v>3.4299999999999997E-2</v>
      </c>
      <c r="EA3" s="230">
        <v>67750</v>
      </c>
      <c r="EB3" s="229">
        <v>-4.7999999999999996E-3</v>
      </c>
      <c r="EC3" s="229">
        <v>3.4299999999999997E-2</v>
      </c>
      <c r="ED3" s="228">
        <v>-14.13</v>
      </c>
      <c r="EE3" s="229">
        <v>-2.0999999999999999E-3</v>
      </c>
      <c r="EF3" s="230">
        <v>302400</v>
      </c>
      <c r="EG3" s="230">
        <v>318930</v>
      </c>
      <c r="EH3" s="229">
        <v>-5.1799999999999999E-2</v>
      </c>
      <c r="EI3" s="229">
        <v>0.4924</v>
      </c>
      <c r="EJ3" s="231">
        <v>107754.5</v>
      </c>
      <c r="EK3" s="231">
        <v>47707.61</v>
      </c>
      <c r="EL3" s="231">
        <v>44199.199999999997</v>
      </c>
      <c r="EM3" s="231">
        <v>3150</v>
      </c>
      <c r="EN3" s="231">
        <v>199661.31</v>
      </c>
      <c r="EO3" s="231">
        <v>257729.3</v>
      </c>
      <c r="EP3" s="231">
        <v>-58067.99</v>
      </c>
      <c r="EQ3" s="229">
        <v>-0.2253</v>
      </c>
      <c r="ER3" s="231">
        <v>43865</v>
      </c>
      <c r="ES3" s="231">
        <v>42386</v>
      </c>
      <c r="ET3" s="231">
        <v>144514</v>
      </c>
      <c r="EU3" s="231">
        <v>7946564</v>
      </c>
      <c r="EV3" s="231">
        <v>230765</v>
      </c>
      <c r="EW3" s="231">
        <v>217767</v>
      </c>
      <c r="EX3" s="231">
        <v>12998</v>
      </c>
      <c r="EY3" s="229">
        <v>5.9700000000000003E-2</v>
      </c>
      <c r="EZ3" s="229">
        <v>0.44529999999999997</v>
      </c>
      <c r="FA3" s="227" t="s">
        <v>555</v>
      </c>
      <c r="FB3" s="161">
        <f t="shared" ref="FB3:FB66" si="0">BX3-CB3</f>
        <v>74625</v>
      </c>
    </row>
    <row r="4" spans="1:158" ht="17.25" thickBot="1" x14ac:dyDescent="0.3">
      <c r="A4" s="226">
        <v>46121</v>
      </c>
      <c r="B4" s="227" t="s">
        <v>175</v>
      </c>
      <c r="C4" s="227" t="s">
        <v>544</v>
      </c>
      <c r="D4" s="228">
        <v>3100</v>
      </c>
      <c r="E4" s="228">
        <v>335.75</v>
      </c>
      <c r="F4" s="228">
        <v>340.15</v>
      </c>
      <c r="G4" s="228">
        <v>-4.4000000000000004</v>
      </c>
      <c r="H4" s="229">
        <v>-1.29E-2</v>
      </c>
      <c r="I4" s="228">
        <v>334.55</v>
      </c>
      <c r="J4" s="228">
        <v>338.4</v>
      </c>
      <c r="K4" s="228">
        <v>-3.85</v>
      </c>
      <c r="L4" s="229">
        <v>-1.14E-2</v>
      </c>
      <c r="M4" s="228">
        <v>335.75</v>
      </c>
      <c r="N4" s="228">
        <v>340.15</v>
      </c>
      <c r="O4" s="228">
        <v>-4.4000000000000004</v>
      </c>
      <c r="P4" s="229">
        <v>-1.29E-2</v>
      </c>
      <c r="Q4" s="228">
        <v>337.35</v>
      </c>
      <c r="R4" s="228">
        <v>341.75</v>
      </c>
      <c r="S4" s="228">
        <v>-4.4000000000000004</v>
      </c>
      <c r="T4" s="229">
        <v>-1.29E-2</v>
      </c>
      <c r="U4" s="228">
        <v>339</v>
      </c>
      <c r="V4" s="228">
        <v>341.4</v>
      </c>
      <c r="W4" s="228">
        <v>-2.4</v>
      </c>
      <c r="X4" s="229">
        <v>-7.0000000000000001E-3</v>
      </c>
      <c r="Y4" s="228">
        <v>1.2</v>
      </c>
      <c r="Z4" s="228">
        <v>1.75</v>
      </c>
      <c r="AA4" s="228">
        <v>-0.55000000000000004</v>
      </c>
      <c r="AB4" s="229">
        <v>3.5999999999999999E-3</v>
      </c>
      <c r="AC4" s="228">
        <v>1.2</v>
      </c>
      <c r="AD4" s="228">
        <v>1.75</v>
      </c>
      <c r="AE4" s="228">
        <v>-0.55000000000000004</v>
      </c>
      <c r="AF4" s="229">
        <v>3.5999999999999999E-3</v>
      </c>
      <c r="AG4" s="228">
        <v>2.8</v>
      </c>
      <c r="AH4" s="228">
        <v>3.35</v>
      </c>
      <c r="AI4" s="228">
        <v>-0.55000000000000004</v>
      </c>
      <c r="AJ4" s="229">
        <v>8.3999999999999995E-3</v>
      </c>
      <c r="AK4" s="228">
        <v>4.45</v>
      </c>
      <c r="AL4" s="228">
        <v>3</v>
      </c>
      <c r="AM4" s="228">
        <v>1.45</v>
      </c>
      <c r="AN4" s="229">
        <v>1.3299999999999999E-2</v>
      </c>
      <c r="AO4" s="228">
        <v>338.33</v>
      </c>
      <c r="AP4" s="228">
        <v>340.28</v>
      </c>
      <c r="AQ4" s="228">
        <v>0</v>
      </c>
      <c r="AR4" s="230">
        <v>8652100</v>
      </c>
      <c r="AS4" s="230">
        <v>13556300</v>
      </c>
      <c r="AT4" s="230">
        <v>-4904200</v>
      </c>
      <c r="AU4" s="229">
        <v>-0.36180000000000001</v>
      </c>
      <c r="AV4" s="230">
        <v>8171600</v>
      </c>
      <c r="AW4" s="230">
        <v>12998300</v>
      </c>
      <c r="AX4" s="230">
        <v>-4826700</v>
      </c>
      <c r="AY4" s="229">
        <v>-0.37130000000000002</v>
      </c>
      <c r="AZ4" s="230">
        <v>424700</v>
      </c>
      <c r="BA4" s="230">
        <v>548700</v>
      </c>
      <c r="BB4" s="230">
        <v>-124000</v>
      </c>
      <c r="BC4" s="229">
        <v>-0.22600000000000001</v>
      </c>
      <c r="BD4" s="230">
        <v>55800</v>
      </c>
      <c r="BE4" s="230">
        <v>9300</v>
      </c>
      <c r="BF4" s="230">
        <v>46500</v>
      </c>
      <c r="BG4" s="229">
        <v>5</v>
      </c>
      <c r="BH4" s="230">
        <v>10412900</v>
      </c>
      <c r="BI4" s="230">
        <v>21603900</v>
      </c>
      <c r="BJ4" s="230">
        <v>-11191000</v>
      </c>
      <c r="BK4" s="229">
        <v>-0.51800000000000002</v>
      </c>
      <c r="BL4" s="230">
        <v>10059500</v>
      </c>
      <c r="BM4" s="230">
        <v>20506500</v>
      </c>
      <c r="BN4" s="230">
        <v>-10447000</v>
      </c>
      <c r="BO4" s="229">
        <v>-0.50939999999999996</v>
      </c>
      <c r="BP4" s="230">
        <v>29124500</v>
      </c>
      <c r="BQ4" s="230">
        <v>55666700</v>
      </c>
      <c r="BR4" s="230">
        <v>-26542200</v>
      </c>
      <c r="BS4" s="229">
        <v>-0.4768</v>
      </c>
      <c r="BT4" s="230">
        <v>7386816</v>
      </c>
      <c r="BU4" s="230">
        <v>7557416</v>
      </c>
      <c r="BV4" s="230">
        <v>-170600</v>
      </c>
      <c r="BW4" s="229">
        <v>-2.2599999999999999E-2</v>
      </c>
      <c r="BX4" s="230">
        <v>43970400</v>
      </c>
      <c r="BY4" s="230">
        <v>42510300</v>
      </c>
      <c r="BZ4" s="230">
        <v>1460100</v>
      </c>
      <c r="CA4" s="229">
        <v>3.4299999999999997E-2</v>
      </c>
      <c r="CB4" s="230">
        <v>43344200</v>
      </c>
      <c r="CC4" s="230">
        <v>41989500</v>
      </c>
      <c r="CD4" s="230">
        <v>1354700</v>
      </c>
      <c r="CE4" s="229">
        <v>3.2300000000000002E-2</v>
      </c>
      <c r="CF4" s="230">
        <v>585900</v>
      </c>
      <c r="CG4" s="230">
        <v>508400</v>
      </c>
      <c r="CH4" s="230">
        <v>77500</v>
      </c>
      <c r="CI4" s="229">
        <v>0.15240000000000001</v>
      </c>
      <c r="CJ4" s="230">
        <v>40300</v>
      </c>
      <c r="CK4" s="230">
        <v>12400</v>
      </c>
      <c r="CL4" s="230">
        <v>27900</v>
      </c>
      <c r="CM4" s="229">
        <v>2.25</v>
      </c>
      <c r="CN4" s="230">
        <v>8224300</v>
      </c>
      <c r="CO4" s="230">
        <v>7889500</v>
      </c>
      <c r="CP4" s="230">
        <v>334800</v>
      </c>
      <c r="CQ4" s="229">
        <v>4.24E-2</v>
      </c>
      <c r="CR4" s="230">
        <v>7976300</v>
      </c>
      <c r="CS4" s="230">
        <v>7722100</v>
      </c>
      <c r="CT4" s="230">
        <v>254200</v>
      </c>
      <c r="CU4" s="229">
        <v>3.2899999999999999E-2</v>
      </c>
      <c r="CV4" s="230">
        <v>60171000</v>
      </c>
      <c r="CW4" s="230">
        <v>58121900</v>
      </c>
      <c r="CX4" s="230">
        <v>2049100</v>
      </c>
      <c r="CY4" s="229">
        <v>3.5299999999999998E-2</v>
      </c>
      <c r="CZ4" s="228">
        <v>40.880000000000003</v>
      </c>
      <c r="DA4" s="228">
        <v>42.41</v>
      </c>
      <c r="DB4" s="228">
        <v>-1.53</v>
      </c>
      <c r="DC4" s="228">
        <v>-1.53</v>
      </c>
      <c r="DD4" s="228">
        <v>41.67</v>
      </c>
      <c r="DE4" s="228">
        <v>41.73</v>
      </c>
      <c r="DF4" s="228">
        <v>-0.79</v>
      </c>
      <c r="DG4" s="228">
        <v>-0.06</v>
      </c>
      <c r="DH4" s="228">
        <v>39.770000000000003</v>
      </c>
      <c r="DI4" s="228">
        <v>39.69</v>
      </c>
      <c r="DJ4" s="228">
        <v>0.08</v>
      </c>
      <c r="DK4" s="228">
        <v>0.08</v>
      </c>
      <c r="DL4" s="228">
        <v>42.02</v>
      </c>
      <c r="DM4" s="228">
        <v>45.28</v>
      </c>
      <c r="DN4" s="228">
        <v>-3.26</v>
      </c>
      <c r="DO4" s="228">
        <v>-3.26</v>
      </c>
      <c r="DP4" s="228">
        <v>0.97</v>
      </c>
      <c r="DQ4" s="228">
        <v>0.98</v>
      </c>
      <c r="DR4" s="228">
        <v>-0.01</v>
      </c>
      <c r="DS4" s="229">
        <v>-1.0200000000000001E-2</v>
      </c>
      <c r="DT4" s="228">
        <v>330</v>
      </c>
      <c r="DU4" s="228">
        <v>320</v>
      </c>
      <c r="DV4" s="228">
        <v>0.97</v>
      </c>
      <c r="DW4" s="228">
        <v>0.95</v>
      </c>
      <c r="DX4" s="228">
        <v>0.02</v>
      </c>
      <c r="DY4" s="229">
        <v>2.1100000000000001E-2</v>
      </c>
      <c r="DZ4" s="229">
        <v>1.4200000000000001E-2</v>
      </c>
      <c r="EA4" s="230">
        <v>520800</v>
      </c>
      <c r="EB4" s="229">
        <v>4.7999999999999996E-3</v>
      </c>
      <c r="EC4" s="229">
        <v>1.4200000000000001E-2</v>
      </c>
      <c r="ED4" s="228">
        <v>1.95</v>
      </c>
      <c r="EE4" s="229">
        <v>5.7999999999999996E-3</v>
      </c>
      <c r="EF4" s="230">
        <v>3285912</v>
      </c>
      <c r="EG4" s="230">
        <v>2558112</v>
      </c>
      <c r="EH4" s="229">
        <v>0.28449999999999998</v>
      </c>
      <c r="EI4" s="229">
        <v>0.44479999999999997</v>
      </c>
      <c r="EJ4" s="231">
        <v>37210.74</v>
      </c>
      <c r="EK4" s="231">
        <v>33185.61</v>
      </c>
      <c r="EL4" s="231">
        <v>29282.52</v>
      </c>
      <c r="EM4" s="231">
        <v>3147</v>
      </c>
      <c r="EN4" s="231">
        <v>99678.87</v>
      </c>
      <c r="EO4" s="231">
        <v>185223.12</v>
      </c>
      <c r="EP4" s="231">
        <v>-85544.25</v>
      </c>
      <c r="EQ4" s="229">
        <v>-0.46179999999999999</v>
      </c>
      <c r="ER4" s="231">
        <v>27367</v>
      </c>
      <c r="ES4" s="231">
        <v>24586</v>
      </c>
      <c r="ET4" s="231">
        <v>147641</v>
      </c>
      <c r="EU4" s="231">
        <v>123369777</v>
      </c>
      <c r="EV4" s="231">
        <v>199594</v>
      </c>
      <c r="EW4" s="231">
        <v>194416</v>
      </c>
      <c r="EX4" s="231">
        <v>5178</v>
      </c>
      <c r="EY4" s="229">
        <v>2.6599999999999999E-2</v>
      </c>
      <c r="EZ4" s="229">
        <v>0.48770000000000002</v>
      </c>
      <c r="FA4" s="227" t="s">
        <v>566</v>
      </c>
      <c r="FB4" s="161">
        <f t="shared" si="0"/>
        <v>626200</v>
      </c>
    </row>
    <row r="5" spans="1:158" ht="17.25" thickBot="1" x14ac:dyDescent="0.3">
      <c r="A5" s="226">
        <v>46121</v>
      </c>
      <c r="B5" s="227" t="s">
        <v>161</v>
      </c>
      <c r="C5" s="227" t="s">
        <v>578</v>
      </c>
      <c r="D5" s="228">
        <v>675</v>
      </c>
      <c r="E5" s="231">
        <v>1080.05</v>
      </c>
      <c r="F5" s="231">
        <v>1080</v>
      </c>
      <c r="G5" s="228">
        <v>0.05</v>
      </c>
      <c r="H5" s="229">
        <v>0</v>
      </c>
      <c r="I5" s="231">
        <v>1078.75</v>
      </c>
      <c r="J5" s="231">
        <v>1073.3</v>
      </c>
      <c r="K5" s="228">
        <v>5.45</v>
      </c>
      <c r="L5" s="229">
        <v>5.1000000000000004E-3</v>
      </c>
      <c r="M5" s="231">
        <v>1080.05</v>
      </c>
      <c r="N5" s="231">
        <v>1080</v>
      </c>
      <c r="O5" s="228">
        <v>0.05</v>
      </c>
      <c r="P5" s="229">
        <v>0</v>
      </c>
      <c r="Q5" s="231">
        <v>1085.05</v>
      </c>
      <c r="R5" s="231">
        <v>1084.3499999999999</v>
      </c>
      <c r="S5" s="228">
        <v>0.7</v>
      </c>
      <c r="T5" s="229">
        <v>5.9999999999999995E-4</v>
      </c>
      <c r="U5" s="231">
        <v>1093.2</v>
      </c>
      <c r="V5" s="231">
        <v>1094.8499999999999</v>
      </c>
      <c r="W5" s="228">
        <v>-1.65</v>
      </c>
      <c r="X5" s="229">
        <v>-1.5E-3</v>
      </c>
      <c r="Y5" s="228">
        <v>1.3</v>
      </c>
      <c r="Z5" s="228">
        <v>6.7</v>
      </c>
      <c r="AA5" s="228">
        <v>-5.4</v>
      </c>
      <c r="AB5" s="229">
        <v>1.1999999999999999E-3</v>
      </c>
      <c r="AC5" s="228">
        <v>1.3</v>
      </c>
      <c r="AD5" s="228">
        <v>6.7</v>
      </c>
      <c r="AE5" s="228">
        <v>-5.4</v>
      </c>
      <c r="AF5" s="229">
        <v>1.1999999999999999E-3</v>
      </c>
      <c r="AG5" s="228">
        <v>6.3</v>
      </c>
      <c r="AH5" s="228">
        <v>11.05</v>
      </c>
      <c r="AI5" s="228">
        <v>-4.75</v>
      </c>
      <c r="AJ5" s="229">
        <v>5.7999999999999996E-3</v>
      </c>
      <c r="AK5" s="228">
        <v>14.45</v>
      </c>
      <c r="AL5" s="228">
        <v>21.55</v>
      </c>
      <c r="AM5" s="228">
        <v>-7.1</v>
      </c>
      <c r="AN5" s="229">
        <v>1.34E-2</v>
      </c>
      <c r="AO5" s="231">
        <v>1072.44</v>
      </c>
      <c r="AP5" s="231">
        <v>1076.31</v>
      </c>
      <c r="AQ5" s="228">
        <v>0</v>
      </c>
      <c r="AR5" s="230">
        <v>2600775</v>
      </c>
      <c r="AS5" s="230">
        <v>4677075</v>
      </c>
      <c r="AT5" s="230">
        <v>-2076300</v>
      </c>
      <c r="AU5" s="229">
        <v>-0.44390000000000002</v>
      </c>
      <c r="AV5" s="230">
        <v>2536650</v>
      </c>
      <c r="AW5" s="230">
        <v>4434075</v>
      </c>
      <c r="AX5" s="230">
        <v>-1897425</v>
      </c>
      <c r="AY5" s="229">
        <v>-0.4279</v>
      </c>
      <c r="AZ5" s="230">
        <v>56700</v>
      </c>
      <c r="BA5" s="230">
        <v>213975</v>
      </c>
      <c r="BB5" s="230">
        <v>-157275</v>
      </c>
      <c r="BC5" s="229">
        <v>-0.73499999999999999</v>
      </c>
      <c r="BD5" s="230">
        <v>7425</v>
      </c>
      <c r="BE5" s="230">
        <v>29025</v>
      </c>
      <c r="BF5" s="230">
        <v>-21600</v>
      </c>
      <c r="BG5" s="229">
        <v>-0.74419999999999997</v>
      </c>
      <c r="BH5" s="230">
        <v>4789800</v>
      </c>
      <c r="BI5" s="230">
        <v>12122325</v>
      </c>
      <c r="BJ5" s="230">
        <v>-7332525</v>
      </c>
      <c r="BK5" s="229">
        <v>-0.60489999999999999</v>
      </c>
      <c r="BL5" s="230">
        <v>1713825</v>
      </c>
      <c r="BM5" s="230">
        <v>3334500</v>
      </c>
      <c r="BN5" s="230">
        <v>-1620675</v>
      </c>
      <c r="BO5" s="229">
        <v>-0.48599999999999999</v>
      </c>
      <c r="BP5" s="230">
        <v>9104400</v>
      </c>
      <c r="BQ5" s="230">
        <v>20133900</v>
      </c>
      <c r="BR5" s="230">
        <v>-11029500</v>
      </c>
      <c r="BS5" s="229">
        <v>-0.54779999999999995</v>
      </c>
      <c r="BT5" s="230">
        <v>2286401</v>
      </c>
      <c r="BU5" s="230">
        <v>4848395</v>
      </c>
      <c r="BV5" s="230">
        <v>-2561994</v>
      </c>
      <c r="BW5" s="229">
        <v>-0.52839999999999998</v>
      </c>
      <c r="BX5" s="230">
        <v>19913175</v>
      </c>
      <c r="BY5" s="230">
        <v>20100150</v>
      </c>
      <c r="BZ5" s="230">
        <v>-186975</v>
      </c>
      <c r="CA5" s="229">
        <v>-9.2999999999999992E-3</v>
      </c>
      <c r="CB5" s="230">
        <v>16708950</v>
      </c>
      <c r="CC5" s="230">
        <v>16897950</v>
      </c>
      <c r="CD5" s="230">
        <v>-189000</v>
      </c>
      <c r="CE5" s="229">
        <v>-1.12E-2</v>
      </c>
      <c r="CF5" s="230">
        <v>3183975</v>
      </c>
      <c r="CG5" s="230">
        <v>3184650</v>
      </c>
      <c r="CH5" s="228">
        <v>-675</v>
      </c>
      <c r="CI5" s="229">
        <v>-2.0000000000000001E-4</v>
      </c>
      <c r="CJ5" s="230">
        <v>20250</v>
      </c>
      <c r="CK5" s="230">
        <v>17550</v>
      </c>
      <c r="CL5" s="230">
        <v>2700</v>
      </c>
      <c r="CM5" s="229">
        <v>0.15379999999999999</v>
      </c>
      <c r="CN5" s="230">
        <v>2832975</v>
      </c>
      <c r="CO5" s="230">
        <v>2862000</v>
      </c>
      <c r="CP5" s="230">
        <v>-29025</v>
      </c>
      <c r="CQ5" s="229">
        <v>-1.01E-2</v>
      </c>
      <c r="CR5" s="230">
        <v>1515375</v>
      </c>
      <c r="CS5" s="230">
        <v>1366875</v>
      </c>
      <c r="CT5" s="230">
        <v>148500</v>
      </c>
      <c r="CU5" s="229">
        <v>0.1086</v>
      </c>
      <c r="CV5" s="230">
        <v>24261525</v>
      </c>
      <c r="CW5" s="230">
        <v>24329025</v>
      </c>
      <c r="CX5" s="230">
        <v>-67500</v>
      </c>
      <c r="CY5" s="229">
        <v>-2.8E-3</v>
      </c>
      <c r="CZ5" s="228">
        <v>48.13</v>
      </c>
      <c r="DA5" s="228">
        <v>48.94</v>
      </c>
      <c r="DB5" s="228">
        <v>-0.81</v>
      </c>
      <c r="DC5" s="228">
        <v>-0.81</v>
      </c>
      <c r="DD5" s="228">
        <v>55.2</v>
      </c>
      <c r="DE5" s="228">
        <v>55.34</v>
      </c>
      <c r="DF5" s="228">
        <v>-7.07</v>
      </c>
      <c r="DG5" s="228">
        <v>-0.14000000000000001</v>
      </c>
      <c r="DH5" s="228">
        <v>47.92</v>
      </c>
      <c r="DI5" s="228">
        <v>48.36</v>
      </c>
      <c r="DJ5" s="228">
        <v>-0.44</v>
      </c>
      <c r="DK5" s="228">
        <v>-0.44</v>
      </c>
      <c r="DL5" s="228">
        <v>48.7</v>
      </c>
      <c r="DM5" s="228">
        <v>51.06</v>
      </c>
      <c r="DN5" s="228">
        <v>-2.36</v>
      </c>
      <c r="DO5" s="228">
        <v>-2.36</v>
      </c>
      <c r="DP5" s="228">
        <v>0.53</v>
      </c>
      <c r="DQ5" s="228">
        <v>0.48</v>
      </c>
      <c r="DR5" s="228">
        <v>0.05</v>
      </c>
      <c r="DS5" s="229">
        <v>0.1042</v>
      </c>
      <c r="DT5" s="231">
        <v>1100</v>
      </c>
      <c r="DU5" s="231">
        <v>1000</v>
      </c>
      <c r="DV5" s="228">
        <v>0.36</v>
      </c>
      <c r="DW5" s="228">
        <v>0.28000000000000003</v>
      </c>
      <c r="DX5" s="228">
        <v>0.08</v>
      </c>
      <c r="DY5" s="229">
        <v>0.28570000000000001</v>
      </c>
      <c r="DZ5" s="229">
        <v>0.16089999999999999</v>
      </c>
      <c r="EA5" s="230">
        <v>3202200</v>
      </c>
      <c r="EB5" s="229">
        <v>4.5999999999999999E-3</v>
      </c>
      <c r="EC5" s="229">
        <v>0.16089999999999999</v>
      </c>
      <c r="ED5" s="228">
        <v>3.87</v>
      </c>
      <c r="EE5" s="229">
        <v>3.5999999999999999E-3</v>
      </c>
      <c r="EF5" s="230">
        <v>680705</v>
      </c>
      <c r="EG5" s="230">
        <v>1412193</v>
      </c>
      <c r="EH5" s="229">
        <v>-0.51800000000000002</v>
      </c>
      <c r="EI5" s="229">
        <v>0.29770000000000002</v>
      </c>
      <c r="EJ5" s="231">
        <v>54961.35</v>
      </c>
      <c r="EK5" s="231">
        <v>18031.46</v>
      </c>
      <c r="EL5" s="231">
        <v>27895.15</v>
      </c>
      <c r="EM5" s="231">
        <v>3974</v>
      </c>
      <c r="EN5" s="231">
        <v>100887.96</v>
      </c>
      <c r="EO5" s="231">
        <v>223421.51</v>
      </c>
      <c r="EP5" s="231">
        <v>-122533.55</v>
      </c>
      <c r="EQ5" s="229">
        <v>-0.5484</v>
      </c>
      <c r="ER5" s="231">
        <v>30388</v>
      </c>
      <c r="ES5" s="231">
        <v>14797</v>
      </c>
      <c r="ET5" s="231">
        <v>215234</v>
      </c>
      <c r="EU5" s="231">
        <v>35196587</v>
      </c>
      <c r="EV5" s="231">
        <v>260420</v>
      </c>
      <c r="EW5" s="231">
        <v>260781</v>
      </c>
      <c r="EX5" s="228">
        <v>-361</v>
      </c>
      <c r="EY5" s="229">
        <v>-1.4E-3</v>
      </c>
      <c r="EZ5" s="229">
        <v>0.68930000000000002</v>
      </c>
      <c r="FA5" s="227" t="s">
        <v>237</v>
      </c>
      <c r="FB5" s="161">
        <f t="shared" si="0"/>
        <v>3204225</v>
      </c>
    </row>
    <row r="6" spans="1:158" ht="17.25" thickBot="1" x14ac:dyDescent="0.3">
      <c r="A6" s="226">
        <v>46121</v>
      </c>
      <c r="B6" s="227" t="s">
        <v>215</v>
      </c>
      <c r="C6" s="227" t="s">
        <v>159</v>
      </c>
      <c r="D6" s="228">
        <v>309</v>
      </c>
      <c r="E6" s="231">
        <v>2050.8000000000002</v>
      </c>
      <c r="F6" s="231">
        <v>2053.6999999999998</v>
      </c>
      <c r="G6" s="228">
        <v>-2.9</v>
      </c>
      <c r="H6" s="229">
        <v>-1.4E-3</v>
      </c>
      <c r="I6" s="231">
        <v>2040.5</v>
      </c>
      <c r="J6" s="231">
        <v>2043.8</v>
      </c>
      <c r="K6" s="228">
        <v>-3.3</v>
      </c>
      <c r="L6" s="229">
        <v>-1.6000000000000001E-3</v>
      </c>
      <c r="M6" s="231">
        <v>2050.8000000000002</v>
      </c>
      <c r="N6" s="231">
        <v>2053.6999999999998</v>
      </c>
      <c r="O6" s="228">
        <v>-2.9</v>
      </c>
      <c r="P6" s="229">
        <v>-1.4E-3</v>
      </c>
      <c r="Q6" s="231">
        <v>2061.6</v>
      </c>
      <c r="R6" s="231">
        <v>2065</v>
      </c>
      <c r="S6" s="228">
        <v>-3.4</v>
      </c>
      <c r="T6" s="229">
        <v>-1.6000000000000001E-3</v>
      </c>
      <c r="U6" s="231">
        <v>2070.9</v>
      </c>
      <c r="V6" s="231">
        <v>2068.1999999999998</v>
      </c>
      <c r="W6" s="228">
        <v>2.7</v>
      </c>
      <c r="X6" s="229">
        <v>1.2999999999999999E-3</v>
      </c>
      <c r="Y6" s="228">
        <v>10.3</v>
      </c>
      <c r="Z6" s="228">
        <v>9.9</v>
      </c>
      <c r="AA6" s="228">
        <v>0.4</v>
      </c>
      <c r="AB6" s="229">
        <v>5.0000000000000001E-3</v>
      </c>
      <c r="AC6" s="228">
        <v>10.3</v>
      </c>
      <c r="AD6" s="228">
        <v>9.9</v>
      </c>
      <c r="AE6" s="228">
        <v>0.4</v>
      </c>
      <c r="AF6" s="229">
        <v>5.0000000000000001E-3</v>
      </c>
      <c r="AG6" s="228">
        <v>21.1</v>
      </c>
      <c r="AH6" s="228">
        <v>21.2</v>
      </c>
      <c r="AI6" s="228">
        <v>-0.1</v>
      </c>
      <c r="AJ6" s="229">
        <v>1.03E-2</v>
      </c>
      <c r="AK6" s="228">
        <v>30.4</v>
      </c>
      <c r="AL6" s="228">
        <v>24.4</v>
      </c>
      <c r="AM6" s="228">
        <v>6</v>
      </c>
      <c r="AN6" s="229">
        <v>1.49E-2</v>
      </c>
      <c r="AO6" s="231">
        <v>2048.2399999999998</v>
      </c>
      <c r="AP6" s="231">
        <v>2058.91</v>
      </c>
      <c r="AQ6" s="228">
        <v>0</v>
      </c>
      <c r="AR6" s="230">
        <v>3382623</v>
      </c>
      <c r="AS6" s="230">
        <v>5394522</v>
      </c>
      <c r="AT6" s="230">
        <v>-2011899</v>
      </c>
      <c r="AU6" s="229">
        <v>-0.373</v>
      </c>
      <c r="AV6" s="230">
        <v>3161379</v>
      </c>
      <c r="AW6" s="230">
        <v>4996221</v>
      </c>
      <c r="AX6" s="230">
        <v>-1834842</v>
      </c>
      <c r="AY6" s="229">
        <v>-0.36720000000000003</v>
      </c>
      <c r="AZ6" s="230">
        <v>197142</v>
      </c>
      <c r="BA6" s="230">
        <v>327231</v>
      </c>
      <c r="BB6" s="230">
        <v>-130089</v>
      </c>
      <c r="BC6" s="229">
        <v>-0.39750000000000002</v>
      </c>
      <c r="BD6" s="230">
        <v>24102</v>
      </c>
      <c r="BE6" s="230">
        <v>71070</v>
      </c>
      <c r="BF6" s="230">
        <v>-46968</v>
      </c>
      <c r="BG6" s="229">
        <v>-0.66090000000000004</v>
      </c>
      <c r="BH6" s="230">
        <v>7313103</v>
      </c>
      <c r="BI6" s="230">
        <v>25910268</v>
      </c>
      <c r="BJ6" s="230">
        <v>-18597165</v>
      </c>
      <c r="BK6" s="229">
        <v>-0.71779999999999999</v>
      </c>
      <c r="BL6" s="230">
        <v>3160761</v>
      </c>
      <c r="BM6" s="230">
        <v>10192056</v>
      </c>
      <c r="BN6" s="230">
        <v>-7031295</v>
      </c>
      <c r="BO6" s="229">
        <v>-0.68989999999999996</v>
      </c>
      <c r="BP6" s="230">
        <v>13856487</v>
      </c>
      <c r="BQ6" s="230">
        <v>41496846</v>
      </c>
      <c r="BR6" s="230">
        <v>-27640359</v>
      </c>
      <c r="BS6" s="229">
        <v>-0.66610000000000003</v>
      </c>
      <c r="BT6" s="230">
        <v>2634272</v>
      </c>
      <c r="BU6" s="230">
        <v>4414539</v>
      </c>
      <c r="BV6" s="230">
        <v>-1780267</v>
      </c>
      <c r="BW6" s="229">
        <v>-0.40329999999999999</v>
      </c>
      <c r="BX6" s="230">
        <v>16554366</v>
      </c>
      <c r="BY6" s="230">
        <v>16905390</v>
      </c>
      <c r="BZ6" s="230">
        <v>-351024</v>
      </c>
      <c r="CA6" s="229">
        <v>-2.0799999999999999E-2</v>
      </c>
      <c r="CB6" s="230">
        <v>15829143</v>
      </c>
      <c r="CC6" s="230">
        <v>16248456</v>
      </c>
      <c r="CD6" s="230">
        <v>-419313</v>
      </c>
      <c r="CE6" s="229">
        <v>-2.58E-2</v>
      </c>
      <c r="CF6" s="230">
        <v>659406</v>
      </c>
      <c r="CG6" s="230">
        <v>602550</v>
      </c>
      <c r="CH6" s="230">
        <v>56856</v>
      </c>
      <c r="CI6" s="229">
        <v>9.4399999999999998E-2</v>
      </c>
      <c r="CJ6" s="230">
        <v>65817</v>
      </c>
      <c r="CK6" s="230">
        <v>54384</v>
      </c>
      <c r="CL6" s="230">
        <v>11433</v>
      </c>
      <c r="CM6" s="229">
        <v>0.2102</v>
      </c>
      <c r="CN6" s="230">
        <v>6207810</v>
      </c>
      <c r="CO6" s="230">
        <v>6171657</v>
      </c>
      <c r="CP6" s="230">
        <v>36153</v>
      </c>
      <c r="CQ6" s="229">
        <v>5.8999999999999999E-3</v>
      </c>
      <c r="CR6" s="230">
        <v>5464665</v>
      </c>
      <c r="CS6" s="230">
        <v>5256708</v>
      </c>
      <c r="CT6" s="230">
        <v>207957</v>
      </c>
      <c r="CU6" s="229">
        <v>3.9600000000000003E-2</v>
      </c>
      <c r="CV6" s="230">
        <v>28226841</v>
      </c>
      <c r="CW6" s="230">
        <v>28333755</v>
      </c>
      <c r="CX6" s="230">
        <v>-106914</v>
      </c>
      <c r="CY6" s="229">
        <v>-3.8E-3</v>
      </c>
      <c r="CZ6" s="228">
        <v>42.32</v>
      </c>
      <c r="DA6" s="228">
        <v>42.93</v>
      </c>
      <c r="DB6" s="228">
        <v>-0.61</v>
      </c>
      <c r="DC6" s="228">
        <v>-0.61</v>
      </c>
      <c r="DD6" s="228">
        <v>49.95</v>
      </c>
      <c r="DE6" s="228">
        <v>50.07</v>
      </c>
      <c r="DF6" s="228">
        <v>-7.63</v>
      </c>
      <c r="DG6" s="228">
        <v>-0.12</v>
      </c>
      <c r="DH6" s="228">
        <v>41.88</v>
      </c>
      <c r="DI6" s="228">
        <v>42.09</v>
      </c>
      <c r="DJ6" s="228">
        <v>-0.21</v>
      </c>
      <c r="DK6" s="228">
        <v>-0.21</v>
      </c>
      <c r="DL6" s="228">
        <v>43.35</v>
      </c>
      <c r="DM6" s="228">
        <v>45.07</v>
      </c>
      <c r="DN6" s="228">
        <v>-1.72</v>
      </c>
      <c r="DO6" s="228">
        <v>-1.72</v>
      </c>
      <c r="DP6" s="228">
        <v>0.88</v>
      </c>
      <c r="DQ6" s="228">
        <v>0.85</v>
      </c>
      <c r="DR6" s="228">
        <v>0.03</v>
      </c>
      <c r="DS6" s="229">
        <v>3.5299999999999998E-2</v>
      </c>
      <c r="DT6" s="231">
        <v>2100</v>
      </c>
      <c r="DU6" s="231">
        <v>2200</v>
      </c>
      <c r="DV6" s="228">
        <v>0.43</v>
      </c>
      <c r="DW6" s="228">
        <v>0.39</v>
      </c>
      <c r="DX6" s="228">
        <v>0.04</v>
      </c>
      <c r="DY6" s="229">
        <v>0.1026</v>
      </c>
      <c r="DZ6" s="229">
        <v>4.3799999999999999E-2</v>
      </c>
      <c r="EA6" s="230">
        <v>656934</v>
      </c>
      <c r="EB6" s="229">
        <v>5.3E-3</v>
      </c>
      <c r="EC6" s="229">
        <v>4.3799999999999999E-2</v>
      </c>
      <c r="ED6" s="228">
        <v>10.67</v>
      </c>
      <c r="EE6" s="229">
        <v>5.1999999999999998E-3</v>
      </c>
      <c r="EF6" s="230">
        <v>1034795</v>
      </c>
      <c r="EG6" s="230">
        <v>908019</v>
      </c>
      <c r="EH6" s="229">
        <v>0.1396</v>
      </c>
      <c r="EI6" s="229">
        <v>0.39279999999999998</v>
      </c>
      <c r="EJ6" s="231">
        <v>161109.51999999999</v>
      </c>
      <c r="EK6" s="231">
        <v>64579.41</v>
      </c>
      <c r="EL6" s="231">
        <v>69309.95</v>
      </c>
      <c r="EM6" s="231">
        <v>10905</v>
      </c>
      <c r="EN6" s="231">
        <v>294998.88</v>
      </c>
      <c r="EO6" s="231">
        <v>878856.6</v>
      </c>
      <c r="EP6" s="231">
        <v>-583857.72</v>
      </c>
      <c r="EQ6" s="229">
        <v>-0.6643</v>
      </c>
      <c r="ER6" s="231">
        <v>127308</v>
      </c>
      <c r="ES6" s="231">
        <v>107685</v>
      </c>
      <c r="ET6" s="231">
        <v>339581</v>
      </c>
      <c r="EU6" s="231">
        <v>33645895</v>
      </c>
      <c r="EV6" s="231">
        <v>574575</v>
      </c>
      <c r="EW6" s="231">
        <v>577037</v>
      </c>
      <c r="EX6" s="231">
        <v>-2462</v>
      </c>
      <c r="EY6" s="229">
        <v>-4.3E-3</v>
      </c>
      <c r="EZ6" s="229">
        <v>0.83889999999999998</v>
      </c>
      <c r="FA6" s="227" t="s">
        <v>567</v>
      </c>
      <c r="FB6" s="161">
        <f t="shared" si="0"/>
        <v>725223</v>
      </c>
    </row>
    <row r="7" spans="1:158" ht="17.25" thickBot="1" x14ac:dyDescent="0.3">
      <c r="A7" s="226">
        <v>46121</v>
      </c>
      <c r="B7" s="227" t="s">
        <v>161</v>
      </c>
      <c r="C7" s="227" t="s">
        <v>605</v>
      </c>
      <c r="D7" s="228">
        <v>600</v>
      </c>
      <c r="E7" s="231">
        <v>1049.6500000000001</v>
      </c>
      <c r="F7" s="231">
        <v>1031.6500000000001</v>
      </c>
      <c r="G7" s="228">
        <v>18</v>
      </c>
      <c r="H7" s="229">
        <v>1.7399999999999999E-2</v>
      </c>
      <c r="I7" s="231">
        <v>1044.55</v>
      </c>
      <c r="J7" s="231">
        <v>1029.6500000000001</v>
      </c>
      <c r="K7" s="228">
        <v>14.9</v>
      </c>
      <c r="L7" s="229">
        <v>1.4500000000000001E-2</v>
      </c>
      <c r="M7" s="231">
        <v>1049.6500000000001</v>
      </c>
      <c r="N7" s="231">
        <v>1031.6500000000001</v>
      </c>
      <c r="O7" s="228">
        <v>18</v>
      </c>
      <c r="P7" s="229">
        <v>1.7399999999999999E-2</v>
      </c>
      <c r="Q7" s="231">
        <v>1053.8499999999999</v>
      </c>
      <c r="R7" s="231">
        <v>1035.8</v>
      </c>
      <c r="S7" s="228">
        <v>18.05</v>
      </c>
      <c r="T7" s="229">
        <v>1.7399999999999999E-2</v>
      </c>
      <c r="U7" s="231">
        <v>1059.2</v>
      </c>
      <c r="V7" s="231">
        <v>1040.8</v>
      </c>
      <c r="W7" s="228">
        <v>18.399999999999999</v>
      </c>
      <c r="X7" s="229">
        <v>1.77E-2</v>
      </c>
      <c r="Y7" s="228">
        <v>5.0999999999999996</v>
      </c>
      <c r="Z7" s="228">
        <v>2</v>
      </c>
      <c r="AA7" s="228">
        <v>3.1</v>
      </c>
      <c r="AB7" s="229">
        <v>4.8999999999999998E-3</v>
      </c>
      <c r="AC7" s="228">
        <v>5.0999999999999996</v>
      </c>
      <c r="AD7" s="228">
        <v>2</v>
      </c>
      <c r="AE7" s="228">
        <v>3.1</v>
      </c>
      <c r="AF7" s="229">
        <v>4.8999999999999998E-3</v>
      </c>
      <c r="AG7" s="228">
        <v>9.3000000000000007</v>
      </c>
      <c r="AH7" s="228">
        <v>6.15</v>
      </c>
      <c r="AI7" s="228">
        <v>3.15</v>
      </c>
      <c r="AJ7" s="229">
        <v>8.8999999999999999E-3</v>
      </c>
      <c r="AK7" s="228">
        <v>14.65</v>
      </c>
      <c r="AL7" s="228">
        <v>11.15</v>
      </c>
      <c r="AM7" s="228">
        <v>3.5</v>
      </c>
      <c r="AN7" s="229">
        <v>1.4E-2</v>
      </c>
      <c r="AO7" s="231">
        <v>1041.6300000000001</v>
      </c>
      <c r="AP7" s="231">
        <v>1044.55</v>
      </c>
      <c r="AQ7" s="228">
        <v>0</v>
      </c>
      <c r="AR7" s="230">
        <v>4716000</v>
      </c>
      <c r="AS7" s="230">
        <v>9527400</v>
      </c>
      <c r="AT7" s="230">
        <v>-4811400</v>
      </c>
      <c r="AU7" s="229">
        <v>-0.505</v>
      </c>
      <c r="AV7" s="230">
        <v>4492800</v>
      </c>
      <c r="AW7" s="230">
        <v>9025200</v>
      </c>
      <c r="AX7" s="230">
        <v>-4532400</v>
      </c>
      <c r="AY7" s="229">
        <v>-0.50219999999999998</v>
      </c>
      <c r="AZ7" s="230">
        <v>174600</v>
      </c>
      <c r="BA7" s="230">
        <v>411000</v>
      </c>
      <c r="BB7" s="230">
        <v>-236400</v>
      </c>
      <c r="BC7" s="229">
        <v>-0.57520000000000004</v>
      </c>
      <c r="BD7" s="230">
        <v>48600</v>
      </c>
      <c r="BE7" s="230">
        <v>91200</v>
      </c>
      <c r="BF7" s="230">
        <v>-42600</v>
      </c>
      <c r="BG7" s="229">
        <v>-0.46710000000000002</v>
      </c>
      <c r="BH7" s="230">
        <v>10861200</v>
      </c>
      <c r="BI7" s="230">
        <v>34893600</v>
      </c>
      <c r="BJ7" s="230">
        <v>-24032400</v>
      </c>
      <c r="BK7" s="229">
        <v>-0.68869999999999998</v>
      </c>
      <c r="BL7" s="230">
        <v>6333600</v>
      </c>
      <c r="BM7" s="230">
        <v>13494000</v>
      </c>
      <c r="BN7" s="230">
        <v>-7160400</v>
      </c>
      <c r="BO7" s="229">
        <v>-0.53059999999999996</v>
      </c>
      <c r="BP7" s="230">
        <v>21910800</v>
      </c>
      <c r="BQ7" s="230">
        <v>57915000</v>
      </c>
      <c r="BR7" s="230">
        <v>-36004200</v>
      </c>
      <c r="BS7" s="229">
        <v>-0.62170000000000003</v>
      </c>
      <c r="BT7" s="230">
        <v>8440946</v>
      </c>
      <c r="BU7" s="230">
        <v>16962905</v>
      </c>
      <c r="BV7" s="230">
        <v>-8521959</v>
      </c>
      <c r="BW7" s="229">
        <v>-0.50239999999999996</v>
      </c>
      <c r="BX7" s="230">
        <v>21348000</v>
      </c>
      <c r="BY7" s="230">
        <v>22131600</v>
      </c>
      <c r="BZ7" s="230">
        <v>-783600</v>
      </c>
      <c r="CA7" s="229">
        <v>-3.5400000000000001E-2</v>
      </c>
      <c r="CB7" s="230">
        <v>20800200</v>
      </c>
      <c r="CC7" s="230">
        <v>21598200</v>
      </c>
      <c r="CD7" s="230">
        <v>-798000</v>
      </c>
      <c r="CE7" s="229">
        <v>-3.6900000000000002E-2</v>
      </c>
      <c r="CF7" s="230">
        <v>478800</v>
      </c>
      <c r="CG7" s="230">
        <v>472800</v>
      </c>
      <c r="CH7" s="230">
        <v>6000</v>
      </c>
      <c r="CI7" s="229">
        <v>1.2699999999999999E-2</v>
      </c>
      <c r="CJ7" s="230">
        <v>69000</v>
      </c>
      <c r="CK7" s="230">
        <v>60600</v>
      </c>
      <c r="CL7" s="230">
        <v>8400</v>
      </c>
      <c r="CM7" s="229">
        <v>0.1386</v>
      </c>
      <c r="CN7" s="230">
        <v>5898000</v>
      </c>
      <c r="CO7" s="230">
        <v>6267600</v>
      </c>
      <c r="CP7" s="230">
        <v>-369600</v>
      </c>
      <c r="CQ7" s="229">
        <v>-5.8999999999999997E-2</v>
      </c>
      <c r="CR7" s="230">
        <v>5148000</v>
      </c>
      <c r="CS7" s="230">
        <v>4673400</v>
      </c>
      <c r="CT7" s="230">
        <v>474600</v>
      </c>
      <c r="CU7" s="229">
        <v>0.1016</v>
      </c>
      <c r="CV7" s="230">
        <v>32394000</v>
      </c>
      <c r="CW7" s="230">
        <v>33072600</v>
      </c>
      <c r="CX7" s="230">
        <v>-678600</v>
      </c>
      <c r="CY7" s="229">
        <v>-2.0500000000000001E-2</v>
      </c>
      <c r="CZ7" s="228">
        <v>50.8</v>
      </c>
      <c r="DA7" s="228">
        <v>51.26</v>
      </c>
      <c r="DB7" s="228">
        <v>-0.46</v>
      </c>
      <c r="DC7" s="228">
        <v>-0.46</v>
      </c>
      <c r="DD7" s="228">
        <v>59.75</v>
      </c>
      <c r="DE7" s="228">
        <v>59.86</v>
      </c>
      <c r="DF7" s="228">
        <v>-8.9499999999999993</v>
      </c>
      <c r="DG7" s="228">
        <v>-0.11</v>
      </c>
      <c r="DH7" s="228">
        <v>49.5</v>
      </c>
      <c r="DI7" s="228">
        <v>50.15</v>
      </c>
      <c r="DJ7" s="228">
        <v>-0.65</v>
      </c>
      <c r="DK7" s="228">
        <v>-0.65</v>
      </c>
      <c r="DL7" s="228">
        <v>53.04</v>
      </c>
      <c r="DM7" s="228">
        <v>54.15</v>
      </c>
      <c r="DN7" s="228">
        <v>-1.1100000000000001</v>
      </c>
      <c r="DO7" s="228">
        <v>-1.1100000000000001</v>
      </c>
      <c r="DP7" s="228">
        <v>0.87</v>
      </c>
      <c r="DQ7" s="228">
        <v>0.75</v>
      </c>
      <c r="DR7" s="228">
        <v>0.12</v>
      </c>
      <c r="DS7" s="229">
        <v>0.16</v>
      </c>
      <c r="DT7" s="231">
        <v>1100</v>
      </c>
      <c r="DU7" s="231">
        <v>1000</v>
      </c>
      <c r="DV7" s="228">
        <v>0.57999999999999996</v>
      </c>
      <c r="DW7" s="228">
        <v>0.39</v>
      </c>
      <c r="DX7" s="228">
        <v>0.19</v>
      </c>
      <c r="DY7" s="229">
        <v>0.48720000000000002</v>
      </c>
      <c r="DZ7" s="229">
        <v>2.5700000000000001E-2</v>
      </c>
      <c r="EA7" s="230">
        <v>533400</v>
      </c>
      <c r="EB7" s="229">
        <v>4.0000000000000001E-3</v>
      </c>
      <c r="EC7" s="229">
        <v>2.5700000000000001E-2</v>
      </c>
      <c r="ED7" s="228">
        <v>2.92</v>
      </c>
      <c r="EE7" s="229">
        <v>2.8E-3</v>
      </c>
      <c r="EF7" s="230">
        <v>3791454</v>
      </c>
      <c r="EG7" s="230">
        <v>4787887</v>
      </c>
      <c r="EH7" s="229">
        <v>-0.20810000000000001</v>
      </c>
      <c r="EI7" s="229">
        <v>0.44919999999999999</v>
      </c>
      <c r="EJ7" s="231">
        <v>119865.49</v>
      </c>
      <c r="EK7" s="231">
        <v>64296.99</v>
      </c>
      <c r="EL7" s="231">
        <v>49132.14</v>
      </c>
      <c r="EM7" s="231">
        <v>9217</v>
      </c>
      <c r="EN7" s="231">
        <v>233294.62</v>
      </c>
      <c r="EO7" s="231">
        <v>609578.27</v>
      </c>
      <c r="EP7" s="231">
        <v>-376283.65</v>
      </c>
      <c r="EQ7" s="229">
        <v>-0.61729999999999996</v>
      </c>
      <c r="ER7" s="231">
        <v>58602</v>
      </c>
      <c r="ES7" s="231">
        <v>48344</v>
      </c>
      <c r="ET7" s="231">
        <v>224106</v>
      </c>
      <c r="EU7" s="231">
        <v>64724093</v>
      </c>
      <c r="EV7" s="231">
        <v>331052</v>
      </c>
      <c r="EW7" s="231">
        <v>333473</v>
      </c>
      <c r="EX7" s="231">
        <v>-2421</v>
      </c>
      <c r="EY7" s="229">
        <v>-7.3000000000000001E-3</v>
      </c>
      <c r="EZ7" s="229">
        <v>0.50049999999999994</v>
      </c>
      <c r="FA7" s="227" t="s">
        <v>694</v>
      </c>
      <c r="FB7" s="161">
        <f t="shared" si="0"/>
        <v>547800</v>
      </c>
    </row>
    <row r="8" spans="1:158" ht="17.25" thickBot="1" x14ac:dyDescent="0.3">
      <c r="A8" s="226">
        <v>46121</v>
      </c>
      <c r="B8" s="227" t="s">
        <v>215</v>
      </c>
      <c r="C8" s="227" t="s">
        <v>160</v>
      </c>
      <c r="D8" s="228">
        <v>475</v>
      </c>
      <c r="E8" s="231">
        <v>1452</v>
      </c>
      <c r="F8" s="231">
        <v>1460.5</v>
      </c>
      <c r="G8" s="228">
        <v>-8.5</v>
      </c>
      <c r="H8" s="229">
        <v>-5.7999999999999996E-3</v>
      </c>
      <c r="I8" s="231">
        <v>1447.4</v>
      </c>
      <c r="J8" s="231">
        <v>1453.3</v>
      </c>
      <c r="K8" s="228">
        <v>-5.9</v>
      </c>
      <c r="L8" s="229">
        <v>-4.1000000000000003E-3</v>
      </c>
      <c r="M8" s="231">
        <v>1452</v>
      </c>
      <c r="N8" s="231">
        <v>1460.5</v>
      </c>
      <c r="O8" s="228">
        <v>-8.5</v>
      </c>
      <c r="P8" s="229">
        <v>-5.7999999999999996E-3</v>
      </c>
      <c r="Q8" s="231">
        <v>1460</v>
      </c>
      <c r="R8" s="231">
        <v>1469.1</v>
      </c>
      <c r="S8" s="228">
        <v>-9.1</v>
      </c>
      <c r="T8" s="229">
        <v>-6.1999999999999998E-3</v>
      </c>
      <c r="U8" s="231">
        <v>1462.5</v>
      </c>
      <c r="V8" s="231">
        <v>1475</v>
      </c>
      <c r="W8" s="228">
        <v>-12.5</v>
      </c>
      <c r="X8" s="229">
        <v>-8.5000000000000006E-3</v>
      </c>
      <c r="Y8" s="228">
        <v>4.5999999999999996</v>
      </c>
      <c r="Z8" s="228">
        <v>7.2</v>
      </c>
      <c r="AA8" s="228">
        <v>-2.6</v>
      </c>
      <c r="AB8" s="229">
        <v>3.2000000000000002E-3</v>
      </c>
      <c r="AC8" s="228">
        <v>4.5999999999999996</v>
      </c>
      <c r="AD8" s="228">
        <v>7.2</v>
      </c>
      <c r="AE8" s="228">
        <v>-2.6</v>
      </c>
      <c r="AF8" s="229">
        <v>3.2000000000000002E-3</v>
      </c>
      <c r="AG8" s="228">
        <v>12.6</v>
      </c>
      <c r="AH8" s="228">
        <v>15.8</v>
      </c>
      <c r="AI8" s="228">
        <v>-3.2</v>
      </c>
      <c r="AJ8" s="229">
        <v>8.6999999999999994E-3</v>
      </c>
      <c r="AK8" s="228">
        <v>15.1</v>
      </c>
      <c r="AL8" s="228">
        <v>21.7</v>
      </c>
      <c r="AM8" s="228">
        <v>-6.6</v>
      </c>
      <c r="AN8" s="229">
        <v>1.04E-2</v>
      </c>
      <c r="AO8" s="231">
        <v>1447.89</v>
      </c>
      <c r="AP8" s="231">
        <v>1453.11</v>
      </c>
      <c r="AQ8" s="228">
        <v>0</v>
      </c>
      <c r="AR8" s="230">
        <v>3752500</v>
      </c>
      <c r="AS8" s="230">
        <v>8763750</v>
      </c>
      <c r="AT8" s="230">
        <v>-5011250</v>
      </c>
      <c r="AU8" s="229">
        <v>-0.57179999999999997</v>
      </c>
      <c r="AV8" s="230">
        <v>3420950</v>
      </c>
      <c r="AW8" s="230">
        <v>8095900</v>
      </c>
      <c r="AX8" s="230">
        <v>-4674950</v>
      </c>
      <c r="AY8" s="229">
        <v>-0.57740000000000002</v>
      </c>
      <c r="AZ8" s="230">
        <v>289275</v>
      </c>
      <c r="BA8" s="230">
        <v>608950</v>
      </c>
      <c r="BB8" s="230">
        <v>-319675</v>
      </c>
      <c r="BC8" s="229">
        <v>-0.52500000000000002</v>
      </c>
      <c r="BD8" s="230">
        <v>42275</v>
      </c>
      <c r="BE8" s="230">
        <v>58900</v>
      </c>
      <c r="BF8" s="230">
        <v>-16625</v>
      </c>
      <c r="BG8" s="229">
        <v>-0.2823</v>
      </c>
      <c r="BH8" s="230">
        <v>10437175</v>
      </c>
      <c r="BI8" s="230">
        <v>44289950</v>
      </c>
      <c r="BJ8" s="230">
        <v>-33852775</v>
      </c>
      <c r="BK8" s="229">
        <v>-0.76429999999999998</v>
      </c>
      <c r="BL8" s="230">
        <v>6445750</v>
      </c>
      <c r="BM8" s="230">
        <v>21509425</v>
      </c>
      <c r="BN8" s="230">
        <v>-15063675</v>
      </c>
      <c r="BO8" s="229">
        <v>-0.70030000000000003</v>
      </c>
      <c r="BP8" s="230">
        <v>20635425</v>
      </c>
      <c r="BQ8" s="230">
        <v>74563125</v>
      </c>
      <c r="BR8" s="230">
        <v>-53927700</v>
      </c>
      <c r="BS8" s="229">
        <v>-0.72319999999999995</v>
      </c>
      <c r="BT8" s="230">
        <v>3409619</v>
      </c>
      <c r="BU8" s="230">
        <v>7935925</v>
      </c>
      <c r="BV8" s="230">
        <v>-4526306</v>
      </c>
      <c r="BW8" s="229">
        <v>-0.57040000000000002</v>
      </c>
      <c r="BX8" s="230">
        <v>20925175</v>
      </c>
      <c r="BY8" s="230">
        <v>20828275</v>
      </c>
      <c r="BZ8" s="230">
        <v>96900</v>
      </c>
      <c r="CA8" s="229">
        <v>4.7000000000000002E-3</v>
      </c>
      <c r="CB8" s="230">
        <v>18930650</v>
      </c>
      <c r="CC8" s="230">
        <v>18931600</v>
      </c>
      <c r="CD8" s="228">
        <v>-950</v>
      </c>
      <c r="CE8" s="229">
        <v>-1E-4</v>
      </c>
      <c r="CF8" s="230">
        <v>1880050</v>
      </c>
      <c r="CG8" s="230">
        <v>1786950</v>
      </c>
      <c r="CH8" s="230">
        <v>93100</v>
      </c>
      <c r="CI8" s="229">
        <v>5.21E-2</v>
      </c>
      <c r="CJ8" s="230">
        <v>114475</v>
      </c>
      <c r="CK8" s="230">
        <v>109725</v>
      </c>
      <c r="CL8" s="230">
        <v>4750</v>
      </c>
      <c r="CM8" s="229">
        <v>4.3299999999999998E-2</v>
      </c>
      <c r="CN8" s="230">
        <v>8843550</v>
      </c>
      <c r="CO8" s="230">
        <v>9096250</v>
      </c>
      <c r="CP8" s="230">
        <v>-252700</v>
      </c>
      <c r="CQ8" s="229">
        <v>-2.7799999999999998E-2</v>
      </c>
      <c r="CR8" s="230">
        <v>5611175</v>
      </c>
      <c r="CS8" s="230">
        <v>5187475</v>
      </c>
      <c r="CT8" s="230">
        <v>423700</v>
      </c>
      <c r="CU8" s="229">
        <v>8.1699999999999995E-2</v>
      </c>
      <c r="CV8" s="230">
        <v>35379900</v>
      </c>
      <c r="CW8" s="230">
        <v>35112000</v>
      </c>
      <c r="CX8" s="230">
        <v>267900</v>
      </c>
      <c r="CY8" s="229">
        <v>7.6E-3</v>
      </c>
      <c r="CZ8" s="228">
        <v>36.700000000000003</v>
      </c>
      <c r="DA8" s="228">
        <v>37.36</v>
      </c>
      <c r="DB8" s="228">
        <v>-0.66</v>
      </c>
      <c r="DC8" s="228">
        <v>-0.66</v>
      </c>
      <c r="DD8" s="228">
        <v>40.299999999999997</v>
      </c>
      <c r="DE8" s="228">
        <v>40.39</v>
      </c>
      <c r="DF8" s="228">
        <v>-3.6</v>
      </c>
      <c r="DG8" s="228">
        <v>-0.09</v>
      </c>
      <c r="DH8" s="228">
        <v>35.630000000000003</v>
      </c>
      <c r="DI8" s="228">
        <v>35.14</v>
      </c>
      <c r="DJ8" s="228">
        <v>0.49</v>
      </c>
      <c r="DK8" s="228">
        <v>0.49</v>
      </c>
      <c r="DL8" s="228">
        <v>38.44</v>
      </c>
      <c r="DM8" s="228">
        <v>41.92</v>
      </c>
      <c r="DN8" s="228">
        <v>-3.48</v>
      </c>
      <c r="DO8" s="228">
        <v>-3.48</v>
      </c>
      <c r="DP8" s="228">
        <v>0.63</v>
      </c>
      <c r="DQ8" s="228">
        <v>0.56999999999999995</v>
      </c>
      <c r="DR8" s="228">
        <v>0.06</v>
      </c>
      <c r="DS8" s="229">
        <v>0.1053</v>
      </c>
      <c r="DT8" s="231">
        <v>1500</v>
      </c>
      <c r="DU8" s="231">
        <v>1400</v>
      </c>
      <c r="DV8" s="228">
        <v>0.62</v>
      </c>
      <c r="DW8" s="228">
        <v>0.49</v>
      </c>
      <c r="DX8" s="228">
        <v>0.13</v>
      </c>
      <c r="DY8" s="229">
        <v>0.26529999999999998</v>
      </c>
      <c r="DZ8" s="229">
        <v>9.5299999999999996E-2</v>
      </c>
      <c r="EA8" s="230">
        <v>1896675</v>
      </c>
      <c r="EB8" s="229">
        <v>5.4999999999999997E-3</v>
      </c>
      <c r="EC8" s="229">
        <v>9.5299999999999996E-2</v>
      </c>
      <c r="ED8" s="228">
        <v>5.22</v>
      </c>
      <c r="EE8" s="229">
        <v>3.5999999999999999E-3</v>
      </c>
      <c r="EF8" s="230">
        <v>1217611</v>
      </c>
      <c r="EG8" s="230">
        <v>2637622</v>
      </c>
      <c r="EH8" s="229">
        <v>-0.53839999999999999</v>
      </c>
      <c r="EI8" s="229">
        <v>0.35709999999999997</v>
      </c>
      <c r="EJ8" s="231">
        <v>160049.99</v>
      </c>
      <c r="EK8" s="231">
        <v>91947.97</v>
      </c>
      <c r="EL8" s="231">
        <v>54351.519999999997</v>
      </c>
      <c r="EM8" s="231">
        <v>9367</v>
      </c>
      <c r="EN8" s="231">
        <v>306349.48</v>
      </c>
      <c r="EO8" s="231">
        <v>1117080.1200000001</v>
      </c>
      <c r="EP8" s="231">
        <v>-810730.64</v>
      </c>
      <c r="EQ8" s="229">
        <v>-0.7258</v>
      </c>
      <c r="ER8" s="231">
        <v>131693</v>
      </c>
      <c r="ES8" s="231">
        <v>77235</v>
      </c>
      <c r="ET8" s="231">
        <v>303996</v>
      </c>
      <c r="EU8" s="231">
        <v>88142691</v>
      </c>
      <c r="EV8" s="231">
        <v>512923</v>
      </c>
      <c r="EW8" s="231">
        <v>511243</v>
      </c>
      <c r="EX8" s="231">
        <v>1680</v>
      </c>
      <c r="EY8" s="229">
        <v>3.3E-3</v>
      </c>
      <c r="EZ8" s="229">
        <v>0.40139999999999998</v>
      </c>
      <c r="FA8" s="227" t="s">
        <v>566</v>
      </c>
      <c r="FB8" s="161">
        <f t="shared" si="0"/>
        <v>1994525</v>
      </c>
    </row>
    <row r="9" spans="1:158" ht="17.25" thickBot="1" x14ac:dyDescent="0.3">
      <c r="A9" s="226">
        <v>46121</v>
      </c>
      <c r="B9" s="227" t="s">
        <v>702</v>
      </c>
      <c r="C9" s="227" t="s">
        <v>696</v>
      </c>
      <c r="D9" s="228">
        <v>3550</v>
      </c>
      <c r="E9" s="228">
        <v>173.5</v>
      </c>
      <c r="F9" s="228">
        <v>169.75</v>
      </c>
      <c r="G9" s="228">
        <v>3.75</v>
      </c>
      <c r="H9" s="229">
        <v>2.2100000000000002E-2</v>
      </c>
      <c r="I9" s="228">
        <v>172.33</v>
      </c>
      <c r="J9" s="228">
        <v>169.31</v>
      </c>
      <c r="K9" s="228">
        <v>3.02</v>
      </c>
      <c r="L9" s="229">
        <v>1.78E-2</v>
      </c>
      <c r="M9" s="228">
        <v>173.5</v>
      </c>
      <c r="N9" s="228">
        <v>169.75</v>
      </c>
      <c r="O9" s="228">
        <v>3.75</v>
      </c>
      <c r="P9" s="229">
        <v>2.2100000000000002E-2</v>
      </c>
      <c r="Q9" s="228">
        <v>174.43</v>
      </c>
      <c r="R9" s="228">
        <v>170.88</v>
      </c>
      <c r="S9" s="228">
        <v>3.55</v>
      </c>
      <c r="T9" s="229">
        <v>2.0799999999999999E-2</v>
      </c>
      <c r="U9" s="228">
        <v>175.45</v>
      </c>
      <c r="V9" s="228">
        <v>171.69</v>
      </c>
      <c r="W9" s="228">
        <v>3.76</v>
      </c>
      <c r="X9" s="229">
        <v>2.1899999999999999E-2</v>
      </c>
      <c r="Y9" s="228">
        <v>1.17</v>
      </c>
      <c r="Z9" s="228">
        <v>0.44</v>
      </c>
      <c r="AA9" s="228">
        <v>0.73</v>
      </c>
      <c r="AB9" s="229">
        <v>6.7999999999999996E-3</v>
      </c>
      <c r="AC9" s="228">
        <v>1.17</v>
      </c>
      <c r="AD9" s="228">
        <v>0.44</v>
      </c>
      <c r="AE9" s="228">
        <v>0.73</v>
      </c>
      <c r="AF9" s="229">
        <v>6.7999999999999996E-3</v>
      </c>
      <c r="AG9" s="228">
        <v>2.1</v>
      </c>
      <c r="AH9" s="228">
        <v>1.57</v>
      </c>
      <c r="AI9" s="228">
        <v>0.53</v>
      </c>
      <c r="AJ9" s="229">
        <v>1.2200000000000001E-2</v>
      </c>
      <c r="AK9" s="228">
        <v>3.12</v>
      </c>
      <c r="AL9" s="228">
        <v>2.38</v>
      </c>
      <c r="AM9" s="228">
        <v>0.74</v>
      </c>
      <c r="AN9" s="229">
        <v>1.8100000000000002E-2</v>
      </c>
      <c r="AO9" s="228">
        <v>171.22</v>
      </c>
      <c r="AP9" s="228">
        <v>172.04</v>
      </c>
      <c r="AQ9" s="228">
        <v>0</v>
      </c>
      <c r="AR9" s="230">
        <v>19887100</v>
      </c>
      <c r="AS9" s="230">
        <v>32727450</v>
      </c>
      <c r="AT9" s="230">
        <v>-12840350</v>
      </c>
      <c r="AU9" s="229">
        <v>-0.39229999999999998</v>
      </c>
      <c r="AV9" s="230">
        <v>18942800</v>
      </c>
      <c r="AW9" s="230">
        <v>30743000</v>
      </c>
      <c r="AX9" s="230">
        <v>-11800200</v>
      </c>
      <c r="AY9" s="229">
        <v>-0.38379999999999997</v>
      </c>
      <c r="AZ9" s="230">
        <v>816500</v>
      </c>
      <c r="BA9" s="230">
        <v>1835350</v>
      </c>
      <c r="BB9" s="230">
        <v>-1018850</v>
      </c>
      <c r="BC9" s="229">
        <v>-0.55510000000000004</v>
      </c>
      <c r="BD9" s="230">
        <v>127800</v>
      </c>
      <c r="BE9" s="230">
        <v>149100</v>
      </c>
      <c r="BF9" s="230">
        <v>-21300</v>
      </c>
      <c r="BG9" s="229">
        <v>-0.1429</v>
      </c>
      <c r="BH9" s="230">
        <v>26248700</v>
      </c>
      <c r="BI9" s="230">
        <v>60623350</v>
      </c>
      <c r="BJ9" s="230">
        <v>-34374650</v>
      </c>
      <c r="BK9" s="229">
        <v>-0.56699999999999995</v>
      </c>
      <c r="BL9" s="230">
        <v>6539100</v>
      </c>
      <c r="BM9" s="230">
        <v>8122400</v>
      </c>
      <c r="BN9" s="230">
        <v>-1583300</v>
      </c>
      <c r="BO9" s="229">
        <v>-0.19489999999999999</v>
      </c>
      <c r="BP9" s="230">
        <v>52674900</v>
      </c>
      <c r="BQ9" s="230">
        <v>101473200</v>
      </c>
      <c r="BR9" s="230">
        <v>-48798300</v>
      </c>
      <c r="BS9" s="229">
        <v>-0.48089999999999999</v>
      </c>
      <c r="BT9" s="230">
        <v>45505622</v>
      </c>
      <c r="BU9" s="230">
        <v>74782861</v>
      </c>
      <c r="BV9" s="230">
        <v>-29277239</v>
      </c>
      <c r="BW9" s="229">
        <v>-0.39150000000000001</v>
      </c>
      <c r="BX9" s="230">
        <v>53715050</v>
      </c>
      <c r="BY9" s="230">
        <v>52575500</v>
      </c>
      <c r="BZ9" s="230">
        <v>1139550</v>
      </c>
      <c r="CA9" s="229">
        <v>2.1700000000000001E-2</v>
      </c>
      <c r="CB9" s="230">
        <v>51322350</v>
      </c>
      <c r="CC9" s="230">
        <v>50225400</v>
      </c>
      <c r="CD9" s="230">
        <v>1096950</v>
      </c>
      <c r="CE9" s="229">
        <v>2.18E-2</v>
      </c>
      <c r="CF9" s="230">
        <v>2137100</v>
      </c>
      <c r="CG9" s="230">
        <v>2151300</v>
      </c>
      <c r="CH9" s="230">
        <v>-14200</v>
      </c>
      <c r="CI9" s="229">
        <v>-6.6E-3</v>
      </c>
      <c r="CJ9" s="230">
        <v>255600</v>
      </c>
      <c r="CK9" s="230">
        <v>198800</v>
      </c>
      <c r="CL9" s="230">
        <v>56800</v>
      </c>
      <c r="CM9" s="229">
        <v>0.28570000000000001</v>
      </c>
      <c r="CN9" s="230">
        <v>15765550</v>
      </c>
      <c r="CO9" s="230">
        <v>15367950</v>
      </c>
      <c r="CP9" s="230">
        <v>397600</v>
      </c>
      <c r="CQ9" s="229">
        <v>2.5899999999999999E-2</v>
      </c>
      <c r="CR9" s="230">
        <v>5715500</v>
      </c>
      <c r="CS9" s="230">
        <v>4675350</v>
      </c>
      <c r="CT9" s="230">
        <v>1040150</v>
      </c>
      <c r="CU9" s="229">
        <v>0.2225</v>
      </c>
      <c r="CV9" s="230">
        <v>75196100</v>
      </c>
      <c r="CW9" s="230">
        <v>72618800</v>
      </c>
      <c r="CX9" s="230">
        <v>2577300</v>
      </c>
      <c r="CY9" s="229">
        <v>3.5499999999999997E-2</v>
      </c>
      <c r="CZ9" s="228">
        <v>53.97</v>
      </c>
      <c r="DA9" s="228">
        <v>56.18</v>
      </c>
      <c r="DB9" s="228">
        <v>-2.21</v>
      </c>
      <c r="DC9" s="228">
        <v>-2.21</v>
      </c>
      <c r="DD9" s="228">
        <v>52.47</v>
      </c>
      <c r="DE9" s="228">
        <v>52.54</v>
      </c>
      <c r="DF9" s="228">
        <v>1.5</v>
      </c>
      <c r="DG9" s="228">
        <v>-7.0000000000000007E-2</v>
      </c>
      <c r="DH9" s="228">
        <v>53.22</v>
      </c>
      <c r="DI9" s="228">
        <v>55.8</v>
      </c>
      <c r="DJ9" s="228">
        <v>-2.58</v>
      </c>
      <c r="DK9" s="228">
        <v>-2.58</v>
      </c>
      <c r="DL9" s="228">
        <v>57</v>
      </c>
      <c r="DM9" s="228">
        <v>58.97</v>
      </c>
      <c r="DN9" s="228">
        <v>-1.97</v>
      </c>
      <c r="DO9" s="228">
        <v>-1.97</v>
      </c>
      <c r="DP9" s="228">
        <v>0.36</v>
      </c>
      <c r="DQ9" s="228">
        <v>0.3</v>
      </c>
      <c r="DR9" s="228">
        <v>0.06</v>
      </c>
      <c r="DS9" s="229">
        <v>0.2</v>
      </c>
      <c r="DT9" s="228">
        <v>180</v>
      </c>
      <c r="DU9" s="228">
        <v>170</v>
      </c>
      <c r="DV9" s="228">
        <v>0.25</v>
      </c>
      <c r="DW9" s="228">
        <v>0.13</v>
      </c>
      <c r="DX9" s="228">
        <v>0.12</v>
      </c>
      <c r="DY9" s="229">
        <v>0.92310000000000003</v>
      </c>
      <c r="DZ9" s="229">
        <v>4.4499999999999998E-2</v>
      </c>
      <c r="EA9" s="230">
        <v>2350100</v>
      </c>
      <c r="EB9" s="229">
        <v>5.4000000000000003E-3</v>
      </c>
      <c r="EC9" s="229">
        <v>4.4499999999999998E-2</v>
      </c>
      <c r="ED9" s="228">
        <v>0.82</v>
      </c>
      <c r="EE9" s="229">
        <v>4.7999999999999996E-3</v>
      </c>
      <c r="EF9" s="230">
        <v>15281450</v>
      </c>
      <c r="EG9" s="230">
        <v>24408579</v>
      </c>
      <c r="EH9" s="229">
        <v>-0.37390000000000001</v>
      </c>
      <c r="EI9" s="229">
        <v>0.33579999999999999</v>
      </c>
      <c r="EJ9" s="231">
        <v>48204.21</v>
      </c>
      <c r="EK9" s="231">
        <v>11131.98</v>
      </c>
      <c r="EL9" s="231">
        <v>34060.9</v>
      </c>
      <c r="EM9" s="231">
        <v>6906</v>
      </c>
      <c r="EN9" s="231">
        <v>93397.09</v>
      </c>
      <c r="EO9" s="231">
        <v>181215.41</v>
      </c>
      <c r="EP9" s="231">
        <v>-87818.32</v>
      </c>
      <c r="EQ9" s="229">
        <v>-0.48459999999999998</v>
      </c>
      <c r="ER9" s="231">
        <v>27532</v>
      </c>
      <c r="ES9" s="231">
        <v>9155</v>
      </c>
      <c r="ET9" s="231">
        <v>93220</v>
      </c>
      <c r="EU9" s="231">
        <v>482906787</v>
      </c>
      <c r="EV9" s="231">
        <v>129907</v>
      </c>
      <c r="EW9" s="231">
        <v>123426</v>
      </c>
      <c r="EX9" s="231">
        <v>6481</v>
      </c>
      <c r="EY9" s="229">
        <v>5.2499999999999998E-2</v>
      </c>
      <c r="EZ9" s="229">
        <v>0.15570000000000001</v>
      </c>
      <c r="FA9" s="227" t="s">
        <v>555</v>
      </c>
      <c r="FB9" s="161">
        <f t="shared" si="0"/>
        <v>2392700</v>
      </c>
    </row>
    <row r="10" spans="1:158" ht="17.25" thickBot="1" x14ac:dyDescent="0.3">
      <c r="A10" s="226">
        <v>46121</v>
      </c>
      <c r="B10" s="227" t="s">
        <v>170</v>
      </c>
      <c r="C10" s="227" t="s">
        <v>497</v>
      </c>
      <c r="D10" s="228">
        <v>125</v>
      </c>
      <c r="E10" s="231">
        <v>5399.5</v>
      </c>
      <c r="F10" s="231">
        <v>5268.5</v>
      </c>
      <c r="G10" s="228">
        <v>131</v>
      </c>
      <c r="H10" s="229">
        <v>2.4899999999999999E-2</v>
      </c>
      <c r="I10" s="231">
        <v>5370.5</v>
      </c>
      <c r="J10" s="231">
        <v>5246</v>
      </c>
      <c r="K10" s="228">
        <v>124.5</v>
      </c>
      <c r="L10" s="229">
        <v>2.3699999999999999E-2</v>
      </c>
      <c r="M10" s="231">
        <v>5399.5</v>
      </c>
      <c r="N10" s="231">
        <v>5268.5</v>
      </c>
      <c r="O10" s="228">
        <v>131</v>
      </c>
      <c r="P10" s="229">
        <v>2.4899999999999999E-2</v>
      </c>
      <c r="Q10" s="231">
        <v>5430</v>
      </c>
      <c r="R10" s="231">
        <v>5299</v>
      </c>
      <c r="S10" s="228">
        <v>131</v>
      </c>
      <c r="T10" s="229">
        <v>2.47E-2</v>
      </c>
      <c r="U10" s="228">
        <v>0</v>
      </c>
      <c r="V10" s="228">
        <v>0</v>
      </c>
      <c r="W10" s="228">
        <v>0</v>
      </c>
      <c r="X10" s="229">
        <v>0</v>
      </c>
      <c r="Y10" s="228">
        <v>29</v>
      </c>
      <c r="Z10" s="228">
        <v>22.5</v>
      </c>
      <c r="AA10" s="228">
        <v>6.5</v>
      </c>
      <c r="AB10" s="229">
        <v>5.4000000000000003E-3</v>
      </c>
      <c r="AC10" s="228">
        <v>29</v>
      </c>
      <c r="AD10" s="228">
        <v>22.5</v>
      </c>
      <c r="AE10" s="228">
        <v>6.5</v>
      </c>
      <c r="AF10" s="229">
        <v>5.4000000000000003E-3</v>
      </c>
      <c r="AG10" s="228">
        <v>59.5</v>
      </c>
      <c r="AH10" s="228">
        <v>53</v>
      </c>
      <c r="AI10" s="228">
        <v>6.5</v>
      </c>
      <c r="AJ10" s="229">
        <v>1.11E-2</v>
      </c>
      <c r="AK10" s="228">
        <v>0</v>
      </c>
      <c r="AL10" s="228">
        <v>0</v>
      </c>
      <c r="AM10" s="228">
        <v>0</v>
      </c>
      <c r="AN10" s="229">
        <v>0</v>
      </c>
      <c r="AO10" s="231">
        <v>5341.17</v>
      </c>
      <c r="AP10" s="231">
        <v>5370.24</v>
      </c>
      <c r="AQ10" s="228">
        <v>0</v>
      </c>
      <c r="AR10" s="230">
        <v>176500</v>
      </c>
      <c r="AS10" s="230">
        <v>145000</v>
      </c>
      <c r="AT10" s="230">
        <v>31500</v>
      </c>
      <c r="AU10" s="229">
        <v>0.2172</v>
      </c>
      <c r="AV10" s="230">
        <v>168000</v>
      </c>
      <c r="AW10" s="230">
        <v>140625</v>
      </c>
      <c r="AX10" s="230">
        <v>27375</v>
      </c>
      <c r="AY10" s="229">
        <v>0.19470000000000001</v>
      </c>
      <c r="AZ10" s="230">
        <v>8500</v>
      </c>
      <c r="BA10" s="230">
        <v>4375</v>
      </c>
      <c r="BB10" s="230">
        <v>4125</v>
      </c>
      <c r="BC10" s="229">
        <v>0.94289999999999996</v>
      </c>
      <c r="BD10" s="228">
        <v>0</v>
      </c>
      <c r="BE10" s="228">
        <v>0</v>
      </c>
      <c r="BF10" s="228">
        <v>0</v>
      </c>
      <c r="BG10" s="229">
        <v>0</v>
      </c>
      <c r="BH10" s="230">
        <v>384250</v>
      </c>
      <c r="BI10" s="230">
        <v>395250</v>
      </c>
      <c r="BJ10" s="230">
        <v>-11000</v>
      </c>
      <c r="BK10" s="229">
        <v>-2.7799999999999998E-2</v>
      </c>
      <c r="BL10" s="230">
        <v>139875</v>
      </c>
      <c r="BM10" s="230">
        <v>174125</v>
      </c>
      <c r="BN10" s="230">
        <v>-34250</v>
      </c>
      <c r="BO10" s="229">
        <v>-0.19670000000000001</v>
      </c>
      <c r="BP10" s="230">
        <v>700625</v>
      </c>
      <c r="BQ10" s="230">
        <v>714375</v>
      </c>
      <c r="BR10" s="230">
        <v>-13750</v>
      </c>
      <c r="BS10" s="229">
        <v>-1.9199999999999998E-2</v>
      </c>
      <c r="BT10" s="230">
        <v>129372</v>
      </c>
      <c r="BU10" s="230">
        <v>198056</v>
      </c>
      <c r="BV10" s="230">
        <v>-68684</v>
      </c>
      <c r="BW10" s="229">
        <v>-0.3468</v>
      </c>
      <c r="BX10" s="230">
        <v>1153125</v>
      </c>
      <c r="BY10" s="230">
        <v>1156750</v>
      </c>
      <c r="BZ10" s="230">
        <v>-3625</v>
      </c>
      <c r="CA10" s="229">
        <v>-3.0999999999999999E-3</v>
      </c>
      <c r="CB10" s="230">
        <v>1145125</v>
      </c>
      <c r="CC10" s="230">
        <v>1151250</v>
      </c>
      <c r="CD10" s="230">
        <v>-6125</v>
      </c>
      <c r="CE10" s="229">
        <v>-5.3E-3</v>
      </c>
      <c r="CF10" s="230">
        <v>8000</v>
      </c>
      <c r="CG10" s="230">
        <v>5500</v>
      </c>
      <c r="CH10" s="230">
        <v>2500</v>
      </c>
      <c r="CI10" s="229">
        <v>0.45450000000000002</v>
      </c>
      <c r="CJ10" s="228">
        <v>0</v>
      </c>
      <c r="CK10" s="228">
        <v>0</v>
      </c>
      <c r="CL10" s="228">
        <v>0</v>
      </c>
      <c r="CM10" s="229">
        <v>0</v>
      </c>
      <c r="CN10" s="230">
        <v>146375</v>
      </c>
      <c r="CO10" s="230">
        <v>132375</v>
      </c>
      <c r="CP10" s="230">
        <v>14000</v>
      </c>
      <c r="CQ10" s="229">
        <v>0.10580000000000001</v>
      </c>
      <c r="CR10" s="230">
        <v>138875</v>
      </c>
      <c r="CS10" s="230">
        <v>141000</v>
      </c>
      <c r="CT10" s="230">
        <v>-2125</v>
      </c>
      <c r="CU10" s="229">
        <v>-1.5100000000000001E-2</v>
      </c>
      <c r="CV10" s="230">
        <v>1438375</v>
      </c>
      <c r="CW10" s="230">
        <v>1430125</v>
      </c>
      <c r="CX10" s="230">
        <v>8250</v>
      </c>
      <c r="CY10" s="229">
        <v>5.7999999999999996E-3</v>
      </c>
      <c r="CZ10" s="228">
        <v>26.91</v>
      </c>
      <c r="DA10" s="228">
        <v>25.61</v>
      </c>
      <c r="DB10" s="228">
        <v>1.3</v>
      </c>
      <c r="DC10" s="228">
        <v>1.3</v>
      </c>
      <c r="DD10" s="228">
        <v>28.4</v>
      </c>
      <c r="DE10" s="228">
        <v>28.28</v>
      </c>
      <c r="DF10" s="228">
        <v>-1.49</v>
      </c>
      <c r="DG10" s="228">
        <v>0.12</v>
      </c>
      <c r="DH10" s="228">
        <v>26.73</v>
      </c>
      <c r="DI10" s="228">
        <v>25.23</v>
      </c>
      <c r="DJ10" s="228">
        <v>1.5</v>
      </c>
      <c r="DK10" s="228">
        <v>1.5</v>
      </c>
      <c r="DL10" s="228">
        <v>27.41</v>
      </c>
      <c r="DM10" s="228">
        <v>26.45</v>
      </c>
      <c r="DN10" s="228">
        <v>0.96</v>
      </c>
      <c r="DO10" s="228">
        <v>0.96</v>
      </c>
      <c r="DP10" s="228">
        <v>0.95</v>
      </c>
      <c r="DQ10" s="228">
        <v>1.07</v>
      </c>
      <c r="DR10" s="228">
        <v>-0.12</v>
      </c>
      <c r="DS10" s="229">
        <v>-0.11210000000000001</v>
      </c>
      <c r="DT10" s="231">
        <v>5600</v>
      </c>
      <c r="DU10" s="231">
        <v>5200</v>
      </c>
      <c r="DV10" s="228">
        <v>0.36</v>
      </c>
      <c r="DW10" s="228">
        <v>0.44</v>
      </c>
      <c r="DX10" s="228">
        <v>-0.08</v>
      </c>
      <c r="DY10" s="229">
        <v>-0.18179999999999999</v>
      </c>
      <c r="DZ10" s="229">
        <v>6.8999999999999999E-3</v>
      </c>
      <c r="EA10" s="230">
        <v>5500</v>
      </c>
      <c r="EB10" s="229">
        <v>5.5999999999999999E-3</v>
      </c>
      <c r="EC10" s="229">
        <v>6.8999999999999999E-3</v>
      </c>
      <c r="ED10" s="228">
        <v>29.07</v>
      </c>
      <c r="EE10" s="229">
        <v>5.4000000000000003E-3</v>
      </c>
      <c r="EF10" s="230">
        <v>67569</v>
      </c>
      <c r="EG10" s="230">
        <v>129039</v>
      </c>
      <c r="EH10" s="229">
        <v>-0.47639999999999999</v>
      </c>
      <c r="EI10" s="229">
        <v>0.52229999999999999</v>
      </c>
      <c r="EJ10" s="231">
        <v>21188.61</v>
      </c>
      <c r="EK10" s="231">
        <v>7366.96</v>
      </c>
      <c r="EL10" s="231">
        <v>9429.6299999999992</v>
      </c>
      <c r="EM10" s="231">
        <v>1121</v>
      </c>
      <c r="EN10" s="231">
        <v>37985.199999999997</v>
      </c>
      <c r="EO10" s="231">
        <v>38309.39</v>
      </c>
      <c r="EP10" s="228">
        <v>-324.19</v>
      </c>
      <c r="EQ10" s="229">
        <v>-8.5000000000000006E-3</v>
      </c>
      <c r="ER10" s="231">
        <v>8026</v>
      </c>
      <c r="ES10" s="231">
        <v>7208</v>
      </c>
      <c r="ET10" s="231">
        <v>62265</v>
      </c>
      <c r="EU10" s="231">
        <v>5873365</v>
      </c>
      <c r="EV10" s="231">
        <v>77500</v>
      </c>
      <c r="EW10" s="231">
        <v>75478</v>
      </c>
      <c r="EX10" s="231">
        <v>2022</v>
      </c>
      <c r="EY10" s="229">
        <v>2.6800000000000001E-2</v>
      </c>
      <c r="EZ10" s="229">
        <v>0.24490000000000001</v>
      </c>
      <c r="FA10" s="227" t="s">
        <v>694</v>
      </c>
      <c r="FB10" s="161">
        <f t="shared" si="0"/>
        <v>8000</v>
      </c>
    </row>
    <row r="11" spans="1:158" ht="17.25" thickBot="1" x14ac:dyDescent="0.3">
      <c r="A11" s="226">
        <v>46121</v>
      </c>
      <c r="B11" s="227" t="s">
        <v>184</v>
      </c>
      <c r="C11" s="227" t="s">
        <v>679</v>
      </c>
      <c r="D11" s="228">
        <v>100</v>
      </c>
      <c r="E11" s="231">
        <v>6899.5</v>
      </c>
      <c r="F11" s="231">
        <v>6948</v>
      </c>
      <c r="G11" s="228">
        <v>-48.5</v>
      </c>
      <c r="H11" s="229">
        <v>-7.0000000000000001E-3</v>
      </c>
      <c r="I11" s="231">
        <v>6888.5</v>
      </c>
      <c r="J11" s="231">
        <v>6944</v>
      </c>
      <c r="K11" s="228">
        <v>-55.5</v>
      </c>
      <c r="L11" s="229">
        <v>-8.0000000000000002E-3</v>
      </c>
      <c r="M11" s="231">
        <v>6899.5</v>
      </c>
      <c r="N11" s="231">
        <v>6948</v>
      </c>
      <c r="O11" s="228">
        <v>-48.5</v>
      </c>
      <c r="P11" s="229">
        <v>-7.0000000000000001E-3</v>
      </c>
      <c r="Q11" s="231">
        <v>6849</v>
      </c>
      <c r="R11" s="231">
        <v>6895.5</v>
      </c>
      <c r="S11" s="228">
        <v>-46.5</v>
      </c>
      <c r="T11" s="229">
        <v>-6.7000000000000002E-3</v>
      </c>
      <c r="U11" s="231">
        <v>6700</v>
      </c>
      <c r="V11" s="231">
        <v>6880</v>
      </c>
      <c r="W11" s="228">
        <v>-180</v>
      </c>
      <c r="X11" s="229">
        <v>-2.6200000000000001E-2</v>
      </c>
      <c r="Y11" s="228">
        <v>11</v>
      </c>
      <c r="Z11" s="228">
        <v>4</v>
      </c>
      <c r="AA11" s="228">
        <v>7</v>
      </c>
      <c r="AB11" s="229">
        <v>1.6000000000000001E-3</v>
      </c>
      <c r="AC11" s="228">
        <v>11</v>
      </c>
      <c r="AD11" s="228">
        <v>4</v>
      </c>
      <c r="AE11" s="228">
        <v>7</v>
      </c>
      <c r="AF11" s="229">
        <v>1.6000000000000001E-3</v>
      </c>
      <c r="AG11" s="228">
        <v>-39.5</v>
      </c>
      <c r="AH11" s="228">
        <v>-48.5</v>
      </c>
      <c r="AI11" s="228">
        <v>9</v>
      </c>
      <c r="AJ11" s="229">
        <v>-5.7000000000000002E-3</v>
      </c>
      <c r="AK11" s="228">
        <v>-188.5</v>
      </c>
      <c r="AL11" s="228">
        <v>-64</v>
      </c>
      <c r="AM11" s="228">
        <v>-124.5</v>
      </c>
      <c r="AN11" s="229">
        <v>-2.7400000000000001E-2</v>
      </c>
      <c r="AO11" s="231">
        <v>6815.08</v>
      </c>
      <c r="AP11" s="231">
        <v>6758.84</v>
      </c>
      <c r="AQ11" s="228">
        <v>0</v>
      </c>
      <c r="AR11" s="230">
        <v>539200</v>
      </c>
      <c r="AS11" s="230">
        <v>551400</v>
      </c>
      <c r="AT11" s="230">
        <v>-12200</v>
      </c>
      <c r="AU11" s="229">
        <v>-2.2100000000000002E-2</v>
      </c>
      <c r="AV11" s="230">
        <v>488800</v>
      </c>
      <c r="AW11" s="230">
        <v>526700</v>
      </c>
      <c r="AX11" s="230">
        <v>-37900</v>
      </c>
      <c r="AY11" s="229">
        <v>-7.1999999999999995E-2</v>
      </c>
      <c r="AZ11" s="230">
        <v>48400</v>
      </c>
      <c r="BA11" s="230">
        <v>22600</v>
      </c>
      <c r="BB11" s="230">
        <v>25800</v>
      </c>
      <c r="BC11" s="229">
        <v>1.1415999999999999</v>
      </c>
      <c r="BD11" s="230">
        <v>2000</v>
      </c>
      <c r="BE11" s="230">
        <v>2100</v>
      </c>
      <c r="BF11" s="228">
        <v>-100</v>
      </c>
      <c r="BG11" s="229">
        <v>-4.7600000000000003E-2</v>
      </c>
      <c r="BH11" s="230">
        <v>948200</v>
      </c>
      <c r="BI11" s="230">
        <v>1811600</v>
      </c>
      <c r="BJ11" s="230">
        <v>-863400</v>
      </c>
      <c r="BK11" s="229">
        <v>-0.47660000000000002</v>
      </c>
      <c r="BL11" s="230">
        <v>523500</v>
      </c>
      <c r="BM11" s="230">
        <v>769800</v>
      </c>
      <c r="BN11" s="230">
        <v>-246300</v>
      </c>
      <c r="BO11" s="229">
        <v>-0.32</v>
      </c>
      <c r="BP11" s="230">
        <v>2010900</v>
      </c>
      <c r="BQ11" s="230">
        <v>3132800</v>
      </c>
      <c r="BR11" s="230">
        <v>-1121900</v>
      </c>
      <c r="BS11" s="229">
        <v>-0.35809999999999997</v>
      </c>
      <c r="BT11" s="230">
        <v>356637</v>
      </c>
      <c r="BU11" s="230">
        <v>464630</v>
      </c>
      <c r="BV11" s="230">
        <v>-107993</v>
      </c>
      <c r="BW11" s="229">
        <v>-0.2324</v>
      </c>
      <c r="BX11" s="230">
        <v>1212300</v>
      </c>
      <c r="BY11" s="230">
        <v>1126200</v>
      </c>
      <c r="BZ11" s="230">
        <v>86100</v>
      </c>
      <c r="CA11" s="229">
        <v>7.6499999999999999E-2</v>
      </c>
      <c r="CB11" s="230">
        <v>1158800</v>
      </c>
      <c r="CC11" s="230">
        <v>1091100</v>
      </c>
      <c r="CD11" s="230">
        <v>67700</v>
      </c>
      <c r="CE11" s="229">
        <v>6.2E-2</v>
      </c>
      <c r="CF11" s="230">
        <v>50500</v>
      </c>
      <c r="CG11" s="230">
        <v>33600</v>
      </c>
      <c r="CH11" s="230">
        <v>16900</v>
      </c>
      <c r="CI11" s="229">
        <v>0.503</v>
      </c>
      <c r="CJ11" s="230">
        <v>3000</v>
      </c>
      <c r="CK11" s="230">
        <v>1500</v>
      </c>
      <c r="CL11" s="230">
        <v>1500</v>
      </c>
      <c r="CM11" s="229">
        <v>1</v>
      </c>
      <c r="CN11" s="230">
        <v>507500</v>
      </c>
      <c r="CO11" s="230">
        <v>451100</v>
      </c>
      <c r="CP11" s="230">
        <v>56400</v>
      </c>
      <c r="CQ11" s="229">
        <v>0.125</v>
      </c>
      <c r="CR11" s="230">
        <v>325600</v>
      </c>
      <c r="CS11" s="230">
        <v>282800</v>
      </c>
      <c r="CT11" s="230">
        <v>42800</v>
      </c>
      <c r="CU11" s="229">
        <v>0.15129999999999999</v>
      </c>
      <c r="CV11" s="230">
        <v>2045400</v>
      </c>
      <c r="CW11" s="230">
        <v>1860100</v>
      </c>
      <c r="CX11" s="230">
        <v>185300</v>
      </c>
      <c r="CY11" s="229">
        <v>9.9599999999999994E-2</v>
      </c>
      <c r="CZ11" s="228">
        <v>49.84</v>
      </c>
      <c r="DA11" s="228">
        <v>48.4</v>
      </c>
      <c r="DB11" s="228">
        <v>1.44</v>
      </c>
      <c r="DC11" s="228">
        <v>1.44</v>
      </c>
      <c r="DD11" s="228">
        <v>54.07</v>
      </c>
      <c r="DE11" s="228">
        <v>54.2</v>
      </c>
      <c r="DF11" s="228">
        <v>-4.2300000000000004</v>
      </c>
      <c r="DG11" s="228">
        <v>-0.13</v>
      </c>
      <c r="DH11" s="228">
        <v>48.55</v>
      </c>
      <c r="DI11" s="228">
        <v>46.79</v>
      </c>
      <c r="DJ11" s="228">
        <v>1.76</v>
      </c>
      <c r="DK11" s="228">
        <v>1.76</v>
      </c>
      <c r="DL11" s="228">
        <v>52.18</v>
      </c>
      <c r="DM11" s="228">
        <v>52.16</v>
      </c>
      <c r="DN11" s="228">
        <v>0.02</v>
      </c>
      <c r="DO11" s="228">
        <v>0.02</v>
      </c>
      <c r="DP11" s="228">
        <v>0.64</v>
      </c>
      <c r="DQ11" s="228">
        <v>0.63</v>
      </c>
      <c r="DR11" s="228">
        <v>0.01</v>
      </c>
      <c r="DS11" s="229">
        <v>1.5900000000000001E-2</v>
      </c>
      <c r="DT11" s="231">
        <v>7000</v>
      </c>
      <c r="DU11" s="231">
        <v>6500</v>
      </c>
      <c r="DV11" s="228">
        <v>0.55000000000000004</v>
      </c>
      <c r="DW11" s="228">
        <v>0.42</v>
      </c>
      <c r="DX11" s="228">
        <v>0.13</v>
      </c>
      <c r="DY11" s="229">
        <v>0.3095</v>
      </c>
      <c r="DZ11" s="229">
        <v>4.41E-2</v>
      </c>
      <c r="EA11" s="230">
        <v>35100</v>
      </c>
      <c r="EB11" s="229">
        <v>-7.3000000000000001E-3</v>
      </c>
      <c r="EC11" s="229">
        <v>4.41E-2</v>
      </c>
      <c r="ED11" s="228">
        <v>-56.24</v>
      </c>
      <c r="EE11" s="229">
        <v>-8.3000000000000001E-3</v>
      </c>
      <c r="EF11" s="230">
        <v>85876</v>
      </c>
      <c r="EG11" s="230">
        <v>91929</v>
      </c>
      <c r="EH11" s="229">
        <v>-6.5799999999999997E-2</v>
      </c>
      <c r="EI11" s="229">
        <v>0.24079999999999999</v>
      </c>
      <c r="EJ11" s="231">
        <v>70240.06</v>
      </c>
      <c r="EK11" s="231">
        <v>34378.67</v>
      </c>
      <c r="EL11" s="231">
        <v>36717.35</v>
      </c>
      <c r="EM11" s="231">
        <v>3872</v>
      </c>
      <c r="EN11" s="231">
        <v>141336.07999999999</v>
      </c>
      <c r="EO11" s="231">
        <v>221581.84</v>
      </c>
      <c r="EP11" s="231">
        <v>-80245.759999999995</v>
      </c>
      <c r="EQ11" s="229">
        <v>-0.36209999999999998</v>
      </c>
      <c r="ER11" s="231">
        <v>36314</v>
      </c>
      <c r="ES11" s="231">
        <v>20761</v>
      </c>
      <c r="ET11" s="231">
        <v>83611</v>
      </c>
      <c r="EU11" s="231">
        <v>3260820</v>
      </c>
      <c r="EV11" s="231">
        <v>140686</v>
      </c>
      <c r="EW11" s="231">
        <v>128474</v>
      </c>
      <c r="EX11" s="231">
        <v>12212</v>
      </c>
      <c r="EY11" s="229">
        <v>9.5100000000000004E-2</v>
      </c>
      <c r="EZ11" s="229">
        <v>0.62729999999999997</v>
      </c>
      <c r="FA11" s="227" t="s">
        <v>566</v>
      </c>
      <c r="FB11" s="161">
        <f t="shared" si="0"/>
        <v>53500</v>
      </c>
    </row>
    <row r="12" spans="1:158" ht="17.25" thickBot="1" x14ac:dyDescent="0.3">
      <c r="A12" s="226">
        <v>46121</v>
      </c>
      <c r="B12" s="227" t="s">
        <v>157</v>
      </c>
      <c r="C12" s="227" t="s">
        <v>164</v>
      </c>
      <c r="D12" s="228">
        <v>1050</v>
      </c>
      <c r="E12" s="228">
        <v>434.5</v>
      </c>
      <c r="F12" s="228">
        <v>447.65</v>
      </c>
      <c r="G12" s="228">
        <v>-13.15</v>
      </c>
      <c r="H12" s="229">
        <v>-2.9399999999999999E-2</v>
      </c>
      <c r="I12" s="228">
        <v>434.05</v>
      </c>
      <c r="J12" s="228">
        <v>446.75</v>
      </c>
      <c r="K12" s="228">
        <v>-12.7</v>
      </c>
      <c r="L12" s="229">
        <v>-2.8400000000000002E-2</v>
      </c>
      <c r="M12" s="228">
        <v>434.5</v>
      </c>
      <c r="N12" s="228">
        <v>447.65</v>
      </c>
      <c r="O12" s="228">
        <v>-13.15</v>
      </c>
      <c r="P12" s="229">
        <v>-2.9399999999999999E-2</v>
      </c>
      <c r="Q12" s="228">
        <v>437.2</v>
      </c>
      <c r="R12" s="228">
        <v>450.4</v>
      </c>
      <c r="S12" s="228">
        <v>-13.2</v>
      </c>
      <c r="T12" s="229">
        <v>-2.93E-2</v>
      </c>
      <c r="U12" s="228">
        <v>439.35</v>
      </c>
      <c r="V12" s="228">
        <v>451.15</v>
      </c>
      <c r="W12" s="228">
        <v>-11.8</v>
      </c>
      <c r="X12" s="229">
        <v>-2.6200000000000001E-2</v>
      </c>
      <c r="Y12" s="228">
        <v>0.45</v>
      </c>
      <c r="Z12" s="228">
        <v>0.9</v>
      </c>
      <c r="AA12" s="228">
        <v>-0.45</v>
      </c>
      <c r="AB12" s="229">
        <v>1E-3</v>
      </c>
      <c r="AC12" s="228">
        <v>0.45</v>
      </c>
      <c r="AD12" s="228">
        <v>0.9</v>
      </c>
      <c r="AE12" s="228">
        <v>-0.45</v>
      </c>
      <c r="AF12" s="229">
        <v>1E-3</v>
      </c>
      <c r="AG12" s="228">
        <v>3.15</v>
      </c>
      <c r="AH12" s="228">
        <v>3.65</v>
      </c>
      <c r="AI12" s="228">
        <v>-0.5</v>
      </c>
      <c r="AJ12" s="229">
        <v>7.3000000000000001E-3</v>
      </c>
      <c r="AK12" s="228">
        <v>5.3</v>
      </c>
      <c r="AL12" s="228">
        <v>4.4000000000000004</v>
      </c>
      <c r="AM12" s="228">
        <v>0.9</v>
      </c>
      <c r="AN12" s="229">
        <v>1.2200000000000001E-2</v>
      </c>
      <c r="AO12" s="228">
        <v>435.91</v>
      </c>
      <c r="AP12" s="228">
        <v>438.39</v>
      </c>
      <c r="AQ12" s="228">
        <v>0</v>
      </c>
      <c r="AR12" s="230">
        <v>8263500</v>
      </c>
      <c r="AS12" s="230">
        <v>13994400</v>
      </c>
      <c r="AT12" s="230">
        <v>-5730900</v>
      </c>
      <c r="AU12" s="229">
        <v>-0.40949999999999998</v>
      </c>
      <c r="AV12" s="230">
        <v>7708050</v>
      </c>
      <c r="AW12" s="230">
        <v>13424250</v>
      </c>
      <c r="AX12" s="230">
        <v>-5716200</v>
      </c>
      <c r="AY12" s="229">
        <v>-0.42580000000000001</v>
      </c>
      <c r="AZ12" s="230">
        <v>470400</v>
      </c>
      <c r="BA12" s="230">
        <v>514500</v>
      </c>
      <c r="BB12" s="230">
        <v>-44100</v>
      </c>
      <c r="BC12" s="229">
        <v>-8.5699999999999998E-2</v>
      </c>
      <c r="BD12" s="230">
        <v>85050</v>
      </c>
      <c r="BE12" s="230">
        <v>55650</v>
      </c>
      <c r="BF12" s="230">
        <v>29400</v>
      </c>
      <c r="BG12" s="229">
        <v>0.52829999999999999</v>
      </c>
      <c r="BH12" s="230">
        <v>12747000</v>
      </c>
      <c r="BI12" s="230">
        <v>27757800</v>
      </c>
      <c r="BJ12" s="230">
        <v>-15010800</v>
      </c>
      <c r="BK12" s="229">
        <v>-0.54079999999999995</v>
      </c>
      <c r="BL12" s="230">
        <v>6333600</v>
      </c>
      <c r="BM12" s="230">
        <v>11652900</v>
      </c>
      <c r="BN12" s="230">
        <v>-5319300</v>
      </c>
      <c r="BO12" s="229">
        <v>-0.45650000000000002</v>
      </c>
      <c r="BP12" s="230">
        <v>27344100</v>
      </c>
      <c r="BQ12" s="230">
        <v>53405100</v>
      </c>
      <c r="BR12" s="230">
        <v>-26061000</v>
      </c>
      <c r="BS12" s="229">
        <v>-0.48799999999999999</v>
      </c>
      <c r="BT12" s="230">
        <v>5090276</v>
      </c>
      <c r="BU12" s="230">
        <v>8103120</v>
      </c>
      <c r="BV12" s="230">
        <v>-3012844</v>
      </c>
      <c r="BW12" s="229">
        <v>-0.37180000000000002</v>
      </c>
      <c r="BX12" s="230">
        <v>60715200</v>
      </c>
      <c r="BY12" s="230">
        <v>60502050</v>
      </c>
      <c r="BZ12" s="230">
        <v>213150</v>
      </c>
      <c r="CA12" s="229">
        <v>3.5000000000000001E-3</v>
      </c>
      <c r="CB12" s="230">
        <v>53001900</v>
      </c>
      <c r="CC12" s="230">
        <v>53081700</v>
      </c>
      <c r="CD12" s="230">
        <v>-79800</v>
      </c>
      <c r="CE12" s="229">
        <v>-1.5E-3</v>
      </c>
      <c r="CF12" s="230">
        <v>7605150</v>
      </c>
      <c r="CG12" s="230">
        <v>7373100</v>
      </c>
      <c r="CH12" s="230">
        <v>232050</v>
      </c>
      <c r="CI12" s="229">
        <v>3.15E-2</v>
      </c>
      <c r="CJ12" s="230">
        <v>108150</v>
      </c>
      <c r="CK12" s="230">
        <v>47250</v>
      </c>
      <c r="CL12" s="230">
        <v>60900</v>
      </c>
      <c r="CM12" s="229">
        <v>1.2888999999999999</v>
      </c>
      <c r="CN12" s="230">
        <v>10494750</v>
      </c>
      <c r="CO12" s="230">
        <v>9961350</v>
      </c>
      <c r="CP12" s="230">
        <v>533400</v>
      </c>
      <c r="CQ12" s="229">
        <v>5.3499999999999999E-2</v>
      </c>
      <c r="CR12" s="230">
        <v>9148650</v>
      </c>
      <c r="CS12" s="230">
        <v>9117150</v>
      </c>
      <c r="CT12" s="230">
        <v>31500</v>
      </c>
      <c r="CU12" s="229">
        <v>3.5000000000000001E-3</v>
      </c>
      <c r="CV12" s="230">
        <v>80358600</v>
      </c>
      <c r="CW12" s="230">
        <v>79580550</v>
      </c>
      <c r="CX12" s="230">
        <v>778050</v>
      </c>
      <c r="CY12" s="229">
        <v>9.7999999999999997E-3</v>
      </c>
      <c r="CZ12" s="228">
        <v>38.369999999999997</v>
      </c>
      <c r="DA12" s="228">
        <v>36.81</v>
      </c>
      <c r="DB12" s="228">
        <v>1.56</v>
      </c>
      <c r="DC12" s="228">
        <v>1.56</v>
      </c>
      <c r="DD12" s="228">
        <v>36.79</v>
      </c>
      <c r="DE12" s="228">
        <v>36.659999999999997</v>
      </c>
      <c r="DF12" s="228">
        <v>1.58</v>
      </c>
      <c r="DG12" s="228">
        <v>0.13</v>
      </c>
      <c r="DH12" s="228">
        <v>37.93</v>
      </c>
      <c r="DI12" s="228">
        <v>36.119999999999997</v>
      </c>
      <c r="DJ12" s="228">
        <v>1.81</v>
      </c>
      <c r="DK12" s="228">
        <v>1.81</v>
      </c>
      <c r="DL12" s="228">
        <v>39.25</v>
      </c>
      <c r="DM12" s="228">
        <v>38.46</v>
      </c>
      <c r="DN12" s="228">
        <v>0.79</v>
      </c>
      <c r="DO12" s="228">
        <v>0.79</v>
      </c>
      <c r="DP12" s="228">
        <v>0.87</v>
      </c>
      <c r="DQ12" s="228">
        <v>0.92</v>
      </c>
      <c r="DR12" s="228">
        <v>-0.05</v>
      </c>
      <c r="DS12" s="229">
        <v>-5.4300000000000001E-2</v>
      </c>
      <c r="DT12" s="228">
        <v>450</v>
      </c>
      <c r="DU12" s="228">
        <v>420</v>
      </c>
      <c r="DV12" s="228">
        <v>0.5</v>
      </c>
      <c r="DW12" s="228">
        <v>0.42</v>
      </c>
      <c r="DX12" s="228">
        <v>0.08</v>
      </c>
      <c r="DY12" s="229">
        <v>0.1905</v>
      </c>
      <c r="DZ12" s="229">
        <v>0.127</v>
      </c>
      <c r="EA12" s="230">
        <v>7420350</v>
      </c>
      <c r="EB12" s="229">
        <v>6.1999999999999998E-3</v>
      </c>
      <c r="EC12" s="229">
        <v>0.127</v>
      </c>
      <c r="ED12" s="228">
        <v>2.48</v>
      </c>
      <c r="EE12" s="229">
        <v>5.7000000000000002E-3</v>
      </c>
      <c r="EF12" s="230">
        <v>1928440</v>
      </c>
      <c r="EG12" s="230">
        <v>3561094</v>
      </c>
      <c r="EH12" s="229">
        <v>-0.45850000000000002</v>
      </c>
      <c r="EI12" s="229">
        <v>0.37880000000000003</v>
      </c>
      <c r="EJ12" s="231">
        <v>59417.13</v>
      </c>
      <c r="EK12" s="231">
        <v>27622.98</v>
      </c>
      <c r="EL12" s="231">
        <v>36037.01</v>
      </c>
      <c r="EM12" s="231">
        <v>7657</v>
      </c>
      <c r="EN12" s="231">
        <v>123077.12</v>
      </c>
      <c r="EO12" s="231">
        <v>245780.98</v>
      </c>
      <c r="EP12" s="231">
        <v>-122703.86</v>
      </c>
      <c r="EQ12" s="229">
        <v>-0.49919999999999998</v>
      </c>
      <c r="ER12" s="231">
        <v>47487</v>
      </c>
      <c r="ES12" s="231">
        <v>41902</v>
      </c>
      <c r="ET12" s="231">
        <v>264018</v>
      </c>
      <c r="EU12" s="231">
        <v>97233107</v>
      </c>
      <c r="EV12" s="231">
        <v>353408</v>
      </c>
      <c r="EW12" s="231">
        <v>358067</v>
      </c>
      <c r="EX12" s="231">
        <v>-4659</v>
      </c>
      <c r="EY12" s="229">
        <v>-1.2999999999999999E-2</v>
      </c>
      <c r="EZ12" s="229">
        <v>0.82650000000000001</v>
      </c>
      <c r="FA12" s="227" t="s">
        <v>566</v>
      </c>
      <c r="FB12" s="161">
        <f t="shared" si="0"/>
        <v>7713300</v>
      </c>
    </row>
    <row r="13" spans="1:158" ht="17.25" thickBot="1" x14ac:dyDescent="0.3">
      <c r="A13" s="226">
        <v>46121</v>
      </c>
      <c r="B13" s="227" t="s">
        <v>175</v>
      </c>
      <c r="C13" s="227" t="s">
        <v>608</v>
      </c>
      <c r="D13" s="228">
        <v>2500</v>
      </c>
      <c r="E13" s="228">
        <v>276.13</v>
      </c>
      <c r="F13" s="228">
        <v>265.43</v>
      </c>
      <c r="G13" s="228">
        <v>10.7</v>
      </c>
      <c r="H13" s="229">
        <v>4.0300000000000002E-2</v>
      </c>
      <c r="I13" s="228">
        <v>281.8</v>
      </c>
      <c r="J13" s="228">
        <v>267.62</v>
      </c>
      <c r="K13" s="228">
        <v>14.18</v>
      </c>
      <c r="L13" s="229">
        <v>5.2999999999999999E-2</v>
      </c>
      <c r="M13" s="228">
        <v>276.13</v>
      </c>
      <c r="N13" s="228">
        <v>265.43</v>
      </c>
      <c r="O13" s="228">
        <v>10.7</v>
      </c>
      <c r="P13" s="229">
        <v>4.0300000000000002E-2</v>
      </c>
      <c r="Q13" s="228">
        <v>274.10000000000002</v>
      </c>
      <c r="R13" s="228">
        <v>264.8</v>
      </c>
      <c r="S13" s="228">
        <v>9.3000000000000007</v>
      </c>
      <c r="T13" s="229">
        <v>3.5099999999999999E-2</v>
      </c>
      <c r="U13" s="228">
        <v>272.20999999999998</v>
      </c>
      <c r="V13" s="228">
        <v>264.60000000000002</v>
      </c>
      <c r="W13" s="228">
        <v>7.61</v>
      </c>
      <c r="X13" s="229">
        <v>2.8799999999999999E-2</v>
      </c>
      <c r="Y13" s="228">
        <v>-5.67</v>
      </c>
      <c r="Z13" s="228">
        <v>-2.19</v>
      </c>
      <c r="AA13" s="228">
        <v>-3.48</v>
      </c>
      <c r="AB13" s="229">
        <v>-2.01E-2</v>
      </c>
      <c r="AC13" s="228">
        <v>-5.67</v>
      </c>
      <c r="AD13" s="228">
        <v>-2.19</v>
      </c>
      <c r="AE13" s="228">
        <v>-3.48</v>
      </c>
      <c r="AF13" s="229">
        <v>-2.01E-2</v>
      </c>
      <c r="AG13" s="228">
        <v>-7.7</v>
      </c>
      <c r="AH13" s="228">
        <v>-2.82</v>
      </c>
      <c r="AI13" s="228">
        <v>-4.88</v>
      </c>
      <c r="AJ13" s="229">
        <v>-2.7300000000000001E-2</v>
      </c>
      <c r="AK13" s="228">
        <v>-9.59</v>
      </c>
      <c r="AL13" s="228">
        <v>-3.02</v>
      </c>
      <c r="AM13" s="228">
        <v>-6.57</v>
      </c>
      <c r="AN13" s="229">
        <v>-3.4000000000000002E-2</v>
      </c>
      <c r="AO13" s="228">
        <v>275.60000000000002</v>
      </c>
      <c r="AP13" s="228">
        <v>273.95</v>
      </c>
      <c r="AQ13" s="228">
        <v>0</v>
      </c>
      <c r="AR13" s="230">
        <v>23160000</v>
      </c>
      <c r="AS13" s="230">
        <v>15257500</v>
      </c>
      <c r="AT13" s="230">
        <v>7902500</v>
      </c>
      <c r="AU13" s="229">
        <v>0.51790000000000003</v>
      </c>
      <c r="AV13" s="230">
        <v>20445000</v>
      </c>
      <c r="AW13" s="230">
        <v>14362500</v>
      </c>
      <c r="AX13" s="230">
        <v>6082500</v>
      </c>
      <c r="AY13" s="229">
        <v>0.42349999999999999</v>
      </c>
      <c r="AZ13" s="230">
        <v>2565000</v>
      </c>
      <c r="BA13" s="230">
        <v>807500</v>
      </c>
      <c r="BB13" s="230">
        <v>1757500</v>
      </c>
      <c r="BC13" s="229">
        <v>2.1764999999999999</v>
      </c>
      <c r="BD13" s="230">
        <v>150000</v>
      </c>
      <c r="BE13" s="230">
        <v>87500</v>
      </c>
      <c r="BF13" s="230">
        <v>62500</v>
      </c>
      <c r="BG13" s="229">
        <v>0.71430000000000005</v>
      </c>
      <c r="BH13" s="230">
        <v>58797500</v>
      </c>
      <c r="BI13" s="230">
        <v>35360000</v>
      </c>
      <c r="BJ13" s="230">
        <v>23437500</v>
      </c>
      <c r="BK13" s="229">
        <v>0.66279999999999994</v>
      </c>
      <c r="BL13" s="230">
        <v>27065000</v>
      </c>
      <c r="BM13" s="230">
        <v>16905000</v>
      </c>
      <c r="BN13" s="230">
        <v>10160000</v>
      </c>
      <c r="BO13" s="229">
        <v>0.60099999999999998</v>
      </c>
      <c r="BP13" s="230">
        <v>109022500</v>
      </c>
      <c r="BQ13" s="230">
        <v>67522500</v>
      </c>
      <c r="BR13" s="230">
        <v>41500000</v>
      </c>
      <c r="BS13" s="229">
        <v>0.61460000000000004</v>
      </c>
      <c r="BT13" s="230">
        <v>30506975</v>
      </c>
      <c r="BU13" s="230">
        <v>16869048</v>
      </c>
      <c r="BV13" s="230">
        <v>13637927</v>
      </c>
      <c r="BW13" s="229">
        <v>0.8085</v>
      </c>
      <c r="BX13" s="230">
        <v>23800000</v>
      </c>
      <c r="BY13" s="230">
        <v>22527500</v>
      </c>
      <c r="BZ13" s="230">
        <v>1272500</v>
      </c>
      <c r="CA13" s="229">
        <v>5.6500000000000002E-2</v>
      </c>
      <c r="CB13" s="230">
        <v>21830000</v>
      </c>
      <c r="CC13" s="230">
        <v>21320000</v>
      </c>
      <c r="CD13" s="230">
        <v>510000</v>
      </c>
      <c r="CE13" s="229">
        <v>2.3900000000000001E-2</v>
      </c>
      <c r="CF13" s="230">
        <v>1852500</v>
      </c>
      <c r="CG13" s="230">
        <v>1127500</v>
      </c>
      <c r="CH13" s="230">
        <v>725000</v>
      </c>
      <c r="CI13" s="229">
        <v>0.64300000000000002</v>
      </c>
      <c r="CJ13" s="230">
        <v>117500</v>
      </c>
      <c r="CK13" s="230">
        <v>80000</v>
      </c>
      <c r="CL13" s="230">
        <v>37500</v>
      </c>
      <c r="CM13" s="229">
        <v>0.46879999999999999</v>
      </c>
      <c r="CN13" s="230">
        <v>13785000</v>
      </c>
      <c r="CO13" s="230">
        <v>10725000</v>
      </c>
      <c r="CP13" s="230">
        <v>3060000</v>
      </c>
      <c r="CQ13" s="229">
        <v>0.2853</v>
      </c>
      <c r="CR13" s="230">
        <v>11352500</v>
      </c>
      <c r="CS13" s="230">
        <v>9245000</v>
      </c>
      <c r="CT13" s="230">
        <v>2107500</v>
      </c>
      <c r="CU13" s="229">
        <v>0.22800000000000001</v>
      </c>
      <c r="CV13" s="230">
        <v>48937500</v>
      </c>
      <c r="CW13" s="230">
        <v>42497500</v>
      </c>
      <c r="CX13" s="230">
        <v>6440000</v>
      </c>
      <c r="CY13" s="229">
        <v>0.1515</v>
      </c>
      <c r="CZ13" s="228">
        <v>51.8</v>
      </c>
      <c r="DA13" s="228">
        <v>48.8</v>
      </c>
      <c r="DB13" s="228">
        <v>3</v>
      </c>
      <c r="DC13" s="228">
        <v>3</v>
      </c>
      <c r="DD13" s="228">
        <v>55.91</v>
      </c>
      <c r="DE13" s="228">
        <v>55.8</v>
      </c>
      <c r="DF13" s="228">
        <v>-4.1100000000000003</v>
      </c>
      <c r="DG13" s="228">
        <v>0.11</v>
      </c>
      <c r="DH13" s="228">
        <v>51.25</v>
      </c>
      <c r="DI13" s="228">
        <v>47.45</v>
      </c>
      <c r="DJ13" s="228">
        <v>3.8</v>
      </c>
      <c r="DK13" s="228">
        <v>3.8</v>
      </c>
      <c r="DL13" s="228">
        <v>52.99</v>
      </c>
      <c r="DM13" s="228">
        <v>51.64</v>
      </c>
      <c r="DN13" s="228">
        <v>1.35</v>
      </c>
      <c r="DO13" s="228">
        <v>1.35</v>
      </c>
      <c r="DP13" s="228">
        <v>0.82</v>
      </c>
      <c r="DQ13" s="228">
        <v>0.86</v>
      </c>
      <c r="DR13" s="228">
        <v>-0.04</v>
      </c>
      <c r="DS13" s="229">
        <v>-4.65E-2</v>
      </c>
      <c r="DT13" s="228">
        <v>280</v>
      </c>
      <c r="DU13" s="228">
        <v>200</v>
      </c>
      <c r="DV13" s="228">
        <v>0.46</v>
      </c>
      <c r="DW13" s="228">
        <v>0.48</v>
      </c>
      <c r="DX13" s="228">
        <v>-0.02</v>
      </c>
      <c r="DY13" s="229">
        <v>-4.1700000000000001E-2</v>
      </c>
      <c r="DZ13" s="229">
        <v>8.2799999999999999E-2</v>
      </c>
      <c r="EA13" s="230">
        <v>1207500</v>
      </c>
      <c r="EB13" s="229">
        <v>-7.4000000000000003E-3</v>
      </c>
      <c r="EC13" s="229">
        <v>8.2799999999999999E-2</v>
      </c>
      <c r="ED13" s="228">
        <v>-1.65</v>
      </c>
      <c r="EE13" s="229">
        <v>-6.0000000000000001E-3</v>
      </c>
      <c r="EF13" s="230">
        <v>10559518</v>
      </c>
      <c r="EG13" s="230">
        <v>6047118</v>
      </c>
      <c r="EH13" s="229">
        <v>0.74619999999999997</v>
      </c>
      <c r="EI13" s="229">
        <v>0.34610000000000002</v>
      </c>
      <c r="EJ13" s="231">
        <v>172942.19</v>
      </c>
      <c r="EK13" s="231">
        <v>72265.83</v>
      </c>
      <c r="EL13" s="231">
        <v>63782.06</v>
      </c>
      <c r="EM13" s="231">
        <v>3568</v>
      </c>
      <c r="EN13" s="231">
        <v>308990.08000000002</v>
      </c>
      <c r="EO13" s="231">
        <v>179600.23</v>
      </c>
      <c r="EP13" s="231">
        <v>129389.85</v>
      </c>
      <c r="EQ13" s="229">
        <v>0.72040000000000004</v>
      </c>
      <c r="ER13" s="231">
        <v>37746</v>
      </c>
      <c r="ES13" s="231">
        <v>27335</v>
      </c>
      <c r="ET13" s="231">
        <v>65677</v>
      </c>
      <c r="EU13" s="231">
        <v>96940911</v>
      </c>
      <c r="EV13" s="231">
        <v>130757</v>
      </c>
      <c r="EW13" s="231">
        <v>109468</v>
      </c>
      <c r="EX13" s="231">
        <v>21289</v>
      </c>
      <c r="EY13" s="229">
        <v>0.19450000000000001</v>
      </c>
      <c r="EZ13" s="229">
        <v>0.50480000000000003</v>
      </c>
      <c r="FA13" s="227" t="s">
        <v>555</v>
      </c>
      <c r="FB13" s="161">
        <f t="shared" si="0"/>
        <v>1970000</v>
      </c>
    </row>
    <row r="14" spans="1:158" ht="17.25" thickBot="1" x14ac:dyDescent="0.3">
      <c r="A14" s="226">
        <v>46121</v>
      </c>
      <c r="B14" s="227" t="s">
        <v>227</v>
      </c>
      <c r="C14" s="227" t="s">
        <v>597</v>
      </c>
      <c r="D14" s="228">
        <v>350</v>
      </c>
      <c r="E14" s="231">
        <v>2048.5</v>
      </c>
      <c r="F14" s="231">
        <v>2052.1999999999998</v>
      </c>
      <c r="G14" s="228">
        <v>-3.7</v>
      </c>
      <c r="H14" s="229">
        <v>-1.8E-3</v>
      </c>
      <c r="I14" s="231">
        <v>2040.3</v>
      </c>
      <c r="J14" s="231">
        <v>2047.7</v>
      </c>
      <c r="K14" s="228">
        <v>-7.4</v>
      </c>
      <c r="L14" s="229">
        <v>-3.5999999999999999E-3</v>
      </c>
      <c r="M14" s="231">
        <v>2048.5</v>
      </c>
      <c r="N14" s="231">
        <v>2052.1999999999998</v>
      </c>
      <c r="O14" s="228">
        <v>-3.7</v>
      </c>
      <c r="P14" s="229">
        <v>-1.8E-3</v>
      </c>
      <c r="Q14" s="231">
        <v>2059</v>
      </c>
      <c r="R14" s="231">
        <v>2064.6</v>
      </c>
      <c r="S14" s="228">
        <v>-5.6</v>
      </c>
      <c r="T14" s="229">
        <v>-2.7000000000000001E-3</v>
      </c>
      <c r="U14" s="231">
        <v>2070.3000000000002</v>
      </c>
      <c r="V14" s="231">
        <v>2072.5</v>
      </c>
      <c r="W14" s="228">
        <v>-2.2000000000000002</v>
      </c>
      <c r="X14" s="229">
        <v>-1.1000000000000001E-3</v>
      </c>
      <c r="Y14" s="228">
        <v>8.1999999999999993</v>
      </c>
      <c r="Z14" s="228">
        <v>4.5</v>
      </c>
      <c r="AA14" s="228">
        <v>3.7</v>
      </c>
      <c r="AB14" s="229">
        <v>4.0000000000000001E-3</v>
      </c>
      <c r="AC14" s="228">
        <v>8.1999999999999993</v>
      </c>
      <c r="AD14" s="228">
        <v>4.5</v>
      </c>
      <c r="AE14" s="228">
        <v>3.7</v>
      </c>
      <c r="AF14" s="229">
        <v>4.0000000000000001E-3</v>
      </c>
      <c r="AG14" s="228">
        <v>18.7</v>
      </c>
      <c r="AH14" s="228">
        <v>16.899999999999999</v>
      </c>
      <c r="AI14" s="228">
        <v>1.8</v>
      </c>
      <c r="AJ14" s="229">
        <v>9.1999999999999998E-3</v>
      </c>
      <c r="AK14" s="228">
        <v>30</v>
      </c>
      <c r="AL14" s="228">
        <v>24.8</v>
      </c>
      <c r="AM14" s="228">
        <v>5.2</v>
      </c>
      <c r="AN14" s="229">
        <v>1.47E-2</v>
      </c>
      <c r="AO14" s="231">
        <v>2045.87</v>
      </c>
      <c r="AP14" s="231">
        <v>2056.75</v>
      </c>
      <c r="AQ14" s="228">
        <v>0</v>
      </c>
      <c r="AR14" s="230">
        <v>564900</v>
      </c>
      <c r="AS14" s="230">
        <v>1280650</v>
      </c>
      <c r="AT14" s="230">
        <v>-715750</v>
      </c>
      <c r="AU14" s="229">
        <v>-0.55889999999999995</v>
      </c>
      <c r="AV14" s="230">
        <v>537950</v>
      </c>
      <c r="AW14" s="230">
        <v>1247750</v>
      </c>
      <c r="AX14" s="230">
        <v>-709800</v>
      </c>
      <c r="AY14" s="229">
        <v>-0.56889999999999996</v>
      </c>
      <c r="AZ14" s="230">
        <v>25200</v>
      </c>
      <c r="BA14" s="230">
        <v>32200</v>
      </c>
      <c r="BB14" s="230">
        <v>-7000</v>
      </c>
      <c r="BC14" s="229">
        <v>-0.21740000000000001</v>
      </c>
      <c r="BD14" s="230">
        <v>1750</v>
      </c>
      <c r="BE14" s="228">
        <v>700</v>
      </c>
      <c r="BF14" s="230">
        <v>1050</v>
      </c>
      <c r="BG14" s="229">
        <v>1.5</v>
      </c>
      <c r="BH14" s="230">
        <v>952000</v>
      </c>
      <c r="BI14" s="230">
        <v>1990800</v>
      </c>
      <c r="BJ14" s="230">
        <v>-1038800</v>
      </c>
      <c r="BK14" s="229">
        <v>-0.52180000000000004</v>
      </c>
      <c r="BL14" s="230">
        <v>403900</v>
      </c>
      <c r="BM14" s="230">
        <v>918050</v>
      </c>
      <c r="BN14" s="230">
        <v>-514150</v>
      </c>
      <c r="BO14" s="229">
        <v>-0.56000000000000005</v>
      </c>
      <c r="BP14" s="230">
        <v>1920800</v>
      </c>
      <c r="BQ14" s="230">
        <v>4189500</v>
      </c>
      <c r="BR14" s="230">
        <v>-2268700</v>
      </c>
      <c r="BS14" s="229">
        <v>-0.54149999999999998</v>
      </c>
      <c r="BT14" s="230">
        <v>604793</v>
      </c>
      <c r="BU14" s="230">
        <v>826806</v>
      </c>
      <c r="BV14" s="230">
        <v>-222013</v>
      </c>
      <c r="BW14" s="229">
        <v>-0.26850000000000002</v>
      </c>
      <c r="BX14" s="230">
        <v>4849950</v>
      </c>
      <c r="BY14" s="230">
        <v>4791850</v>
      </c>
      <c r="BZ14" s="230">
        <v>58100</v>
      </c>
      <c r="CA14" s="229">
        <v>1.21E-2</v>
      </c>
      <c r="CB14" s="230">
        <v>4784150</v>
      </c>
      <c r="CC14" s="230">
        <v>4729200</v>
      </c>
      <c r="CD14" s="230">
        <v>54950</v>
      </c>
      <c r="CE14" s="229">
        <v>1.1599999999999999E-2</v>
      </c>
      <c r="CF14" s="230">
        <v>56350</v>
      </c>
      <c r="CG14" s="230">
        <v>54600</v>
      </c>
      <c r="CH14" s="230">
        <v>1750</v>
      </c>
      <c r="CI14" s="229">
        <v>3.2099999999999997E-2</v>
      </c>
      <c r="CJ14" s="230">
        <v>9450</v>
      </c>
      <c r="CK14" s="230">
        <v>8050</v>
      </c>
      <c r="CL14" s="230">
        <v>1400</v>
      </c>
      <c r="CM14" s="229">
        <v>0.1739</v>
      </c>
      <c r="CN14" s="230">
        <v>878500</v>
      </c>
      <c r="CO14" s="230">
        <v>869400</v>
      </c>
      <c r="CP14" s="230">
        <v>9100</v>
      </c>
      <c r="CQ14" s="229">
        <v>1.0500000000000001E-2</v>
      </c>
      <c r="CR14" s="230">
        <v>695100</v>
      </c>
      <c r="CS14" s="230">
        <v>658700</v>
      </c>
      <c r="CT14" s="230">
        <v>36400</v>
      </c>
      <c r="CU14" s="229">
        <v>5.5300000000000002E-2</v>
      </c>
      <c r="CV14" s="230">
        <v>6423550</v>
      </c>
      <c r="CW14" s="230">
        <v>6319950</v>
      </c>
      <c r="CX14" s="230">
        <v>103600</v>
      </c>
      <c r="CY14" s="229">
        <v>1.6400000000000001E-2</v>
      </c>
      <c r="CZ14" s="228">
        <v>33.51</v>
      </c>
      <c r="DA14" s="228">
        <v>33.97</v>
      </c>
      <c r="DB14" s="228">
        <v>-0.46</v>
      </c>
      <c r="DC14" s="228">
        <v>-0.46</v>
      </c>
      <c r="DD14" s="228">
        <v>35.56</v>
      </c>
      <c r="DE14" s="228">
        <v>35.64</v>
      </c>
      <c r="DF14" s="228">
        <v>-2.0499999999999998</v>
      </c>
      <c r="DG14" s="228">
        <v>-0.08</v>
      </c>
      <c r="DH14" s="228">
        <v>32.619999999999997</v>
      </c>
      <c r="DI14" s="228">
        <v>32.700000000000003</v>
      </c>
      <c r="DJ14" s="228">
        <v>-0.08</v>
      </c>
      <c r="DK14" s="228">
        <v>-0.08</v>
      </c>
      <c r="DL14" s="228">
        <v>35.619999999999997</v>
      </c>
      <c r="DM14" s="228">
        <v>36.71</v>
      </c>
      <c r="DN14" s="228">
        <v>-1.0900000000000001</v>
      </c>
      <c r="DO14" s="228">
        <v>-1.0900000000000001</v>
      </c>
      <c r="DP14" s="228">
        <v>0.79</v>
      </c>
      <c r="DQ14" s="228">
        <v>0.76</v>
      </c>
      <c r="DR14" s="228">
        <v>0.03</v>
      </c>
      <c r="DS14" s="229">
        <v>3.95E-2</v>
      </c>
      <c r="DT14" s="231">
        <v>2000</v>
      </c>
      <c r="DU14" s="231">
        <v>2000</v>
      </c>
      <c r="DV14" s="228">
        <v>0.42</v>
      </c>
      <c r="DW14" s="228">
        <v>0.46</v>
      </c>
      <c r="DX14" s="228">
        <v>-0.04</v>
      </c>
      <c r="DY14" s="229">
        <v>-8.6999999999999994E-2</v>
      </c>
      <c r="DZ14" s="229">
        <v>1.3599999999999999E-2</v>
      </c>
      <c r="EA14" s="230">
        <v>62650</v>
      </c>
      <c r="EB14" s="229">
        <v>5.1000000000000004E-3</v>
      </c>
      <c r="EC14" s="229">
        <v>1.3599999999999999E-2</v>
      </c>
      <c r="ED14" s="228">
        <v>10.88</v>
      </c>
      <c r="EE14" s="229">
        <v>5.3E-3</v>
      </c>
      <c r="EF14" s="230">
        <v>323005</v>
      </c>
      <c r="EG14" s="230">
        <v>430533</v>
      </c>
      <c r="EH14" s="229">
        <v>-0.24979999999999999</v>
      </c>
      <c r="EI14" s="229">
        <v>0.53410000000000002</v>
      </c>
      <c r="EJ14" s="231">
        <v>20547.900000000001</v>
      </c>
      <c r="EK14" s="231">
        <v>8017.38</v>
      </c>
      <c r="EL14" s="231">
        <v>11560.38</v>
      </c>
      <c r="EM14" s="231">
        <v>2170</v>
      </c>
      <c r="EN14" s="231">
        <v>40125.660000000003</v>
      </c>
      <c r="EO14" s="231">
        <v>86144.57</v>
      </c>
      <c r="EP14" s="231">
        <v>-46018.91</v>
      </c>
      <c r="EQ14" s="229">
        <v>-0.53420000000000001</v>
      </c>
      <c r="ER14" s="231">
        <v>18145</v>
      </c>
      <c r="ES14" s="231">
        <v>13376</v>
      </c>
      <c r="ET14" s="231">
        <v>99359</v>
      </c>
      <c r="EU14" s="231">
        <v>29871221</v>
      </c>
      <c r="EV14" s="231">
        <v>130880</v>
      </c>
      <c r="EW14" s="231">
        <v>128864</v>
      </c>
      <c r="EX14" s="231">
        <v>2016</v>
      </c>
      <c r="EY14" s="229">
        <v>1.5599999999999999E-2</v>
      </c>
      <c r="EZ14" s="229">
        <v>0.215</v>
      </c>
      <c r="FA14" s="227" t="s">
        <v>566</v>
      </c>
      <c r="FB14" s="161">
        <f t="shared" si="0"/>
        <v>65800</v>
      </c>
    </row>
    <row r="15" spans="1:158" ht="17.25" thickBot="1" x14ac:dyDescent="0.3">
      <c r="A15" s="226">
        <v>46121</v>
      </c>
      <c r="B15" s="227" t="s">
        <v>170</v>
      </c>
      <c r="C15" s="227" t="s">
        <v>165</v>
      </c>
      <c r="D15" s="228">
        <v>125</v>
      </c>
      <c r="E15" s="231">
        <v>7495</v>
      </c>
      <c r="F15" s="231">
        <v>7417</v>
      </c>
      <c r="G15" s="228">
        <v>78</v>
      </c>
      <c r="H15" s="229">
        <v>1.0500000000000001E-2</v>
      </c>
      <c r="I15" s="231">
        <v>7481.5</v>
      </c>
      <c r="J15" s="231">
        <v>7401.5</v>
      </c>
      <c r="K15" s="228">
        <v>80</v>
      </c>
      <c r="L15" s="229">
        <v>1.0800000000000001E-2</v>
      </c>
      <c r="M15" s="231">
        <v>7495</v>
      </c>
      <c r="N15" s="231">
        <v>7417</v>
      </c>
      <c r="O15" s="228">
        <v>78</v>
      </c>
      <c r="P15" s="229">
        <v>1.0500000000000001E-2</v>
      </c>
      <c r="Q15" s="231">
        <v>7533.5</v>
      </c>
      <c r="R15" s="231">
        <v>7466</v>
      </c>
      <c r="S15" s="228">
        <v>67.5</v>
      </c>
      <c r="T15" s="229">
        <v>8.9999999999999993E-3</v>
      </c>
      <c r="U15" s="231">
        <v>7610</v>
      </c>
      <c r="V15" s="231">
        <v>7513</v>
      </c>
      <c r="W15" s="228">
        <v>97</v>
      </c>
      <c r="X15" s="229">
        <v>1.29E-2</v>
      </c>
      <c r="Y15" s="228">
        <v>13.5</v>
      </c>
      <c r="Z15" s="228">
        <v>15.5</v>
      </c>
      <c r="AA15" s="228">
        <v>-2</v>
      </c>
      <c r="AB15" s="229">
        <v>1.8E-3</v>
      </c>
      <c r="AC15" s="228">
        <v>13.5</v>
      </c>
      <c r="AD15" s="228">
        <v>15.5</v>
      </c>
      <c r="AE15" s="228">
        <v>-2</v>
      </c>
      <c r="AF15" s="229">
        <v>1.8E-3</v>
      </c>
      <c r="AG15" s="228">
        <v>52</v>
      </c>
      <c r="AH15" s="228">
        <v>64.5</v>
      </c>
      <c r="AI15" s="228">
        <v>-12.5</v>
      </c>
      <c r="AJ15" s="229">
        <v>7.0000000000000001E-3</v>
      </c>
      <c r="AK15" s="228">
        <v>128.5</v>
      </c>
      <c r="AL15" s="228">
        <v>111.5</v>
      </c>
      <c r="AM15" s="228">
        <v>17</v>
      </c>
      <c r="AN15" s="229">
        <v>1.72E-2</v>
      </c>
      <c r="AO15" s="231">
        <v>7490.16</v>
      </c>
      <c r="AP15" s="231">
        <v>7533.75</v>
      </c>
      <c r="AQ15" s="228">
        <v>0</v>
      </c>
      <c r="AR15" s="230">
        <v>413000</v>
      </c>
      <c r="AS15" s="230">
        <v>609375</v>
      </c>
      <c r="AT15" s="230">
        <v>-196375</v>
      </c>
      <c r="AU15" s="229">
        <v>-0.32229999999999998</v>
      </c>
      <c r="AV15" s="230">
        <v>389875</v>
      </c>
      <c r="AW15" s="230">
        <v>577875</v>
      </c>
      <c r="AX15" s="230">
        <v>-188000</v>
      </c>
      <c r="AY15" s="229">
        <v>-0.32529999999999998</v>
      </c>
      <c r="AZ15" s="230">
        <v>22250</v>
      </c>
      <c r="BA15" s="230">
        <v>30625</v>
      </c>
      <c r="BB15" s="230">
        <v>-8375</v>
      </c>
      <c r="BC15" s="229">
        <v>-0.27350000000000002</v>
      </c>
      <c r="BD15" s="228">
        <v>875</v>
      </c>
      <c r="BE15" s="228">
        <v>875</v>
      </c>
      <c r="BF15" s="228">
        <v>0</v>
      </c>
      <c r="BG15" s="229">
        <v>0</v>
      </c>
      <c r="BH15" s="230">
        <v>2018750</v>
      </c>
      <c r="BI15" s="230">
        <v>1812500</v>
      </c>
      <c r="BJ15" s="230">
        <v>206250</v>
      </c>
      <c r="BK15" s="229">
        <v>0.1138</v>
      </c>
      <c r="BL15" s="230">
        <v>688500</v>
      </c>
      <c r="BM15" s="230">
        <v>815250</v>
      </c>
      <c r="BN15" s="230">
        <v>-126750</v>
      </c>
      <c r="BO15" s="229">
        <v>-0.1555</v>
      </c>
      <c r="BP15" s="230">
        <v>3120250</v>
      </c>
      <c r="BQ15" s="230">
        <v>3237125</v>
      </c>
      <c r="BR15" s="230">
        <v>-116875</v>
      </c>
      <c r="BS15" s="229">
        <v>-3.61E-2</v>
      </c>
      <c r="BT15" s="230">
        <v>422370</v>
      </c>
      <c r="BU15" s="230">
        <v>394465</v>
      </c>
      <c r="BV15" s="230">
        <v>27905</v>
      </c>
      <c r="BW15" s="229">
        <v>7.0699999999999999E-2</v>
      </c>
      <c r="BX15" s="230">
        <v>2514250</v>
      </c>
      <c r="BY15" s="230">
        <v>2534125</v>
      </c>
      <c r="BZ15" s="230">
        <v>-19875</v>
      </c>
      <c r="CA15" s="229">
        <v>-7.7999999999999996E-3</v>
      </c>
      <c r="CB15" s="230">
        <v>2431000</v>
      </c>
      <c r="CC15" s="230">
        <v>2452500</v>
      </c>
      <c r="CD15" s="230">
        <v>-21500</v>
      </c>
      <c r="CE15" s="229">
        <v>-8.8000000000000005E-3</v>
      </c>
      <c r="CF15" s="230">
        <v>72625</v>
      </c>
      <c r="CG15" s="230">
        <v>70500</v>
      </c>
      <c r="CH15" s="230">
        <v>2125</v>
      </c>
      <c r="CI15" s="229">
        <v>3.0099999999999998E-2</v>
      </c>
      <c r="CJ15" s="230">
        <v>10625</v>
      </c>
      <c r="CK15" s="230">
        <v>11125</v>
      </c>
      <c r="CL15" s="228">
        <v>-500</v>
      </c>
      <c r="CM15" s="229">
        <v>-4.4900000000000002E-2</v>
      </c>
      <c r="CN15" s="230">
        <v>697500</v>
      </c>
      <c r="CO15" s="230">
        <v>679500</v>
      </c>
      <c r="CP15" s="230">
        <v>18000</v>
      </c>
      <c r="CQ15" s="229">
        <v>2.6499999999999999E-2</v>
      </c>
      <c r="CR15" s="230">
        <v>640875</v>
      </c>
      <c r="CS15" s="230">
        <v>641875</v>
      </c>
      <c r="CT15" s="230">
        <v>-1000</v>
      </c>
      <c r="CU15" s="229">
        <v>-1.6000000000000001E-3</v>
      </c>
      <c r="CV15" s="230">
        <v>3852625</v>
      </c>
      <c r="CW15" s="230">
        <v>3855500</v>
      </c>
      <c r="CX15" s="230">
        <v>-2875</v>
      </c>
      <c r="CY15" s="229">
        <v>-6.9999999999999999E-4</v>
      </c>
      <c r="CZ15" s="228">
        <v>25.37</v>
      </c>
      <c r="DA15" s="228">
        <v>25.91</v>
      </c>
      <c r="DB15" s="228">
        <v>-0.54</v>
      </c>
      <c r="DC15" s="228">
        <v>-0.54</v>
      </c>
      <c r="DD15" s="228">
        <v>25.26</v>
      </c>
      <c r="DE15" s="228">
        <v>25.28</v>
      </c>
      <c r="DF15" s="228">
        <v>0.11</v>
      </c>
      <c r="DG15" s="228">
        <v>-0.02</v>
      </c>
      <c r="DH15" s="228">
        <v>25.02</v>
      </c>
      <c r="DI15" s="228">
        <v>25.68</v>
      </c>
      <c r="DJ15" s="228">
        <v>-0.66</v>
      </c>
      <c r="DK15" s="228">
        <v>-0.66</v>
      </c>
      <c r="DL15" s="228">
        <v>26.38</v>
      </c>
      <c r="DM15" s="228">
        <v>26.4</v>
      </c>
      <c r="DN15" s="228">
        <v>-0.02</v>
      </c>
      <c r="DO15" s="228">
        <v>-0.02</v>
      </c>
      <c r="DP15" s="228">
        <v>0.92</v>
      </c>
      <c r="DQ15" s="228">
        <v>0.94</v>
      </c>
      <c r="DR15" s="228">
        <v>-0.02</v>
      </c>
      <c r="DS15" s="229">
        <v>-2.1299999999999999E-2</v>
      </c>
      <c r="DT15" s="231">
        <v>7500</v>
      </c>
      <c r="DU15" s="231">
        <v>6700</v>
      </c>
      <c r="DV15" s="228">
        <v>0.34</v>
      </c>
      <c r="DW15" s="228">
        <v>0.45</v>
      </c>
      <c r="DX15" s="228">
        <v>-0.11</v>
      </c>
      <c r="DY15" s="229">
        <v>-0.24440000000000001</v>
      </c>
      <c r="DZ15" s="229">
        <v>3.3099999999999997E-2</v>
      </c>
      <c r="EA15" s="230">
        <v>81625</v>
      </c>
      <c r="EB15" s="229">
        <v>5.1000000000000004E-3</v>
      </c>
      <c r="EC15" s="229">
        <v>3.3099999999999997E-2</v>
      </c>
      <c r="ED15" s="228">
        <v>43.59</v>
      </c>
      <c r="EE15" s="229">
        <v>5.7999999999999996E-3</v>
      </c>
      <c r="EF15" s="230">
        <v>236672</v>
      </c>
      <c r="EG15" s="230">
        <v>209772</v>
      </c>
      <c r="EH15" s="229">
        <v>0.12820000000000001</v>
      </c>
      <c r="EI15" s="229">
        <v>0.56030000000000002</v>
      </c>
      <c r="EJ15" s="231">
        <v>156413.79</v>
      </c>
      <c r="EK15" s="231">
        <v>50451.01</v>
      </c>
      <c r="EL15" s="231">
        <v>30944.69</v>
      </c>
      <c r="EM15" s="231">
        <v>3112</v>
      </c>
      <c r="EN15" s="231">
        <v>237809.49</v>
      </c>
      <c r="EO15" s="231">
        <v>244516.03</v>
      </c>
      <c r="EP15" s="231">
        <v>-6706.54</v>
      </c>
      <c r="EQ15" s="229">
        <v>-2.7400000000000001E-2</v>
      </c>
      <c r="ER15" s="231">
        <v>53440</v>
      </c>
      <c r="ES15" s="231">
        <v>44939</v>
      </c>
      <c r="ET15" s="231">
        <v>188483</v>
      </c>
      <c r="EU15" s="231">
        <v>15524629</v>
      </c>
      <c r="EV15" s="231">
        <v>286863</v>
      </c>
      <c r="EW15" s="231">
        <v>285042</v>
      </c>
      <c r="EX15" s="231">
        <v>1821</v>
      </c>
      <c r="EY15" s="229">
        <v>6.4000000000000003E-3</v>
      </c>
      <c r="EZ15" s="229">
        <v>0.2482</v>
      </c>
      <c r="FA15" s="227" t="s">
        <v>694</v>
      </c>
      <c r="FB15" s="161">
        <f t="shared" si="0"/>
        <v>83250</v>
      </c>
    </row>
    <row r="16" spans="1:158" ht="17.25" thickBot="1" x14ac:dyDescent="0.3">
      <c r="A16" s="226">
        <v>46121</v>
      </c>
      <c r="B16" s="227" t="s">
        <v>162</v>
      </c>
      <c r="C16" s="227" t="s">
        <v>167</v>
      </c>
      <c r="D16" s="228">
        <v>5000</v>
      </c>
      <c r="E16" s="228">
        <v>170.54</v>
      </c>
      <c r="F16" s="228">
        <v>172.62</v>
      </c>
      <c r="G16" s="228">
        <v>-2.08</v>
      </c>
      <c r="H16" s="229">
        <v>-1.2E-2</v>
      </c>
      <c r="I16" s="228">
        <v>170.38</v>
      </c>
      <c r="J16" s="228">
        <v>172.48</v>
      </c>
      <c r="K16" s="228">
        <v>-2.1</v>
      </c>
      <c r="L16" s="229">
        <v>-1.2200000000000001E-2</v>
      </c>
      <c r="M16" s="228">
        <v>170.54</v>
      </c>
      <c r="N16" s="228">
        <v>172.62</v>
      </c>
      <c r="O16" s="228">
        <v>-2.08</v>
      </c>
      <c r="P16" s="229">
        <v>-1.2E-2</v>
      </c>
      <c r="Q16" s="228">
        <v>169.68</v>
      </c>
      <c r="R16" s="228">
        <v>171.56</v>
      </c>
      <c r="S16" s="228">
        <v>-1.88</v>
      </c>
      <c r="T16" s="229">
        <v>-1.0999999999999999E-2</v>
      </c>
      <c r="U16" s="228">
        <v>169.65</v>
      </c>
      <c r="V16" s="228">
        <v>171.24</v>
      </c>
      <c r="W16" s="228">
        <v>-1.59</v>
      </c>
      <c r="X16" s="229">
        <v>-9.2999999999999992E-3</v>
      </c>
      <c r="Y16" s="228">
        <v>0.16</v>
      </c>
      <c r="Z16" s="228">
        <v>0.14000000000000001</v>
      </c>
      <c r="AA16" s="228">
        <v>0.02</v>
      </c>
      <c r="AB16" s="229">
        <v>8.9999999999999998E-4</v>
      </c>
      <c r="AC16" s="228">
        <v>0.16</v>
      </c>
      <c r="AD16" s="228">
        <v>0.14000000000000001</v>
      </c>
      <c r="AE16" s="228">
        <v>0.02</v>
      </c>
      <c r="AF16" s="229">
        <v>8.9999999999999998E-4</v>
      </c>
      <c r="AG16" s="228">
        <v>-0.7</v>
      </c>
      <c r="AH16" s="228">
        <v>-0.92</v>
      </c>
      <c r="AI16" s="228">
        <v>0.22</v>
      </c>
      <c r="AJ16" s="229">
        <v>-4.1000000000000003E-3</v>
      </c>
      <c r="AK16" s="228">
        <v>-0.73</v>
      </c>
      <c r="AL16" s="228">
        <v>-1.24</v>
      </c>
      <c r="AM16" s="228">
        <v>0.51</v>
      </c>
      <c r="AN16" s="229">
        <v>-4.3E-3</v>
      </c>
      <c r="AO16" s="228">
        <v>170.99</v>
      </c>
      <c r="AP16" s="228">
        <v>170.1</v>
      </c>
      <c r="AQ16" s="228">
        <v>0</v>
      </c>
      <c r="AR16" s="230">
        <v>38540000</v>
      </c>
      <c r="AS16" s="230">
        <v>90460000</v>
      </c>
      <c r="AT16" s="230">
        <v>-51920000</v>
      </c>
      <c r="AU16" s="229">
        <v>-0.57399999999999995</v>
      </c>
      <c r="AV16" s="230">
        <v>34425000</v>
      </c>
      <c r="AW16" s="230">
        <v>84615000</v>
      </c>
      <c r="AX16" s="230">
        <v>-50190000</v>
      </c>
      <c r="AY16" s="229">
        <v>-0.59319999999999995</v>
      </c>
      <c r="AZ16" s="230">
        <v>3240000</v>
      </c>
      <c r="BA16" s="230">
        <v>4910000</v>
      </c>
      <c r="BB16" s="230">
        <v>-1670000</v>
      </c>
      <c r="BC16" s="229">
        <v>-0.34010000000000001</v>
      </c>
      <c r="BD16" s="230">
        <v>875000</v>
      </c>
      <c r="BE16" s="230">
        <v>935000</v>
      </c>
      <c r="BF16" s="230">
        <v>-60000</v>
      </c>
      <c r="BG16" s="229">
        <v>-6.4199999999999993E-2</v>
      </c>
      <c r="BH16" s="230">
        <v>131555000</v>
      </c>
      <c r="BI16" s="230">
        <v>353970000</v>
      </c>
      <c r="BJ16" s="230">
        <v>-222415000</v>
      </c>
      <c r="BK16" s="229">
        <v>-0.62829999999999997</v>
      </c>
      <c r="BL16" s="230">
        <v>80810000</v>
      </c>
      <c r="BM16" s="230">
        <v>155365000</v>
      </c>
      <c r="BN16" s="230">
        <v>-74555000</v>
      </c>
      <c r="BO16" s="229">
        <v>-0.47989999999999999</v>
      </c>
      <c r="BP16" s="230">
        <v>250905000</v>
      </c>
      <c r="BQ16" s="230">
        <v>599795000</v>
      </c>
      <c r="BR16" s="230">
        <v>-348890000</v>
      </c>
      <c r="BS16" s="229">
        <v>-0.58169999999999999</v>
      </c>
      <c r="BT16" s="230">
        <v>35702820</v>
      </c>
      <c r="BU16" s="230">
        <v>108146873</v>
      </c>
      <c r="BV16" s="230">
        <v>-72444053</v>
      </c>
      <c r="BW16" s="229">
        <v>-0.66990000000000005</v>
      </c>
      <c r="BX16" s="230">
        <v>148460000</v>
      </c>
      <c r="BY16" s="230">
        <v>146120000</v>
      </c>
      <c r="BZ16" s="230">
        <v>2340000</v>
      </c>
      <c r="CA16" s="229">
        <v>1.6E-2</v>
      </c>
      <c r="CB16" s="230">
        <v>141305000</v>
      </c>
      <c r="CC16" s="230">
        <v>140040000</v>
      </c>
      <c r="CD16" s="230">
        <v>1265000</v>
      </c>
      <c r="CE16" s="229">
        <v>8.9999999999999993E-3</v>
      </c>
      <c r="CF16" s="230">
        <v>6150000</v>
      </c>
      <c r="CG16" s="230">
        <v>5580000</v>
      </c>
      <c r="CH16" s="230">
        <v>570000</v>
      </c>
      <c r="CI16" s="229">
        <v>0.1022</v>
      </c>
      <c r="CJ16" s="230">
        <v>1005000</v>
      </c>
      <c r="CK16" s="230">
        <v>500000</v>
      </c>
      <c r="CL16" s="230">
        <v>505000</v>
      </c>
      <c r="CM16" s="229">
        <v>1.01</v>
      </c>
      <c r="CN16" s="230">
        <v>83885000</v>
      </c>
      <c r="CO16" s="230">
        <v>80310000</v>
      </c>
      <c r="CP16" s="230">
        <v>3575000</v>
      </c>
      <c r="CQ16" s="229">
        <v>4.4499999999999998E-2</v>
      </c>
      <c r="CR16" s="230">
        <v>58260000</v>
      </c>
      <c r="CS16" s="230">
        <v>60775000</v>
      </c>
      <c r="CT16" s="230">
        <v>-2515000</v>
      </c>
      <c r="CU16" s="229">
        <v>-4.1399999999999999E-2</v>
      </c>
      <c r="CV16" s="230">
        <v>290605000</v>
      </c>
      <c r="CW16" s="230">
        <v>287205000</v>
      </c>
      <c r="CX16" s="230">
        <v>3400000</v>
      </c>
      <c r="CY16" s="229">
        <v>1.18E-2</v>
      </c>
      <c r="CZ16" s="228">
        <v>41.96</v>
      </c>
      <c r="DA16" s="228">
        <v>42.22</v>
      </c>
      <c r="DB16" s="228">
        <v>-0.26</v>
      </c>
      <c r="DC16" s="228">
        <v>-0.26</v>
      </c>
      <c r="DD16" s="228">
        <v>42.35</v>
      </c>
      <c r="DE16" s="228">
        <v>42.42</v>
      </c>
      <c r="DF16" s="228">
        <v>-0.39</v>
      </c>
      <c r="DG16" s="228">
        <v>-7.0000000000000007E-2</v>
      </c>
      <c r="DH16" s="228">
        <v>41.39</v>
      </c>
      <c r="DI16" s="228">
        <v>40.85</v>
      </c>
      <c r="DJ16" s="228">
        <v>0.54</v>
      </c>
      <c r="DK16" s="228">
        <v>0.54</v>
      </c>
      <c r="DL16" s="228">
        <v>42.89</v>
      </c>
      <c r="DM16" s="228">
        <v>45.37</v>
      </c>
      <c r="DN16" s="228">
        <v>-2.48</v>
      </c>
      <c r="DO16" s="228">
        <v>-2.48</v>
      </c>
      <c r="DP16" s="228">
        <v>0.69</v>
      </c>
      <c r="DQ16" s="228">
        <v>0.76</v>
      </c>
      <c r="DR16" s="228">
        <v>-7.0000000000000007E-2</v>
      </c>
      <c r="DS16" s="229">
        <v>-9.2100000000000001E-2</v>
      </c>
      <c r="DT16" s="228">
        <v>180</v>
      </c>
      <c r="DU16" s="228">
        <v>160</v>
      </c>
      <c r="DV16" s="228">
        <v>0.61</v>
      </c>
      <c r="DW16" s="228">
        <v>0.44</v>
      </c>
      <c r="DX16" s="228">
        <v>0.17</v>
      </c>
      <c r="DY16" s="229">
        <v>0.38640000000000002</v>
      </c>
      <c r="DZ16" s="229">
        <v>4.82E-2</v>
      </c>
      <c r="EA16" s="230">
        <v>6080000</v>
      </c>
      <c r="EB16" s="229">
        <v>-5.0000000000000001E-3</v>
      </c>
      <c r="EC16" s="229">
        <v>4.82E-2</v>
      </c>
      <c r="ED16" s="228">
        <v>-0.89</v>
      </c>
      <c r="EE16" s="229">
        <v>-5.1999999999999998E-3</v>
      </c>
      <c r="EF16" s="230">
        <v>13690483</v>
      </c>
      <c r="EG16" s="230">
        <v>39328698</v>
      </c>
      <c r="EH16" s="229">
        <v>-0.65190000000000003</v>
      </c>
      <c r="EI16" s="229">
        <v>0.38350000000000001</v>
      </c>
      <c r="EJ16" s="231">
        <v>243688.91</v>
      </c>
      <c r="EK16" s="231">
        <v>134212.78</v>
      </c>
      <c r="EL16" s="231">
        <v>65859.929999999993</v>
      </c>
      <c r="EM16" s="231">
        <v>9845</v>
      </c>
      <c r="EN16" s="231">
        <v>443761.62</v>
      </c>
      <c r="EO16" s="231">
        <v>1049285.31</v>
      </c>
      <c r="EP16" s="231">
        <v>-605523.68999999994</v>
      </c>
      <c r="EQ16" s="229">
        <v>-0.57709999999999995</v>
      </c>
      <c r="ER16" s="231">
        <v>150117</v>
      </c>
      <c r="ES16" s="231">
        <v>95597</v>
      </c>
      <c r="ET16" s="231">
        <v>253122</v>
      </c>
      <c r="EU16" s="231">
        <v>423779104</v>
      </c>
      <c r="EV16" s="231">
        <v>498836</v>
      </c>
      <c r="EW16" s="231">
        <v>494632</v>
      </c>
      <c r="EX16" s="231">
        <v>4204</v>
      </c>
      <c r="EY16" s="229">
        <v>8.5000000000000006E-3</v>
      </c>
      <c r="EZ16" s="229">
        <v>0.68569999999999998</v>
      </c>
      <c r="FA16" s="227" t="s">
        <v>566</v>
      </c>
      <c r="FB16" s="161">
        <f t="shared" si="0"/>
        <v>7155000</v>
      </c>
    </row>
    <row r="17" spans="1:158" ht="17.25" thickBot="1" x14ac:dyDescent="0.3">
      <c r="A17" s="226">
        <v>46121</v>
      </c>
      <c r="B17" s="227" t="s">
        <v>168</v>
      </c>
      <c r="C17" s="227" t="s">
        <v>169</v>
      </c>
      <c r="D17" s="228">
        <v>250</v>
      </c>
      <c r="E17" s="231">
        <v>2274.9</v>
      </c>
      <c r="F17" s="231">
        <v>2293.1</v>
      </c>
      <c r="G17" s="228">
        <v>-18.2</v>
      </c>
      <c r="H17" s="229">
        <v>-7.9000000000000008E-3</v>
      </c>
      <c r="I17" s="231">
        <v>2269.6</v>
      </c>
      <c r="J17" s="231">
        <v>2282.4</v>
      </c>
      <c r="K17" s="228">
        <v>-12.8</v>
      </c>
      <c r="L17" s="229">
        <v>-5.5999999999999999E-3</v>
      </c>
      <c r="M17" s="231">
        <v>2274.9</v>
      </c>
      <c r="N17" s="231">
        <v>2293.1</v>
      </c>
      <c r="O17" s="228">
        <v>-18.2</v>
      </c>
      <c r="P17" s="229">
        <v>-7.9000000000000008E-3</v>
      </c>
      <c r="Q17" s="231">
        <v>2288.5</v>
      </c>
      <c r="R17" s="231">
        <v>2304.1</v>
      </c>
      <c r="S17" s="228">
        <v>-15.6</v>
      </c>
      <c r="T17" s="229">
        <v>-6.7999999999999996E-3</v>
      </c>
      <c r="U17" s="231">
        <v>2281.1999999999998</v>
      </c>
      <c r="V17" s="231">
        <v>2298.4</v>
      </c>
      <c r="W17" s="228">
        <v>-17.2</v>
      </c>
      <c r="X17" s="229">
        <v>-7.4999999999999997E-3</v>
      </c>
      <c r="Y17" s="228">
        <v>5.3</v>
      </c>
      <c r="Z17" s="228">
        <v>10.7</v>
      </c>
      <c r="AA17" s="228">
        <v>-5.4</v>
      </c>
      <c r="AB17" s="229">
        <v>2.3E-3</v>
      </c>
      <c r="AC17" s="228">
        <v>5.3</v>
      </c>
      <c r="AD17" s="228">
        <v>10.7</v>
      </c>
      <c r="AE17" s="228">
        <v>-5.4</v>
      </c>
      <c r="AF17" s="229">
        <v>2.3E-3</v>
      </c>
      <c r="AG17" s="228">
        <v>18.899999999999999</v>
      </c>
      <c r="AH17" s="228">
        <v>21.7</v>
      </c>
      <c r="AI17" s="228">
        <v>-2.8</v>
      </c>
      <c r="AJ17" s="229">
        <v>8.3000000000000001E-3</v>
      </c>
      <c r="AK17" s="228">
        <v>11.6</v>
      </c>
      <c r="AL17" s="228">
        <v>16</v>
      </c>
      <c r="AM17" s="228">
        <v>-4.4000000000000004</v>
      </c>
      <c r="AN17" s="229">
        <v>5.1000000000000004E-3</v>
      </c>
      <c r="AO17" s="231">
        <v>2275.08</v>
      </c>
      <c r="AP17" s="231">
        <v>2293.73</v>
      </c>
      <c r="AQ17" s="228">
        <v>0</v>
      </c>
      <c r="AR17" s="230">
        <v>1305250</v>
      </c>
      <c r="AS17" s="230">
        <v>3030000</v>
      </c>
      <c r="AT17" s="230">
        <v>-1724750</v>
      </c>
      <c r="AU17" s="229">
        <v>-0.56920000000000004</v>
      </c>
      <c r="AV17" s="230">
        <v>1191250</v>
      </c>
      <c r="AW17" s="230">
        <v>2770750</v>
      </c>
      <c r="AX17" s="230">
        <v>-1579500</v>
      </c>
      <c r="AY17" s="229">
        <v>-0.57010000000000005</v>
      </c>
      <c r="AZ17" s="230">
        <v>104000</v>
      </c>
      <c r="BA17" s="230">
        <v>222750</v>
      </c>
      <c r="BB17" s="230">
        <v>-118750</v>
      </c>
      <c r="BC17" s="229">
        <v>-0.53310000000000002</v>
      </c>
      <c r="BD17" s="230">
        <v>10000</v>
      </c>
      <c r="BE17" s="230">
        <v>36500</v>
      </c>
      <c r="BF17" s="230">
        <v>-26500</v>
      </c>
      <c r="BG17" s="229">
        <v>-0.72599999999999998</v>
      </c>
      <c r="BH17" s="230">
        <v>3456500</v>
      </c>
      <c r="BI17" s="230">
        <v>10292750</v>
      </c>
      <c r="BJ17" s="230">
        <v>-6836250</v>
      </c>
      <c r="BK17" s="229">
        <v>-0.66420000000000001</v>
      </c>
      <c r="BL17" s="230">
        <v>2208500</v>
      </c>
      <c r="BM17" s="230">
        <v>5466000</v>
      </c>
      <c r="BN17" s="230">
        <v>-3257500</v>
      </c>
      <c r="BO17" s="229">
        <v>-0.59599999999999997</v>
      </c>
      <c r="BP17" s="230">
        <v>6970250</v>
      </c>
      <c r="BQ17" s="230">
        <v>18788750</v>
      </c>
      <c r="BR17" s="230">
        <v>-11818500</v>
      </c>
      <c r="BS17" s="229">
        <v>-0.629</v>
      </c>
      <c r="BT17" s="230">
        <v>2064163</v>
      </c>
      <c r="BU17" s="230">
        <v>3063795</v>
      </c>
      <c r="BV17" s="230">
        <v>-999632</v>
      </c>
      <c r="BW17" s="229">
        <v>-0.32629999999999998</v>
      </c>
      <c r="BX17" s="230">
        <v>14943250</v>
      </c>
      <c r="BY17" s="230">
        <v>15019750</v>
      </c>
      <c r="BZ17" s="230">
        <v>-76500</v>
      </c>
      <c r="CA17" s="229">
        <v>-5.1000000000000004E-3</v>
      </c>
      <c r="CB17" s="230">
        <v>13789250</v>
      </c>
      <c r="CC17" s="230">
        <v>13891250</v>
      </c>
      <c r="CD17" s="230">
        <v>-102000</v>
      </c>
      <c r="CE17" s="229">
        <v>-7.3000000000000001E-3</v>
      </c>
      <c r="CF17" s="230">
        <v>1068000</v>
      </c>
      <c r="CG17" s="230">
        <v>1042750</v>
      </c>
      <c r="CH17" s="230">
        <v>25250</v>
      </c>
      <c r="CI17" s="229">
        <v>2.4199999999999999E-2</v>
      </c>
      <c r="CJ17" s="230">
        <v>86000</v>
      </c>
      <c r="CK17" s="230">
        <v>85750</v>
      </c>
      <c r="CL17" s="228">
        <v>250</v>
      </c>
      <c r="CM17" s="229">
        <v>2.8999999999999998E-3</v>
      </c>
      <c r="CN17" s="230">
        <v>3393250</v>
      </c>
      <c r="CO17" s="230">
        <v>3236250</v>
      </c>
      <c r="CP17" s="230">
        <v>157000</v>
      </c>
      <c r="CQ17" s="229">
        <v>4.8500000000000001E-2</v>
      </c>
      <c r="CR17" s="230">
        <v>3662500</v>
      </c>
      <c r="CS17" s="230">
        <v>3475750</v>
      </c>
      <c r="CT17" s="230">
        <v>186750</v>
      </c>
      <c r="CU17" s="229">
        <v>5.3699999999999998E-2</v>
      </c>
      <c r="CV17" s="230">
        <v>21999000</v>
      </c>
      <c r="CW17" s="230">
        <v>21731750</v>
      </c>
      <c r="CX17" s="230">
        <v>267250</v>
      </c>
      <c r="CY17" s="229">
        <v>1.23E-2</v>
      </c>
      <c r="CZ17" s="228">
        <v>30.43</v>
      </c>
      <c r="DA17" s="228">
        <v>30.36</v>
      </c>
      <c r="DB17" s="228">
        <v>7.0000000000000007E-2</v>
      </c>
      <c r="DC17" s="228">
        <v>7.0000000000000007E-2</v>
      </c>
      <c r="DD17" s="228">
        <v>28.74</v>
      </c>
      <c r="DE17" s="228">
        <v>28.79</v>
      </c>
      <c r="DF17" s="228">
        <v>1.69</v>
      </c>
      <c r="DG17" s="228">
        <v>-0.05</v>
      </c>
      <c r="DH17" s="228">
        <v>29.44</v>
      </c>
      <c r="DI17" s="228">
        <v>29.15</v>
      </c>
      <c r="DJ17" s="228">
        <v>0.28999999999999998</v>
      </c>
      <c r="DK17" s="228">
        <v>0.28999999999999998</v>
      </c>
      <c r="DL17" s="228">
        <v>31.98</v>
      </c>
      <c r="DM17" s="228">
        <v>32.630000000000003</v>
      </c>
      <c r="DN17" s="228">
        <v>-0.65</v>
      </c>
      <c r="DO17" s="228">
        <v>-0.65</v>
      </c>
      <c r="DP17" s="228">
        <v>1.08</v>
      </c>
      <c r="DQ17" s="228">
        <v>1.07</v>
      </c>
      <c r="DR17" s="228">
        <v>0.01</v>
      </c>
      <c r="DS17" s="229">
        <v>9.2999999999999992E-3</v>
      </c>
      <c r="DT17" s="231">
        <v>2300</v>
      </c>
      <c r="DU17" s="231">
        <v>1900</v>
      </c>
      <c r="DV17" s="228">
        <v>0.64</v>
      </c>
      <c r="DW17" s="228">
        <v>0.53</v>
      </c>
      <c r="DX17" s="228">
        <v>0.11</v>
      </c>
      <c r="DY17" s="229">
        <v>0.20749999999999999</v>
      </c>
      <c r="DZ17" s="229">
        <v>7.7200000000000005E-2</v>
      </c>
      <c r="EA17" s="230">
        <v>1128500</v>
      </c>
      <c r="EB17" s="229">
        <v>6.0000000000000001E-3</v>
      </c>
      <c r="EC17" s="229">
        <v>7.7200000000000005E-2</v>
      </c>
      <c r="ED17" s="228">
        <v>18.649999999999999</v>
      </c>
      <c r="EE17" s="229">
        <v>8.2000000000000007E-3</v>
      </c>
      <c r="EF17" s="230">
        <v>1393795</v>
      </c>
      <c r="EG17" s="230">
        <v>1685382</v>
      </c>
      <c r="EH17" s="229">
        <v>-0.17299999999999999</v>
      </c>
      <c r="EI17" s="229">
        <v>0.67520000000000002</v>
      </c>
      <c r="EJ17" s="231">
        <v>82530.8</v>
      </c>
      <c r="EK17" s="231">
        <v>49198.31</v>
      </c>
      <c r="EL17" s="231">
        <v>29715.98</v>
      </c>
      <c r="EM17" s="231">
        <v>7772</v>
      </c>
      <c r="EN17" s="231">
        <v>161445.09</v>
      </c>
      <c r="EO17" s="231">
        <v>435101.42</v>
      </c>
      <c r="EP17" s="231">
        <v>-273656.33</v>
      </c>
      <c r="EQ17" s="229">
        <v>-0.62890000000000001</v>
      </c>
      <c r="ER17" s="231">
        <v>79510</v>
      </c>
      <c r="ES17" s="231">
        <v>77602</v>
      </c>
      <c r="ET17" s="231">
        <v>340095</v>
      </c>
      <c r="EU17" s="231">
        <v>62818628</v>
      </c>
      <c r="EV17" s="231">
        <v>497207</v>
      </c>
      <c r="EW17" s="231">
        <v>493759</v>
      </c>
      <c r="EX17" s="231">
        <v>3448</v>
      </c>
      <c r="EY17" s="229">
        <v>7.0000000000000001E-3</v>
      </c>
      <c r="EZ17" s="229">
        <v>0.35020000000000001</v>
      </c>
      <c r="FA17" s="227" t="s">
        <v>567</v>
      </c>
      <c r="FB17" s="161">
        <f t="shared" si="0"/>
        <v>1154000</v>
      </c>
    </row>
    <row r="18" spans="1:158" ht="17.25" thickBot="1" x14ac:dyDescent="0.3">
      <c r="A18" s="226">
        <v>46121</v>
      </c>
      <c r="B18" s="227" t="s">
        <v>184</v>
      </c>
      <c r="C18" s="227" t="s">
        <v>503</v>
      </c>
      <c r="D18" s="228">
        <v>425</v>
      </c>
      <c r="E18" s="231">
        <v>1557.8</v>
      </c>
      <c r="F18" s="231">
        <v>1529.3</v>
      </c>
      <c r="G18" s="228">
        <v>28.5</v>
      </c>
      <c r="H18" s="229">
        <v>1.8599999999999998E-2</v>
      </c>
      <c r="I18" s="231">
        <v>1563.7</v>
      </c>
      <c r="J18" s="231">
        <v>1525.5</v>
      </c>
      <c r="K18" s="228">
        <v>38.200000000000003</v>
      </c>
      <c r="L18" s="229">
        <v>2.5000000000000001E-2</v>
      </c>
      <c r="M18" s="231">
        <v>1557.8</v>
      </c>
      <c r="N18" s="231">
        <v>1529.3</v>
      </c>
      <c r="O18" s="228">
        <v>28.5</v>
      </c>
      <c r="P18" s="229">
        <v>1.8599999999999998E-2</v>
      </c>
      <c r="Q18" s="231">
        <v>1529.6</v>
      </c>
      <c r="R18" s="231">
        <v>1498.7</v>
      </c>
      <c r="S18" s="228">
        <v>30.9</v>
      </c>
      <c r="T18" s="229">
        <v>2.06E-2</v>
      </c>
      <c r="U18" s="231">
        <v>1519.8</v>
      </c>
      <c r="V18" s="231">
        <v>1484.5</v>
      </c>
      <c r="W18" s="228">
        <v>35.299999999999997</v>
      </c>
      <c r="X18" s="229">
        <v>2.3800000000000002E-2</v>
      </c>
      <c r="Y18" s="228">
        <v>-5.9</v>
      </c>
      <c r="Z18" s="228">
        <v>3.8</v>
      </c>
      <c r="AA18" s="228">
        <v>-9.6999999999999993</v>
      </c>
      <c r="AB18" s="229">
        <v>-3.8E-3</v>
      </c>
      <c r="AC18" s="228">
        <v>-5.9</v>
      </c>
      <c r="AD18" s="228">
        <v>3.8</v>
      </c>
      <c r="AE18" s="228">
        <v>-9.6999999999999993</v>
      </c>
      <c r="AF18" s="229">
        <v>-3.8E-3</v>
      </c>
      <c r="AG18" s="228">
        <v>-34.1</v>
      </c>
      <c r="AH18" s="228">
        <v>-26.8</v>
      </c>
      <c r="AI18" s="228">
        <v>-7.3</v>
      </c>
      <c r="AJ18" s="229">
        <v>-2.18E-2</v>
      </c>
      <c r="AK18" s="228">
        <v>-43.9</v>
      </c>
      <c r="AL18" s="228">
        <v>-41</v>
      </c>
      <c r="AM18" s="228">
        <v>-2.9</v>
      </c>
      <c r="AN18" s="229">
        <v>-2.81E-2</v>
      </c>
      <c r="AO18" s="231">
        <v>1548.24</v>
      </c>
      <c r="AP18" s="231">
        <v>1524.19</v>
      </c>
      <c r="AQ18" s="228">
        <v>0</v>
      </c>
      <c r="AR18" s="230">
        <v>1724225</v>
      </c>
      <c r="AS18" s="230">
        <v>2718725</v>
      </c>
      <c r="AT18" s="230">
        <v>-994500</v>
      </c>
      <c r="AU18" s="229">
        <v>-0.36580000000000001</v>
      </c>
      <c r="AV18" s="230">
        <v>1446700</v>
      </c>
      <c r="AW18" s="230">
        <v>2389775</v>
      </c>
      <c r="AX18" s="230">
        <v>-943075</v>
      </c>
      <c r="AY18" s="229">
        <v>-0.39460000000000001</v>
      </c>
      <c r="AZ18" s="230">
        <v>269875</v>
      </c>
      <c r="BA18" s="230">
        <v>315775</v>
      </c>
      <c r="BB18" s="230">
        <v>-45900</v>
      </c>
      <c r="BC18" s="229">
        <v>-0.1454</v>
      </c>
      <c r="BD18" s="230">
        <v>7650</v>
      </c>
      <c r="BE18" s="230">
        <v>13175</v>
      </c>
      <c r="BF18" s="230">
        <v>-5525</v>
      </c>
      <c r="BG18" s="229">
        <v>-0.4194</v>
      </c>
      <c r="BH18" s="230">
        <v>2675375</v>
      </c>
      <c r="BI18" s="230">
        <v>4430625</v>
      </c>
      <c r="BJ18" s="230">
        <v>-1755250</v>
      </c>
      <c r="BK18" s="229">
        <v>-0.3962</v>
      </c>
      <c r="BL18" s="230">
        <v>2096950</v>
      </c>
      <c r="BM18" s="230">
        <v>3013250</v>
      </c>
      <c r="BN18" s="230">
        <v>-916300</v>
      </c>
      <c r="BO18" s="229">
        <v>-0.30409999999999998</v>
      </c>
      <c r="BP18" s="230">
        <v>6496550</v>
      </c>
      <c r="BQ18" s="230">
        <v>10162600</v>
      </c>
      <c r="BR18" s="230">
        <v>-3666050</v>
      </c>
      <c r="BS18" s="229">
        <v>-0.36070000000000002</v>
      </c>
      <c r="BT18" s="230">
        <v>934085</v>
      </c>
      <c r="BU18" s="230">
        <v>762011</v>
      </c>
      <c r="BV18" s="230">
        <v>172074</v>
      </c>
      <c r="BW18" s="229">
        <v>0.2258</v>
      </c>
      <c r="BX18" s="230">
        <v>9101375</v>
      </c>
      <c r="BY18" s="230">
        <v>8825125</v>
      </c>
      <c r="BZ18" s="230">
        <v>276250</v>
      </c>
      <c r="CA18" s="229">
        <v>3.1300000000000001E-2</v>
      </c>
      <c r="CB18" s="230">
        <v>8406925</v>
      </c>
      <c r="CC18" s="230">
        <v>8256900</v>
      </c>
      <c r="CD18" s="230">
        <v>150025</v>
      </c>
      <c r="CE18" s="229">
        <v>1.8200000000000001E-2</v>
      </c>
      <c r="CF18" s="230">
        <v>679575</v>
      </c>
      <c r="CG18" s="230">
        <v>552500</v>
      </c>
      <c r="CH18" s="230">
        <v>127075</v>
      </c>
      <c r="CI18" s="229">
        <v>0.23</v>
      </c>
      <c r="CJ18" s="230">
        <v>14875</v>
      </c>
      <c r="CK18" s="230">
        <v>15725</v>
      </c>
      <c r="CL18" s="228">
        <v>-850</v>
      </c>
      <c r="CM18" s="229">
        <v>-5.4100000000000002E-2</v>
      </c>
      <c r="CN18" s="230">
        <v>1881900</v>
      </c>
      <c r="CO18" s="230">
        <v>2013650</v>
      </c>
      <c r="CP18" s="230">
        <v>-131750</v>
      </c>
      <c r="CQ18" s="229">
        <v>-6.54E-2</v>
      </c>
      <c r="CR18" s="230">
        <v>1262250</v>
      </c>
      <c r="CS18" s="230">
        <v>1341300</v>
      </c>
      <c r="CT18" s="230">
        <v>-79050</v>
      </c>
      <c r="CU18" s="229">
        <v>-5.8900000000000001E-2</v>
      </c>
      <c r="CV18" s="230">
        <v>12245525</v>
      </c>
      <c r="CW18" s="230">
        <v>12180075</v>
      </c>
      <c r="CX18" s="230">
        <v>65450</v>
      </c>
      <c r="CY18" s="229">
        <v>5.4000000000000003E-3</v>
      </c>
      <c r="CZ18" s="228">
        <v>35.19</v>
      </c>
      <c r="DA18" s="228">
        <v>36.67</v>
      </c>
      <c r="DB18" s="228">
        <v>-1.48</v>
      </c>
      <c r="DC18" s="228">
        <v>-1.48</v>
      </c>
      <c r="DD18" s="228">
        <v>35.659999999999997</v>
      </c>
      <c r="DE18" s="228">
        <v>35.6</v>
      </c>
      <c r="DF18" s="228">
        <v>-0.47</v>
      </c>
      <c r="DG18" s="228">
        <v>0.06</v>
      </c>
      <c r="DH18" s="228">
        <v>33.57</v>
      </c>
      <c r="DI18" s="228">
        <v>35.46</v>
      </c>
      <c r="DJ18" s="228">
        <v>-1.89</v>
      </c>
      <c r="DK18" s="228">
        <v>-1.89</v>
      </c>
      <c r="DL18" s="228">
        <v>37.25</v>
      </c>
      <c r="DM18" s="228">
        <v>38.46</v>
      </c>
      <c r="DN18" s="228">
        <v>-1.21</v>
      </c>
      <c r="DO18" s="228">
        <v>-1.21</v>
      </c>
      <c r="DP18" s="228">
        <v>0.67</v>
      </c>
      <c r="DQ18" s="228">
        <v>0.67</v>
      </c>
      <c r="DR18" s="228">
        <v>0</v>
      </c>
      <c r="DS18" s="229">
        <v>0</v>
      </c>
      <c r="DT18" s="231">
        <v>1700</v>
      </c>
      <c r="DU18" s="231">
        <v>1500</v>
      </c>
      <c r="DV18" s="228">
        <v>0.78</v>
      </c>
      <c r="DW18" s="228">
        <v>0.68</v>
      </c>
      <c r="DX18" s="228">
        <v>0.1</v>
      </c>
      <c r="DY18" s="229">
        <v>0.14710000000000001</v>
      </c>
      <c r="DZ18" s="229">
        <v>7.6300000000000007E-2</v>
      </c>
      <c r="EA18" s="230">
        <v>568225</v>
      </c>
      <c r="EB18" s="229">
        <v>-1.8100000000000002E-2</v>
      </c>
      <c r="EC18" s="229">
        <v>7.6300000000000007E-2</v>
      </c>
      <c r="ED18" s="228">
        <v>-24.05</v>
      </c>
      <c r="EE18" s="229">
        <v>-1.55E-2</v>
      </c>
      <c r="EF18" s="230">
        <v>437271</v>
      </c>
      <c r="EG18" s="230">
        <v>292115</v>
      </c>
      <c r="EH18" s="229">
        <v>0.49690000000000001</v>
      </c>
      <c r="EI18" s="229">
        <v>0.46810000000000002</v>
      </c>
      <c r="EJ18" s="231">
        <v>43801.39</v>
      </c>
      <c r="EK18" s="231">
        <v>31673.09</v>
      </c>
      <c r="EL18" s="231">
        <v>26627.24</v>
      </c>
      <c r="EM18" s="231">
        <v>5411</v>
      </c>
      <c r="EN18" s="231">
        <v>102101.72</v>
      </c>
      <c r="EO18" s="231">
        <v>160443.14000000001</v>
      </c>
      <c r="EP18" s="231">
        <v>-58341.42</v>
      </c>
      <c r="EQ18" s="229">
        <v>-0.36359999999999998</v>
      </c>
      <c r="ER18" s="231">
        <v>31015</v>
      </c>
      <c r="ES18" s="231">
        <v>18727</v>
      </c>
      <c r="ET18" s="231">
        <v>141584</v>
      </c>
      <c r="EU18" s="231">
        <v>17577908</v>
      </c>
      <c r="EV18" s="231">
        <v>191326</v>
      </c>
      <c r="EW18" s="231">
        <v>187740</v>
      </c>
      <c r="EX18" s="231">
        <v>3586</v>
      </c>
      <c r="EY18" s="229">
        <v>1.9099999999999999E-2</v>
      </c>
      <c r="EZ18" s="229">
        <v>0.6966</v>
      </c>
      <c r="FA18" s="227" t="s">
        <v>555</v>
      </c>
      <c r="FB18" s="161">
        <f t="shared" si="0"/>
        <v>694450</v>
      </c>
    </row>
    <row r="19" spans="1:158" ht="17.25" thickBot="1" x14ac:dyDescent="0.3">
      <c r="A19" s="226">
        <v>46121</v>
      </c>
      <c r="B19" s="227" t="s">
        <v>172</v>
      </c>
      <c r="C19" s="227" t="s">
        <v>495</v>
      </c>
      <c r="D19" s="228">
        <v>1000</v>
      </c>
      <c r="E19" s="228">
        <v>964.55</v>
      </c>
      <c r="F19" s="228">
        <v>969.8</v>
      </c>
      <c r="G19" s="228">
        <v>-5.25</v>
      </c>
      <c r="H19" s="229">
        <v>-5.4000000000000003E-3</v>
      </c>
      <c r="I19" s="228">
        <v>963</v>
      </c>
      <c r="J19" s="228">
        <v>967.8</v>
      </c>
      <c r="K19" s="228">
        <v>-4.8</v>
      </c>
      <c r="L19" s="229">
        <v>-5.0000000000000001E-3</v>
      </c>
      <c r="M19" s="228">
        <v>964.55</v>
      </c>
      <c r="N19" s="228">
        <v>969.8</v>
      </c>
      <c r="O19" s="228">
        <v>-5.25</v>
      </c>
      <c r="P19" s="229">
        <v>-5.4000000000000003E-3</v>
      </c>
      <c r="Q19" s="228">
        <v>969.85</v>
      </c>
      <c r="R19" s="228">
        <v>974.5</v>
      </c>
      <c r="S19" s="228">
        <v>-4.6500000000000004</v>
      </c>
      <c r="T19" s="229">
        <v>-4.7999999999999996E-3</v>
      </c>
      <c r="U19" s="228">
        <v>976.25</v>
      </c>
      <c r="V19" s="228">
        <v>980.8</v>
      </c>
      <c r="W19" s="228">
        <v>-4.55</v>
      </c>
      <c r="X19" s="229">
        <v>-4.5999999999999999E-3</v>
      </c>
      <c r="Y19" s="228">
        <v>1.55</v>
      </c>
      <c r="Z19" s="228">
        <v>2</v>
      </c>
      <c r="AA19" s="228">
        <v>-0.45</v>
      </c>
      <c r="AB19" s="229">
        <v>1.6000000000000001E-3</v>
      </c>
      <c r="AC19" s="228">
        <v>1.55</v>
      </c>
      <c r="AD19" s="228">
        <v>2</v>
      </c>
      <c r="AE19" s="228">
        <v>-0.45</v>
      </c>
      <c r="AF19" s="229">
        <v>1.6000000000000001E-3</v>
      </c>
      <c r="AG19" s="228">
        <v>6.85</v>
      </c>
      <c r="AH19" s="228">
        <v>6.7</v>
      </c>
      <c r="AI19" s="228">
        <v>0.15</v>
      </c>
      <c r="AJ19" s="229">
        <v>7.1000000000000004E-3</v>
      </c>
      <c r="AK19" s="228">
        <v>13.25</v>
      </c>
      <c r="AL19" s="228">
        <v>13</v>
      </c>
      <c r="AM19" s="228">
        <v>0.25</v>
      </c>
      <c r="AN19" s="229">
        <v>1.38E-2</v>
      </c>
      <c r="AO19" s="228">
        <v>967.47</v>
      </c>
      <c r="AP19" s="228">
        <v>971.81</v>
      </c>
      <c r="AQ19" s="228">
        <v>0</v>
      </c>
      <c r="AR19" s="230">
        <v>3223000</v>
      </c>
      <c r="AS19" s="230">
        <v>8345000</v>
      </c>
      <c r="AT19" s="230">
        <v>-5122000</v>
      </c>
      <c r="AU19" s="229">
        <v>-0.61380000000000001</v>
      </c>
      <c r="AV19" s="230">
        <v>2835000</v>
      </c>
      <c r="AW19" s="230">
        <v>7913000</v>
      </c>
      <c r="AX19" s="230">
        <v>-5078000</v>
      </c>
      <c r="AY19" s="229">
        <v>-0.64170000000000005</v>
      </c>
      <c r="AZ19" s="230">
        <v>262000</v>
      </c>
      <c r="BA19" s="230">
        <v>372000</v>
      </c>
      <c r="BB19" s="230">
        <v>-110000</v>
      </c>
      <c r="BC19" s="229">
        <v>-0.29570000000000002</v>
      </c>
      <c r="BD19" s="230">
        <v>126000</v>
      </c>
      <c r="BE19" s="230">
        <v>60000</v>
      </c>
      <c r="BF19" s="230">
        <v>66000</v>
      </c>
      <c r="BG19" s="229">
        <v>1.1000000000000001</v>
      </c>
      <c r="BH19" s="230">
        <v>5846000</v>
      </c>
      <c r="BI19" s="230">
        <v>11357000</v>
      </c>
      <c r="BJ19" s="230">
        <v>-5511000</v>
      </c>
      <c r="BK19" s="229">
        <v>-0.48530000000000001</v>
      </c>
      <c r="BL19" s="230">
        <v>4432000</v>
      </c>
      <c r="BM19" s="230">
        <v>10338000</v>
      </c>
      <c r="BN19" s="230">
        <v>-5906000</v>
      </c>
      <c r="BO19" s="229">
        <v>-0.57130000000000003</v>
      </c>
      <c r="BP19" s="230">
        <v>13501000</v>
      </c>
      <c r="BQ19" s="230">
        <v>30040000</v>
      </c>
      <c r="BR19" s="230">
        <v>-16539000</v>
      </c>
      <c r="BS19" s="229">
        <v>-0.55059999999999998</v>
      </c>
      <c r="BT19" s="230">
        <v>1641518</v>
      </c>
      <c r="BU19" s="230">
        <v>5045227</v>
      </c>
      <c r="BV19" s="230">
        <v>-3403709</v>
      </c>
      <c r="BW19" s="229">
        <v>-0.67459999999999998</v>
      </c>
      <c r="BX19" s="230">
        <v>25322000</v>
      </c>
      <c r="BY19" s="230">
        <v>25159000</v>
      </c>
      <c r="BZ19" s="230">
        <v>163000</v>
      </c>
      <c r="CA19" s="229">
        <v>6.4999999999999997E-3</v>
      </c>
      <c r="CB19" s="230">
        <v>24632000</v>
      </c>
      <c r="CC19" s="230">
        <v>24576000</v>
      </c>
      <c r="CD19" s="230">
        <v>56000</v>
      </c>
      <c r="CE19" s="229">
        <v>2.3E-3</v>
      </c>
      <c r="CF19" s="230">
        <v>567000</v>
      </c>
      <c r="CG19" s="230">
        <v>483000</v>
      </c>
      <c r="CH19" s="230">
        <v>84000</v>
      </c>
      <c r="CI19" s="229">
        <v>0.1739</v>
      </c>
      <c r="CJ19" s="230">
        <v>123000</v>
      </c>
      <c r="CK19" s="230">
        <v>100000</v>
      </c>
      <c r="CL19" s="230">
        <v>23000</v>
      </c>
      <c r="CM19" s="229">
        <v>0.23</v>
      </c>
      <c r="CN19" s="230">
        <v>5348000</v>
      </c>
      <c r="CO19" s="230">
        <v>5258000</v>
      </c>
      <c r="CP19" s="230">
        <v>90000</v>
      </c>
      <c r="CQ19" s="229">
        <v>1.7100000000000001E-2</v>
      </c>
      <c r="CR19" s="230">
        <v>4776000</v>
      </c>
      <c r="CS19" s="230">
        <v>4382000</v>
      </c>
      <c r="CT19" s="230">
        <v>394000</v>
      </c>
      <c r="CU19" s="229">
        <v>8.9899999999999994E-2</v>
      </c>
      <c r="CV19" s="230">
        <v>35446000</v>
      </c>
      <c r="CW19" s="230">
        <v>34799000</v>
      </c>
      <c r="CX19" s="230">
        <v>647000</v>
      </c>
      <c r="CY19" s="229">
        <v>1.8599999999999998E-2</v>
      </c>
      <c r="CZ19" s="228">
        <v>37.869999999999997</v>
      </c>
      <c r="DA19" s="228">
        <v>37.869999999999997</v>
      </c>
      <c r="DB19" s="228">
        <v>0</v>
      </c>
      <c r="DC19" s="228">
        <v>0</v>
      </c>
      <c r="DD19" s="228">
        <v>38.68</v>
      </c>
      <c r="DE19" s="228">
        <v>38.770000000000003</v>
      </c>
      <c r="DF19" s="228">
        <v>-0.81</v>
      </c>
      <c r="DG19" s="228">
        <v>-0.09</v>
      </c>
      <c r="DH19" s="228">
        <v>35.869999999999997</v>
      </c>
      <c r="DI19" s="228">
        <v>35.65</v>
      </c>
      <c r="DJ19" s="228">
        <v>0.22</v>
      </c>
      <c r="DK19" s="228">
        <v>0.22</v>
      </c>
      <c r="DL19" s="228">
        <v>40.51</v>
      </c>
      <c r="DM19" s="228">
        <v>40.299999999999997</v>
      </c>
      <c r="DN19" s="228">
        <v>0.21</v>
      </c>
      <c r="DO19" s="228">
        <v>0.21</v>
      </c>
      <c r="DP19" s="228">
        <v>0.89</v>
      </c>
      <c r="DQ19" s="228">
        <v>0.83</v>
      </c>
      <c r="DR19" s="228">
        <v>0.06</v>
      </c>
      <c r="DS19" s="229">
        <v>7.2300000000000003E-2</v>
      </c>
      <c r="DT19" s="228">
        <v>900</v>
      </c>
      <c r="DU19" s="228">
        <v>900</v>
      </c>
      <c r="DV19" s="228">
        <v>0.76</v>
      </c>
      <c r="DW19" s="228">
        <v>0.91</v>
      </c>
      <c r="DX19" s="228">
        <v>-0.15</v>
      </c>
      <c r="DY19" s="229">
        <v>-0.1648</v>
      </c>
      <c r="DZ19" s="229">
        <v>2.7199999999999998E-2</v>
      </c>
      <c r="EA19" s="230">
        <v>583000</v>
      </c>
      <c r="EB19" s="229">
        <v>5.4999999999999997E-3</v>
      </c>
      <c r="EC19" s="229">
        <v>2.7199999999999998E-2</v>
      </c>
      <c r="ED19" s="228">
        <v>4.34</v>
      </c>
      <c r="EE19" s="229">
        <v>4.4999999999999997E-3</v>
      </c>
      <c r="EF19" s="230">
        <v>743324</v>
      </c>
      <c r="EG19" s="230">
        <v>2585554</v>
      </c>
      <c r="EH19" s="229">
        <v>-0.71250000000000002</v>
      </c>
      <c r="EI19" s="229">
        <v>0.45279999999999998</v>
      </c>
      <c r="EJ19" s="231">
        <v>59525.02</v>
      </c>
      <c r="EK19" s="231">
        <v>41499.480000000003</v>
      </c>
      <c r="EL19" s="231">
        <v>31205.99</v>
      </c>
      <c r="EM19" s="231">
        <v>5141</v>
      </c>
      <c r="EN19" s="231">
        <v>132230.49</v>
      </c>
      <c r="EO19" s="231">
        <v>288511.96999999997</v>
      </c>
      <c r="EP19" s="231">
        <v>-156281.48000000001</v>
      </c>
      <c r="EQ19" s="229">
        <v>-0.54169999999999996</v>
      </c>
      <c r="ER19" s="231">
        <v>50635</v>
      </c>
      <c r="ES19" s="231">
        <v>42275</v>
      </c>
      <c r="ET19" s="231">
        <v>244288</v>
      </c>
      <c r="EU19" s="231">
        <v>86532345</v>
      </c>
      <c r="EV19" s="231">
        <v>337198</v>
      </c>
      <c r="EW19" s="231">
        <v>331957</v>
      </c>
      <c r="EX19" s="231">
        <v>5241</v>
      </c>
      <c r="EY19" s="229">
        <v>1.5800000000000002E-2</v>
      </c>
      <c r="EZ19" s="229">
        <v>0.40960000000000002</v>
      </c>
      <c r="FA19" s="227" t="s">
        <v>566</v>
      </c>
      <c r="FB19" s="161">
        <f t="shared" si="0"/>
        <v>690000</v>
      </c>
    </row>
    <row r="20" spans="1:158" ht="17.25" thickBot="1" x14ac:dyDescent="0.3">
      <c r="A20" s="226">
        <v>46121</v>
      </c>
      <c r="B20" s="227" t="s">
        <v>170</v>
      </c>
      <c r="C20" s="227" t="s">
        <v>171</v>
      </c>
      <c r="D20" s="228">
        <v>550</v>
      </c>
      <c r="E20" s="231">
        <v>1345.8</v>
      </c>
      <c r="F20" s="231">
        <v>1342.2</v>
      </c>
      <c r="G20" s="228">
        <v>3.6</v>
      </c>
      <c r="H20" s="229">
        <v>2.7000000000000001E-3</v>
      </c>
      <c r="I20" s="231">
        <v>1340.4</v>
      </c>
      <c r="J20" s="231">
        <v>1335.7</v>
      </c>
      <c r="K20" s="228">
        <v>4.7</v>
      </c>
      <c r="L20" s="229">
        <v>3.5000000000000001E-3</v>
      </c>
      <c r="M20" s="231">
        <v>1345.8</v>
      </c>
      <c r="N20" s="231">
        <v>1342.2</v>
      </c>
      <c r="O20" s="228">
        <v>3.6</v>
      </c>
      <c r="P20" s="229">
        <v>2.7000000000000001E-3</v>
      </c>
      <c r="Q20" s="231">
        <v>1347.9</v>
      </c>
      <c r="R20" s="231">
        <v>1345.5</v>
      </c>
      <c r="S20" s="228">
        <v>2.4</v>
      </c>
      <c r="T20" s="229">
        <v>1.8E-3</v>
      </c>
      <c r="U20" s="231">
        <v>1349</v>
      </c>
      <c r="V20" s="231">
        <v>1353</v>
      </c>
      <c r="W20" s="228">
        <v>-4</v>
      </c>
      <c r="X20" s="229">
        <v>-3.0000000000000001E-3</v>
      </c>
      <c r="Y20" s="228">
        <v>5.4</v>
      </c>
      <c r="Z20" s="228">
        <v>6.5</v>
      </c>
      <c r="AA20" s="228">
        <v>-1.1000000000000001</v>
      </c>
      <c r="AB20" s="229">
        <v>4.0000000000000001E-3</v>
      </c>
      <c r="AC20" s="228">
        <v>5.4</v>
      </c>
      <c r="AD20" s="228">
        <v>6.5</v>
      </c>
      <c r="AE20" s="228">
        <v>-1.1000000000000001</v>
      </c>
      <c r="AF20" s="229">
        <v>4.0000000000000001E-3</v>
      </c>
      <c r="AG20" s="228">
        <v>7.5</v>
      </c>
      <c r="AH20" s="228">
        <v>9.8000000000000007</v>
      </c>
      <c r="AI20" s="228">
        <v>-2.2999999999999998</v>
      </c>
      <c r="AJ20" s="229">
        <v>5.5999999999999999E-3</v>
      </c>
      <c r="AK20" s="228">
        <v>8.6</v>
      </c>
      <c r="AL20" s="228">
        <v>17.3</v>
      </c>
      <c r="AM20" s="228">
        <v>-8.6999999999999993</v>
      </c>
      <c r="AN20" s="229">
        <v>6.4000000000000003E-3</v>
      </c>
      <c r="AO20" s="231">
        <v>1339.59</v>
      </c>
      <c r="AP20" s="231">
        <v>1340.56</v>
      </c>
      <c r="AQ20" s="228">
        <v>0</v>
      </c>
      <c r="AR20" s="230">
        <v>898150</v>
      </c>
      <c r="AS20" s="230">
        <v>2322650</v>
      </c>
      <c r="AT20" s="230">
        <v>-1424500</v>
      </c>
      <c r="AU20" s="229">
        <v>-0.61329999999999996</v>
      </c>
      <c r="AV20" s="230">
        <v>850300</v>
      </c>
      <c r="AW20" s="230">
        <v>2200550</v>
      </c>
      <c r="AX20" s="230">
        <v>-1350250</v>
      </c>
      <c r="AY20" s="229">
        <v>-0.61360000000000003</v>
      </c>
      <c r="AZ20" s="230">
        <v>46750</v>
      </c>
      <c r="BA20" s="230">
        <v>119900</v>
      </c>
      <c r="BB20" s="230">
        <v>-73150</v>
      </c>
      <c r="BC20" s="229">
        <v>-0.61009999999999998</v>
      </c>
      <c r="BD20" s="230">
        <v>1100</v>
      </c>
      <c r="BE20" s="230">
        <v>2200</v>
      </c>
      <c r="BF20" s="230">
        <v>-1100</v>
      </c>
      <c r="BG20" s="229">
        <v>-0.5</v>
      </c>
      <c r="BH20" s="230">
        <v>2758800</v>
      </c>
      <c r="BI20" s="230">
        <v>5038550</v>
      </c>
      <c r="BJ20" s="230">
        <v>-2279750</v>
      </c>
      <c r="BK20" s="229">
        <v>-0.45250000000000001</v>
      </c>
      <c r="BL20" s="230">
        <v>1372800</v>
      </c>
      <c r="BM20" s="230">
        <v>2883100</v>
      </c>
      <c r="BN20" s="230">
        <v>-1510300</v>
      </c>
      <c r="BO20" s="229">
        <v>-0.52380000000000004</v>
      </c>
      <c r="BP20" s="230">
        <v>5029750</v>
      </c>
      <c r="BQ20" s="230">
        <v>10244300</v>
      </c>
      <c r="BR20" s="230">
        <v>-5214550</v>
      </c>
      <c r="BS20" s="229">
        <v>-0.50900000000000001</v>
      </c>
      <c r="BT20" s="230">
        <v>961318</v>
      </c>
      <c r="BU20" s="230">
        <v>3296597</v>
      </c>
      <c r="BV20" s="230">
        <v>-2335279</v>
      </c>
      <c r="BW20" s="229">
        <v>-0.70840000000000003</v>
      </c>
      <c r="BX20" s="230">
        <v>21367500</v>
      </c>
      <c r="BY20" s="230">
        <v>21310850</v>
      </c>
      <c r="BZ20" s="230">
        <v>56650</v>
      </c>
      <c r="CA20" s="229">
        <v>2.7000000000000001E-3</v>
      </c>
      <c r="CB20" s="230">
        <v>21173350</v>
      </c>
      <c r="CC20" s="230">
        <v>21132650</v>
      </c>
      <c r="CD20" s="230">
        <v>40700</v>
      </c>
      <c r="CE20" s="229">
        <v>1.9E-3</v>
      </c>
      <c r="CF20" s="230">
        <v>188100</v>
      </c>
      <c r="CG20" s="230">
        <v>172700</v>
      </c>
      <c r="CH20" s="230">
        <v>15400</v>
      </c>
      <c r="CI20" s="229">
        <v>8.9200000000000002E-2</v>
      </c>
      <c r="CJ20" s="230">
        <v>6050</v>
      </c>
      <c r="CK20" s="230">
        <v>5500</v>
      </c>
      <c r="CL20" s="228">
        <v>550</v>
      </c>
      <c r="CM20" s="229">
        <v>0.1</v>
      </c>
      <c r="CN20" s="230">
        <v>3554100</v>
      </c>
      <c r="CO20" s="230">
        <v>3719100</v>
      </c>
      <c r="CP20" s="230">
        <v>-165000</v>
      </c>
      <c r="CQ20" s="229">
        <v>-4.4400000000000002E-2</v>
      </c>
      <c r="CR20" s="230">
        <v>2389200</v>
      </c>
      <c r="CS20" s="230">
        <v>2332000</v>
      </c>
      <c r="CT20" s="230">
        <v>57200</v>
      </c>
      <c r="CU20" s="229">
        <v>2.4500000000000001E-2</v>
      </c>
      <c r="CV20" s="230">
        <v>27310800</v>
      </c>
      <c r="CW20" s="230">
        <v>27361950</v>
      </c>
      <c r="CX20" s="230">
        <v>-51150</v>
      </c>
      <c r="CY20" s="229">
        <v>-1.9E-3</v>
      </c>
      <c r="CZ20" s="228">
        <v>31.24</v>
      </c>
      <c r="DA20" s="228">
        <v>31.57</v>
      </c>
      <c r="DB20" s="228">
        <v>-0.33</v>
      </c>
      <c r="DC20" s="228">
        <v>-0.33</v>
      </c>
      <c r="DD20" s="228">
        <v>33.53</v>
      </c>
      <c r="DE20" s="228">
        <v>33.61</v>
      </c>
      <c r="DF20" s="228">
        <v>-2.29</v>
      </c>
      <c r="DG20" s="228">
        <v>-0.08</v>
      </c>
      <c r="DH20" s="228">
        <v>30.7</v>
      </c>
      <c r="DI20" s="228">
        <v>31.14</v>
      </c>
      <c r="DJ20" s="228">
        <v>-0.44</v>
      </c>
      <c r="DK20" s="228">
        <v>-0.44</v>
      </c>
      <c r="DL20" s="228">
        <v>32.31</v>
      </c>
      <c r="DM20" s="228">
        <v>32.32</v>
      </c>
      <c r="DN20" s="228">
        <v>-0.01</v>
      </c>
      <c r="DO20" s="228">
        <v>-0.01</v>
      </c>
      <c r="DP20" s="228">
        <v>0.67</v>
      </c>
      <c r="DQ20" s="228">
        <v>0.63</v>
      </c>
      <c r="DR20" s="228">
        <v>0.04</v>
      </c>
      <c r="DS20" s="229">
        <v>6.3500000000000001E-2</v>
      </c>
      <c r="DT20" s="231">
        <v>1300</v>
      </c>
      <c r="DU20" s="231">
        <v>1300</v>
      </c>
      <c r="DV20" s="228">
        <v>0.5</v>
      </c>
      <c r="DW20" s="228">
        <v>0.56999999999999995</v>
      </c>
      <c r="DX20" s="228">
        <v>-7.0000000000000007E-2</v>
      </c>
      <c r="DY20" s="229">
        <v>-0.12280000000000001</v>
      </c>
      <c r="DZ20" s="229">
        <v>9.1000000000000004E-3</v>
      </c>
      <c r="EA20" s="230">
        <v>178200</v>
      </c>
      <c r="EB20" s="229">
        <v>1.6000000000000001E-3</v>
      </c>
      <c r="EC20" s="229">
        <v>9.1000000000000004E-3</v>
      </c>
      <c r="ED20" s="228">
        <v>0.97</v>
      </c>
      <c r="EE20" s="229">
        <v>6.9999999999999999E-4</v>
      </c>
      <c r="EF20" s="230">
        <v>357566</v>
      </c>
      <c r="EG20" s="230">
        <v>1848841</v>
      </c>
      <c r="EH20" s="229">
        <v>-0.80659999999999998</v>
      </c>
      <c r="EI20" s="229">
        <v>0.372</v>
      </c>
      <c r="EJ20" s="231">
        <v>38886.089999999997</v>
      </c>
      <c r="EK20" s="231">
        <v>18065.95</v>
      </c>
      <c r="EL20" s="231">
        <v>12032.11</v>
      </c>
      <c r="EM20" s="231">
        <v>3927</v>
      </c>
      <c r="EN20" s="231">
        <v>68984.149999999994</v>
      </c>
      <c r="EO20" s="231">
        <v>139915.88</v>
      </c>
      <c r="EP20" s="231">
        <v>-70931.73</v>
      </c>
      <c r="EQ20" s="229">
        <v>-0.50700000000000001</v>
      </c>
      <c r="ER20" s="231">
        <v>48275</v>
      </c>
      <c r="ES20" s="231">
        <v>29885</v>
      </c>
      <c r="ET20" s="231">
        <v>287568</v>
      </c>
      <c r="EU20" s="231">
        <v>41977935</v>
      </c>
      <c r="EV20" s="231">
        <v>365728</v>
      </c>
      <c r="EW20" s="231">
        <v>365584</v>
      </c>
      <c r="EX20" s="228">
        <v>144</v>
      </c>
      <c r="EY20" s="229">
        <v>4.0000000000000002E-4</v>
      </c>
      <c r="EZ20" s="229">
        <v>0.65059999999999996</v>
      </c>
      <c r="FA20" s="227" t="s">
        <v>555</v>
      </c>
      <c r="FB20" s="161">
        <f t="shared" si="0"/>
        <v>194150</v>
      </c>
    </row>
    <row r="21" spans="1:158" ht="17.25" thickBot="1" x14ac:dyDescent="0.3">
      <c r="A21" s="226">
        <v>46121</v>
      </c>
      <c r="B21" s="227" t="s">
        <v>172</v>
      </c>
      <c r="C21" s="227" t="s">
        <v>173</v>
      </c>
      <c r="D21" s="228">
        <v>625</v>
      </c>
      <c r="E21" s="231">
        <v>1323.2</v>
      </c>
      <c r="F21" s="231">
        <v>1335.6</v>
      </c>
      <c r="G21" s="228">
        <v>-12.4</v>
      </c>
      <c r="H21" s="229">
        <v>-9.2999999999999992E-3</v>
      </c>
      <c r="I21" s="231">
        <v>1318.5</v>
      </c>
      <c r="J21" s="231">
        <v>1333</v>
      </c>
      <c r="K21" s="228">
        <v>-14.5</v>
      </c>
      <c r="L21" s="229">
        <v>-1.09E-2</v>
      </c>
      <c r="M21" s="231">
        <v>1323.2</v>
      </c>
      <c r="N21" s="231">
        <v>1335.6</v>
      </c>
      <c r="O21" s="228">
        <v>-12.4</v>
      </c>
      <c r="P21" s="229">
        <v>-9.2999999999999992E-3</v>
      </c>
      <c r="Q21" s="231">
        <v>1330.1</v>
      </c>
      <c r="R21" s="231">
        <v>1343.1</v>
      </c>
      <c r="S21" s="228">
        <v>-13</v>
      </c>
      <c r="T21" s="229">
        <v>-9.7000000000000003E-3</v>
      </c>
      <c r="U21" s="231">
        <v>1340.1</v>
      </c>
      <c r="V21" s="231">
        <v>1352.6</v>
      </c>
      <c r="W21" s="228">
        <v>-12.5</v>
      </c>
      <c r="X21" s="229">
        <v>-9.1999999999999998E-3</v>
      </c>
      <c r="Y21" s="228">
        <v>4.7</v>
      </c>
      <c r="Z21" s="228">
        <v>2.6</v>
      </c>
      <c r="AA21" s="228">
        <v>2.1</v>
      </c>
      <c r="AB21" s="229">
        <v>3.5999999999999999E-3</v>
      </c>
      <c r="AC21" s="228">
        <v>4.7</v>
      </c>
      <c r="AD21" s="228">
        <v>2.6</v>
      </c>
      <c r="AE21" s="228">
        <v>2.1</v>
      </c>
      <c r="AF21" s="229">
        <v>3.5999999999999999E-3</v>
      </c>
      <c r="AG21" s="228">
        <v>11.6</v>
      </c>
      <c r="AH21" s="228">
        <v>10.1</v>
      </c>
      <c r="AI21" s="228">
        <v>1.5</v>
      </c>
      <c r="AJ21" s="229">
        <v>8.8000000000000005E-3</v>
      </c>
      <c r="AK21" s="228">
        <v>21.6</v>
      </c>
      <c r="AL21" s="228">
        <v>19.600000000000001</v>
      </c>
      <c r="AM21" s="228">
        <v>2</v>
      </c>
      <c r="AN21" s="229">
        <v>1.6400000000000001E-2</v>
      </c>
      <c r="AO21" s="231">
        <v>1327.15</v>
      </c>
      <c r="AP21" s="231">
        <v>1334.41</v>
      </c>
      <c r="AQ21" s="228">
        <v>0</v>
      </c>
      <c r="AR21" s="230">
        <v>7267500</v>
      </c>
      <c r="AS21" s="230">
        <v>11345625</v>
      </c>
      <c r="AT21" s="230">
        <v>-4078125</v>
      </c>
      <c r="AU21" s="229">
        <v>-0.3594</v>
      </c>
      <c r="AV21" s="230">
        <v>6710000</v>
      </c>
      <c r="AW21" s="230">
        <v>10860625</v>
      </c>
      <c r="AX21" s="230">
        <v>-4150625</v>
      </c>
      <c r="AY21" s="229">
        <v>-0.38219999999999998</v>
      </c>
      <c r="AZ21" s="230">
        <v>508750</v>
      </c>
      <c r="BA21" s="230">
        <v>444375</v>
      </c>
      <c r="BB21" s="230">
        <v>64375</v>
      </c>
      <c r="BC21" s="229">
        <v>0.1449</v>
      </c>
      <c r="BD21" s="230">
        <v>48750</v>
      </c>
      <c r="BE21" s="230">
        <v>40625</v>
      </c>
      <c r="BF21" s="230">
        <v>8125</v>
      </c>
      <c r="BG21" s="229">
        <v>0.2</v>
      </c>
      <c r="BH21" s="230">
        <v>13860625</v>
      </c>
      <c r="BI21" s="230">
        <v>22636250</v>
      </c>
      <c r="BJ21" s="230">
        <v>-8775625</v>
      </c>
      <c r="BK21" s="229">
        <v>-0.38769999999999999</v>
      </c>
      <c r="BL21" s="230">
        <v>16646875</v>
      </c>
      <c r="BM21" s="230">
        <v>24055625</v>
      </c>
      <c r="BN21" s="230">
        <v>-7408750</v>
      </c>
      <c r="BO21" s="229">
        <v>-0.308</v>
      </c>
      <c r="BP21" s="230">
        <v>37775000</v>
      </c>
      <c r="BQ21" s="230">
        <v>58037500</v>
      </c>
      <c r="BR21" s="230">
        <v>-20262500</v>
      </c>
      <c r="BS21" s="229">
        <v>-0.34910000000000002</v>
      </c>
      <c r="BT21" s="230">
        <v>7607827</v>
      </c>
      <c r="BU21" s="230">
        <v>14000280</v>
      </c>
      <c r="BV21" s="230">
        <v>-6392453</v>
      </c>
      <c r="BW21" s="229">
        <v>-0.45660000000000001</v>
      </c>
      <c r="BX21" s="230">
        <v>68890000</v>
      </c>
      <c r="BY21" s="230">
        <v>68909375</v>
      </c>
      <c r="BZ21" s="230">
        <v>-19375</v>
      </c>
      <c r="CA21" s="229">
        <v>-2.9999999999999997E-4</v>
      </c>
      <c r="CB21" s="230">
        <v>54603125</v>
      </c>
      <c r="CC21" s="230">
        <v>54869375</v>
      </c>
      <c r="CD21" s="230">
        <v>-266250</v>
      </c>
      <c r="CE21" s="229">
        <v>-4.8999999999999998E-3</v>
      </c>
      <c r="CF21" s="230">
        <v>13875625</v>
      </c>
      <c r="CG21" s="230">
        <v>13654375</v>
      </c>
      <c r="CH21" s="230">
        <v>221250</v>
      </c>
      <c r="CI21" s="229">
        <v>1.6199999999999999E-2</v>
      </c>
      <c r="CJ21" s="230">
        <v>411250</v>
      </c>
      <c r="CK21" s="230">
        <v>385625</v>
      </c>
      <c r="CL21" s="230">
        <v>25625</v>
      </c>
      <c r="CM21" s="229">
        <v>6.6500000000000004E-2</v>
      </c>
      <c r="CN21" s="230">
        <v>12319375</v>
      </c>
      <c r="CO21" s="230">
        <v>11466875</v>
      </c>
      <c r="CP21" s="230">
        <v>852500</v>
      </c>
      <c r="CQ21" s="229">
        <v>7.4300000000000005E-2</v>
      </c>
      <c r="CR21" s="230">
        <v>11040000</v>
      </c>
      <c r="CS21" s="230">
        <v>11492500</v>
      </c>
      <c r="CT21" s="230">
        <v>-452500</v>
      </c>
      <c r="CU21" s="229">
        <v>-3.9399999999999998E-2</v>
      </c>
      <c r="CV21" s="230">
        <v>92249375</v>
      </c>
      <c r="CW21" s="230">
        <v>91868750</v>
      </c>
      <c r="CX21" s="230">
        <v>380625</v>
      </c>
      <c r="CY21" s="229">
        <v>4.1000000000000003E-3</v>
      </c>
      <c r="CZ21" s="228">
        <v>32.619999999999997</v>
      </c>
      <c r="DA21" s="228">
        <v>31.65</v>
      </c>
      <c r="DB21" s="228">
        <v>0.97</v>
      </c>
      <c r="DC21" s="228">
        <v>0.97</v>
      </c>
      <c r="DD21" s="228">
        <v>30.24</v>
      </c>
      <c r="DE21" s="228">
        <v>30.28</v>
      </c>
      <c r="DF21" s="228">
        <v>2.38</v>
      </c>
      <c r="DG21" s="228">
        <v>-0.04</v>
      </c>
      <c r="DH21" s="228">
        <v>30.77</v>
      </c>
      <c r="DI21" s="228">
        <v>28.98</v>
      </c>
      <c r="DJ21" s="228">
        <v>1.79</v>
      </c>
      <c r="DK21" s="228">
        <v>1.79</v>
      </c>
      <c r="DL21" s="228">
        <v>34.159999999999997</v>
      </c>
      <c r="DM21" s="228">
        <v>34.159999999999997</v>
      </c>
      <c r="DN21" s="228">
        <v>0</v>
      </c>
      <c r="DO21" s="228">
        <v>0</v>
      </c>
      <c r="DP21" s="228">
        <v>0.9</v>
      </c>
      <c r="DQ21" s="228">
        <v>1</v>
      </c>
      <c r="DR21" s="228">
        <v>-0.1</v>
      </c>
      <c r="DS21" s="229">
        <v>-0.1</v>
      </c>
      <c r="DT21" s="231">
        <v>1400</v>
      </c>
      <c r="DU21" s="231">
        <v>1300</v>
      </c>
      <c r="DV21" s="228">
        <v>1.2</v>
      </c>
      <c r="DW21" s="228">
        <v>1.06</v>
      </c>
      <c r="DX21" s="228">
        <v>0.14000000000000001</v>
      </c>
      <c r="DY21" s="229">
        <v>0.1321</v>
      </c>
      <c r="DZ21" s="229">
        <v>0.2074</v>
      </c>
      <c r="EA21" s="230">
        <v>14040000</v>
      </c>
      <c r="EB21" s="229">
        <v>5.1999999999999998E-3</v>
      </c>
      <c r="EC21" s="229">
        <v>0.2074</v>
      </c>
      <c r="ED21" s="228">
        <v>7.26</v>
      </c>
      <c r="EE21" s="229">
        <v>5.4999999999999997E-3</v>
      </c>
      <c r="EF21" s="230">
        <v>2762799</v>
      </c>
      <c r="EG21" s="230">
        <v>9170675</v>
      </c>
      <c r="EH21" s="229">
        <v>-0.69869999999999999</v>
      </c>
      <c r="EI21" s="229">
        <v>0.36320000000000002</v>
      </c>
      <c r="EJ21" s="231">
        <v>193035.58</v>
      </c>
      <c r="EK21" s="231">
        <v>212099.19</v>
      </c>
      <c r="EL21" s="231">
        <v>96494.84</v>
      </c>
      <c r="EM21" s="231">
        <v>16730</v>
      </c>
      <c r="EN21" s="231">
        <v>501629.61</v>
      </c>
      <c r="EO21" s="231">
        <v>766813.54</v>
      </c>
      <c r="EP21" s="231">
        <v>-265183.93</v>
      </c>
      <c r="EQ21" s="229">
        <v>-0.3458</v>
      </c>
      <c r="ER21" s="231">
        <v>160974</v>
      </c>
      <c r="ES21" s="231">
        <v>133922</v>
      </c>
      <c r="ET21" s="231">
        <v>912579</v>
      </c>
      <c r="EU21" s="231">
        <v>331596880</v>
      </c>
      <c r="EV21" s="231">
        <v>1207475</v>
      </c>
      <c r="EW21" s="231">
        <v>1208418</v>
      </c>
      <c r="EX21" s="228">
        <v>-943</v>
      </c>
      <c r="EY21" s="229">
        <v>-8.0000000000000004E-4</v>
      </c>
      <c r="EZ21" s="229">
        <v>0.2782</v>
      </c>
      <c r="FA21" s="227" t="s">
        <v>567</v>
      </c>
      <c r="FB21" s="161">
        <f t="shared" si="0"/>
        <v>14286875</v>
      </c>
    </row>
    <row r="22" spans="1:158" ht="17.25" thickBot="1" x14ac:dyDescent="0.3">
      <c r="A22" s="226">
        <v>46121</v>
      </c>
      <c r="B22" s="227" t="s">
        <v>162</v>
      </c>
      <c r="C22" s="227" t="s">
        <v>174</v>
      </c>
      <c r="D22" s="228">
        <v>75</v>
      </c>
      <c r="E22" s="231">
        <v>9516.5</v>
      </c>
      <c r="F22" s="231">
        <v>9381</v>
      </c>
      <c r="G22" s="228">
        <v>135.5</v>
      </c>
      <c r="H22" s="229">
        <v>1.44E-2</v>
      </c>
      <c r="I22" s="231">
        <v>9517</v>
      </c>
      <c r="J22" s="231">
        <v>9366</v>
      </c>
      <c r="K22" s="228">
        <v>151</v>
      </c>
      <c r="L22" s="229">
        <v>1.61E-2</v>
      </c>
      <c r="M22" s="231">
        <v>9516.5</v>
      </c>
      <c r="N22" s="231">
        <v>9381</v>
      </c>
      <c r="O22" s="228">
        <v>135.5</v>
      </c>
      <c r="P22" s="229">
        <v>1.44E-2</v>
      </c>
      <c r="Q22" s="231">
        <v>9521</v>
      </c>
      <c r="R22" s="231">
        <v>9390</v>
      </c>
      <c r="S22" s="228">
        <v>131</v>
      </c>
      <c r="T22" s="229">
        <v>1.4E-2</v>
      </c>
      <c r="U22" s="231">
        <v>9500.5</v>
      </c>
      <c r="V22" s="231">
        <v>9387</v>
      </c>
      <c r="W22" s="228">
        <v>113.5</v>
      </c>
      <c r="X22" s="229">
        <v>1.21E-2</v>
      </c>
      <c r="Y22" s="228">
        <v>-0.5</v>
      </c>
      <c r="Z22" s="228">
        <v>15</v>
      </c>
      <c r="AA22" s="228">
        <v>-15.5</v>
      </c>
      <c r="AB22" s="229">
        <v>-1E-4</v>
      </c>
      <c r="AC22" s="228">
        <v>-0.5</v>
      </c>
      <c r="AD22" s="228">
        <v>15</v>
      </c>
      <c r="AE22" s="228">
        <v>-15.5</v>
      </c>
      <c r="AF22" s="229">
        <v>-1E-4</v>
      </c>
      <c r="AG22" s="228">
        <v>4</v>
      </c>
      <c r="AH22" s="228">
        <v>24</v>
      </c>
      <c r="AI22" s="228">
        <v>-20</v>
      </c>
      <c r="AJ22" s="229">
        <v>4.0000000000000002E-4</v>
      </c>
      <c r="AK22" s="228">
        <v>-16.5</v>
      </c>
      <c r="AL22" s="228">
        <v>21</v>
      </c>
      <c r="AM22" s="228">
        <v>-37.5</v>
      </c>
      <c r="AN22" s="229">
        <v>-1.6999999999999999E-3</v>
      </c>
      <c r="AO22" s="231">
        <v>9508.73</v>
      </c>
      <c r="AP22" s="231">
        <v>9492.99</v>
      </c>
      <c r="AQ22" s="228">
        <v>0</v>
      </c>
      <c r="AR22" s="230">
        <v>501975</v>
      </c>
      <c r="AS22" s="230">
        <v>393900</v>
      </c>
      <c r="AT22" s="230">
        <v>108075</v>
      </c>
      <c r="AU22" s="229">
        <v>0.27439999999999998</v>
      </c>
      <c r="AV22" s="230">
        <v>453600</v>
      </c>
      <c r="AW22" s="230">
        <v>378600</v>
      </c>
      <c r="AX22" s="230">
        <v>75000</v>
      </c>
      <c r="AY22" s="229">
        <v>0.1981</v>
      </c>
      <c r="AZ22" s="230">
        <v>43650</v>
      </c>
      <c r="BA22" s="230">
        <v>13800</v>
      </c>
      <c r="BB22" s="230">
        <v>29850</v>
      </c>
      <c r="BC22" s="229">
        <v>2.1629999999999998</v>
      </c>
      <c r="BD22" s="230">
        <v>4725</v>
      </c>
      <c r="BE22" s="230">
        <v>1500</v>
      </c>
      <c r="BF22" s="230">
        <v>3225</v>
      </c>
      <c r="BG22" s="229">
        <v>2.15</v>
      </c>
      <c r="BH22" s="230">
        <v>4027875</v>
      </c>
      <c r="BI22" s="230">
        <v>1536750</v>
      </c>
      <c r="BJ22" s="230">
        <v>2491125</v>
      </c>
      <c r="BK22" s="229">
        <v>1.621</v>
      </c>
      <c r="BL22" s="230">
        <v>1704300</v>
      </c>
      <c r="BM22" s="230">
        <v>907275</v>
      </c>
      <c r="BN22" s="230">
        <v>797025</v>
      </c>
      <c r="BO22" s="229">
        <v>0.87849999999999995</v>
      </c>
      <c r="BP22" s="230">
        <v>6234150</v>
      </c>
      <c r="BQ22" s="230">
        <v>2837925</v>
      </c>
      <c r="BR22" s="230">
        <v>3396225</v>
      </c>
      <c r="BS22" s="229">
        <v>1.1967000000000001</v>
      </c>
      <c r="BT22" s="230">
        <v>569829</v>
      </c>
      <c r="BU22" s="230">
        <v>483666</v>
      </c>
      <c r="BV22" s="230">
        <v>86163</v>
      </c>
      <c r="BW22" s="229">
        <v>0.17810000000000001</v>
      </c>
      <c r="BX22" s="230">
        <v>3323325</v>
      </c>
      <c r="BY22" s="230">
        <v>3285750</v>
      </c>
      <c r="BZ22" s="230">
        <v>37575</v>
      </c>
      <c r="CA22" s="229">
        <v>1.14E-2</v>
      </c>
      <c r="CB22" s="230">
        <v>3249300</v>
      </c>
      <c r="CC22" s="230">
        <v>3230100</v>
      </c>
      <c r="CD22" s="230">
        <v>19200</v>
      </c>
      <c r="CE22" s="229">
        <v>5.8999999999999999E-3</v>
      </c>
      <c r="CF22" s="230">
        <v>60975</v>
      </c>
      <c r="CG22" s="230">
        <v>43800</v>
      </c>
      <c r="CH22" s="230">
        <v>17175</v>
      </c>
      <c r="CI22" s="229">
        <v>0.3921</v>
      </c>
      <c r="CJ22" s="230">
        <v>13050</v>
      </c>
      <c r="CK22" s="230">
        <v>11850</v>
      </c>
      <c r="CL22" s="230">
        <v>1200</v>
      </c>
      <c r="CM22" s="229">
        <v>0.1013</v>
      </c>
      <c r="CN22" s="230">
        <v>835650</v>
      </c>
      <c r="CO22" s="230">
        <v>719250</v>
      </c>
      <c r="CP22" s="230">
        <v>116400</v>
      </c>
      <c r="CQ22" s="229">
        <v>0.1618</v>
      </c>
      <c r="CR22" s="230">
        <v>736950</v>
      </c>
      <c r="CS22" s="230">
        <v>632550</v>
      </c>
      <c r="CT22" s="230">
        <v>104400</v>
      </c>
      <c r="CU22" s="229">
        <v>0.16500000000000001</v>
      </c>
      <c r="CV22" s="230">
        <v>4895925</v>
      </c>
      <c r="CW22" s="230">
        <v>4637550</v>
      </c>
      <c r="CX22" s="230">
        <v>258375</v>
      </c>
      <c r="CY22" s="229">
        <v>5.57E-2</v>
      </c>
      <c r="CZ22" s="228">
        <v>28.96</v>
      </c>
      <c r="DA22" s="228">
        <v>28.52</v>
      </c>
      <c r="DB22" s="228">
        <v>0.44</v>
      </c>
      <c r="DC22" s="228">
        <v>0.44</v>
      </c>
      <c r="DD22" s="228">
        <v>29.75</v>
      </c>
      <c r="DE22" s="228">
        <v>29.74</v>
      </c>
      <c r="DF22" s="228">
        <v>-0.79</v>
      </c>
      <c r="DG22" s="228">
        <v>0.01</v>
      </c>
      <c r="DH22" s="228">
        <v>28.18</v>
      </c>
      <c r="DI22" s="228">
        <v>27.26</v>
      </c>
      <c r="DJ22" s="228">
        <v>0.92</v>
      </c>
      <c r="DK22" s="228">
        <v>0.92</v>
      </c>
      <c r="DL22" s="228">
        <v>30.8</v>
      </c>
      <c r="DM22" s="228">
        <v>30.65</v>
      </c>
      <c r="DN22" s="228">
        <v>0.15</v>
      </c>
      <c r="DO22" s="228">
        <v>0.15</v>
      </c>
      <c r="DP22" s="228">
        <v>0.88</v>
      </c>
      <c r="DQ22" s="228">
        <v>0.88</v>
      </c>
      <c r="DR22" s="228">
        <v>0</v>
      </c>
      <c r="DS22" s="229">
        <v>0</v>
      </c>
      <c r="DT22" s="231">
        <v>9000</v>
      </c>
      <c r="DU22" s="231">
        <v>8000</v>
      </c>
      <c r="DV22" s="228">
        <v>0.42</v>
      </c>
      <c r="DW22" s="228">
        <v>0.59</v>
      </c>
      <c r="DX22" s="228">
        <v>-0.17</v>
      </c>
      <c r="DY22" s="229">
        <v>-0.28810000000000002</v>
      </c>
      <c r="DZ22" s="229">
        <v>2.23E-2</v>
      </c>
      <c r="EA22" s="230">
        <v>55650</v>
      </c>
      <c r="EB22" s="229">
        <v>5.0000000000000001E-4</v>
      </c>
      <c r="EC22" s="229">
        <v>2.23E-2</v>
      </c>
      <c r="ED22" s="228">
        <v>-15.74</v>
      </c>
      <c r="EE22" s="229">
        <v>-1.6999999999999999E-3</v>
      </c>
      <c r="EF22" s="230">
        <v>166360</v>
      </c>
      <c r="EG22" s="230">
        <v>277367</v>
      </c>
      <c r="EH22" s="229">
        <v>-0.4002</v>
      </c>
      <c r="EI22" s="229">
        <v>0.29189999999999999</v>
      </c>
      <c r="EJ22" s="231">
        <v>402344.37</v>
      </c>
      <c r="EK22" s="231">
        <v>157802.4</v>
      </c>
      <c r="EL22" s="231">
        <v>47724.39</v>
      </c>
      <c r="EM22" s="231">
        <v>4846</v>
      </c>
      <c r="EN22" s="231">
        <v>607871.16</v>
      </c>
      <c r="EO22" s="231">
        <v>270399.21000000002</v>
      </c>
      <c r="EP22" s="231">
        <v>337471.95</v>
      </c>
      <c r="EQ22" s="229">
        <v>1.2481</v>
      </c>
      <c r="ER22" s="231">
        <v>80441</v>
      </c>
      <c r="ES22" s="231">
        <v>64358</v>
      </c>
      <c r="ET22" s="231">
        <v>316265</v>
      </c>
      <c r="EU22" s="231">
        <v>12553818</v>
      </c>
      <c r="EV22" s="231">
        <v>461064</v>
      </c>
      <c r="EW22" s="231">
        <v>431793</v>
      </c>
      <c r="EX22" s="231">
        <v>29271</v>
      </c>
      <c r="EY22" s="229">
        <v>6.7799999999999999E-2</v>
      </c>
      <c r="EZ22" s="229">
        <v>0.39</v>
      </c>
      <c r="FA22" s="227" t="s">
        <v>555</v>
      </c>
      <c r="FB22" s="161">
        <f t="shared" si="0"/>
        <v>74025</v>
      </c>
    </row>
    <row r="23" spans="1:158" ht="17.25" thickBot="1" x14ac:dyDescent="0.3">
      <c r="A23" s="226">
        <v>46121</v>
      </c>
      <c r="B23" s="227" t="s">
        <v>175</v>
      </c>
      <c r="C23" s="227" t="s">
        <v>176</v>
      </c>
      <c r="D23" s="228">
        <v>250</v>
      </c>
      <c r="E23" s="231">
        <v>1773.5</v>
      </c>
      <c r="F23" s="231">
        <v>1793.7</v>
      </c>
      <c r="G23" s="228">
        <v>-20.2</v>
      </c>
      <c r="H23" s="229">
        <v>-1.1299999999999999E-2</v>
      </c>
      <c r="I23" s="231">
        <v>1767.7</v>
      </c>
      <c r="J23" s="231">
        <v>1784.6</v>
      </c>
      <c r="K23" s="228">
        <v>-16.899999999999999</v>
      </c>
      <c r="L23" s="229">
        <v>-9.4999999999999998E-3</v>
      </c>
      <c r="M23" s="231">
        <v>1773.5</v>
      </c>
      <c r="N23" s="231">
        <v>1793.7</v>
      </c>
      <c r="O23" s="228">
        <v>-20.2</v>
      </c>
      <c r="P23" s="229">
        <v>-1.1299999999999999E-2</v>
      </c>
      <c r="Q23" s="231">
        <v>1784.6</v>
      </c>
      <c r="R23" s="231">
        <v>1803.3</v>
      </c>
      <c r="S23" s="228">
        <v>-18.7</v>
      </c>
      <c r="T23" s="229">
        <v>-1.04E-2</v>
      </c>
      <c r="U23" s="231">
        <v>1785</v>
      </c>
      <c r="V23" s="231">
        <v>1814.7</v>
      </c>
      <c r="W23" s="228">
        <v>-29.7</v>
      </c>
      <c r="X23" s="229">
        <v>-1.6400000000000001E-2</v>
      </c>
      <c r="Y23" s="228">
        <v>5.8</v>
      </c>
      <c r="Z23" s="228">
        <v>9.1</v>
      </c>
      <c r="AA23" s="228">
        <v>-3.3</v>
      </c>
      <c r="AB23" s="229">
        <v>3.3E-3</v>
      </c>
      <c r="AC23" s="228">
        <v>5.8</v>
      </c>
      <c r="AD23" s="228">
        <v>9.1</v>
      </c>
      <c r="AE23" s="228">
        <v>-3.3</v>
      </c>
      <c r="AF23" s="229">
        <v>3.3E-3</v>
      </c>
      <c r="AG23" s="228">
        <v>16.899999999999999</v>
      </c>
      <c r="AH23" s="228">
        <v>18.7</v>
      </c>
      <c r="AI23" s="228">
        <v>-1.8</v>
      </c>
      <c r="AJ23" s="229">
        <v>9.5999999999999992E-3</v>
      </c>
      <c r="AK23" s="228">
        <v>17.3</v>
      </c>
      <c r="AL23" s="228">
        <v>30.1</v>
      </c>
      <c r="AM23" s="228">
        <v>-12.8</v>
      </c>
      <c r="AN23" s="229">
        <v>9.7999999999999997E-3</v>
      </c>
      <c r="AO23" s="231">
        <v>1779.28</v>
      </c>
      <c r="AP23" s="231">
        <v>1790.06</v>
      </c>
      <c r="AQ23" s="228">
        <v>0</v>
      </c>
      <c r="AR23" s="230">
        <v>725750</v>
      </c>
      <c r="AS23" s="230">
        <v>1652000</v>
      </c>
      <c r="AT23" s="230">
        <v>-926250</v>
      </c>
      <c r="AU23" s="229">
        <v>-0.56069999999999998</v>
      </c>
      <c r="AV23" s="230">
        <v>662500</v>
      </c>
      <c r="AW23" s="230">
        <v>1510250</v>
      </c>
      <c r="AX23" s="230">
        <v>-847750</v>
      </c>
      <c r="AY23" s="229">
        <v>-0.56130000000000002</v>
      </c>
      <c r="AZ23" s="230">
        <v>57250</v>
      </c>
      <c r="BA23" s="230">
        <v>128750</v>
      </c>
      <c r="BB23" s="230">
        <v>-71500</v>
      </c>
      <c r="BC23" s="229">
        <v>-0.55530000000000002</v>
      </c>
      <c r="BD23" s="230">
        <v>6000</v>
      </c>
      <c r="BE23" s="230">
        <v>13000</v>
      </c>
      <c r="BF23" s="230">
        <v>-7000</v>
      </c>
      <c r="BG23" s="229">
        <v>-0.53849999999999998</v>
      </c>
      <c r="BH23" s="230">
        <v>2022500</v>
      </c>
      <c r="BI23" s="230">
        <v>4774250</v>
      </c>
      <c r="BJ23" s="230">
        <v>-2751750</v>
      </c>
      <c r="BK23" s="229">
        <v>-0.57640000000000002</v>
      </c>
      <c r="BL23" s="230">
        <v>1874000</v>
      </c>
      <c r="BM23" s="230">
        <v>2805750</v>
      </c>
      <c r="BN23" s="230">
        <v>-931750</v>
      </c>
      <c r="BO23" s="229">
        <v>-0.33210000000000001</v>
      </c>
      <c r="BP23" s="230">
        <v>4622250</v>
      </c>
      <c r="BQ23" s="230">
        <v>9232000</v>
      </c>
      <c r="BR23" s="230">
        <v>-4609750</v>
      </c>
      <c r="BS23" s="229">
        <v>-0.49930000000000002</v>
      </c>
      <c r="BT23" s="230">
        <v>1562184</v>
      </c>
      <c r="BU23" s="230">
        <v>2126627</v>
      </c>
      <c r="BV23" s="230">
        <v>-564443</v>
      </c>
      <c r="BW23" s="229">
        <v>-0.26540000000000002</v>
      </c>
      <c r="BX23" s="230">
        <v>11751750</v>
      </c>
      <c r="BY23" s="230">
        <v>11627500</v>
      </c>
      <c r="BZ23" s="230">
        <v>124250</v>
      </c>
      <c r="CA23" s="229">
        <v>1.0699999999999999E-2</v>
      </c>
      <c r="CB23" s="230">
        <v>10101750</v>
      </c>
      <c r="CC23" s="230">
        <v>9999250</v>
      </c>
      <c r="CD23" s="230">
        <v>102500</v>
      </c>
      <c r="CE23" s="229">
        <v>1.03E-2</v>
      </c>
      <c r="CF23" s="230">
        <v>1588250</v>
      </c>
      <c r="CG23" s="230">
        <v>1567000</v>
      </c>
      <c r="CH23" s="230">
        <v>21250</v>
      </c>
      <c r="CI23" s="229">
        <v>1.3599999999999999E-2</v>
      </c>
      <c r="CJ23" s="230">
        <v>61750</v>
      </c>
      <c r="CK23" s="230">
        <v>61250</v>
      </c>
      <c r="CL23" s="228">
        <v>500</v>
      </c>
      <c r="CM23" s="229">
        <v>8.2000000000000007E-3</v>
      </c>
      <c r="CN23" s="230">
        <v>3050250</v>
      </c>
      <c r="CO23" s="230">
        <v>2976750</v>
      </c>
      <c r="CP23" s="230">
        <v>73500</v>
      </c>
      <c r="CQ23" s="229">
        <v>2.47E-2</v>
      </c>
      <c r="CR23" s="230">
        <v>3356000</v>
      </c>
      <c r="CS23" s="230">
        <v>3002750</v>
      </c>
      <c r="CT23" s="230">
        <v>353250</v>
      </c>
      <c r="CU23" s="229">
        <v>0.1176</v>
      </c>
      <c r="CV23" s="230">
        <v>18158000</v>
      </c>
      <c r="CW23" s="230">
        <v>17607000</v>
      </c>
      <c r="CX23" s="230">
        <v>551000</v>
      </c>
      <c r="CY23" s="229">
        <v>3.1300000000000001E-2</v>
      </c>
      <c r="CZ23" s="228">
        <v>29.24</v>
      </c>
      <c r="DA23" s="228">
        <v>29.43</v>
      </c>
      <c r="DB23" s="228">
        <v>-0.19</v>
      </c>
      <c r="DC23" s="228">
        <v>-0.19</v>
      </c>
      <c r="DD23" s="228">
        <v>30.65</v>
      </c>
      <c r="DE23" s="228">
        <v>30.69</v>
      </c>
      <c r="DF23" s="228">
        <v>-1.41</v>
      </c>
      <c r="DG23" s="228">
        <v>-0.04</v>
      </c>
      <c r="DH23" s="228">
        <v>28.43</v>
      </c>
      <c r="DI23" s="228">
        <v>28.12</v>
      </c>
      <c r="DJ23" s="228">
        <v>0.31</v>
      </c>
      <c r="DK23" s="228">
        <v>0.31</v>
      </c>
      <c r="DL23" s="228">
        <v>30.11</v>
      </c>
      <c r="DM23" s="228">
        <v>31.65</v>
      </c>
      <c r="DN23" s="228">
        <v>-1.54</v>
      </c>
      <c r="DO23" s="228">
        <v>-1.54</v>
      </c>
      <c r="DP23" s="228">
        <v>1.1000000000000001</v>
      </c>
      <c r="DQ23" s="228">
        <v>1.01</v>
      </c>
      <c r="DR23" s="228">
        <v>0.09</v>
      </c>
      <c r="DS23" s="229">
        <v>8.9099999999999999E-2</v>
      </c>
      <c r="DT23" s="231">
        <v>1760</v>
      </c>
      <c r="DU23" s="231">
        <v>1620</v>
      </c>
      <c r="DV23" s="228">
        <v>0.93</v>
      </c>
      <c r="DW23" s="228">
        <v>0.59</v>
      </c>
      <c r="DX23" s="228">
        <v>0.34</v>
      </c>
      <c r="DY23" s="229">
        <v>0.57630000000000003</v>
      </c>
      <c r="DZ23" s="229">
        <v>0.1404</v>
      </c>
      <c r="EA23" s="230">
        <v>1628250</v>
      </c>
      <c r="EB23" s="229">
        <v>6.3E-3</v>
      </c>
      <c r="EC23" s="229">
        <v>0.1404</v>
      </c>
      <c r="ED23" s="228">
        <v>10.78</v>
      </c>
      <c r="EE23" s="229">
        <v>6.1000000000000004E-3</v>
      </c>
      <c r="EF23" s="230">
        <v>885984</v>
      </c>
      <c r="EG23" s="230">
        <v>1058316</v>
      </c>
      <c r="EH23" s="229">
        <v>-0.1628</v>
      </c>
      <c r="EI23" s="229">
        <v>0.56710000000000005</v>
      </c>
      <c r="EJ23" s="231">
        <v>37770.51</v>
      </c>
      <c r="EK23" s="231">
        <v>32788.21</v>
      </c>
      <c r="EL23" s="231">
        <v>12920.46</v>
      </c>
      <c r="EM23" s="231">
        <v>5032</v>
      </c>
      <c r="EN23" s="231">
        <v>83479.179999999993</v>
      </c>
      <c r="EO23" s="231">
        <v>167834.63</v>
      </c>
      <c r="EP23" s="231">
        <v>-84355.45</v>
      </c>
      <c r="EQ23" s="229">
        <v>-0.50260000000000005</v>
      </c>
      <c r="ER23" s="231">
        <v>54988</v>
      </c>
      <c r="ES23" s="231">
        <v>56489</v>
      </c>
      <c r="ET23" s="231">
        <v>208601</v>
      </c>
      <c r="EU23" s="231">
        <v>65784745</v>
      </c>
      <c r="EV23" s="231">
        <v>320078</v>
      </c>
      <c r="EW23" s="231">
        <v>312687</v>
      </c>
      <c r="EX23" s="231">
        <v>7391</v>
      </c>
      <c r="EY23" s="229">
        <v>2.3599999999999999E-2</v>
      </c>
      <c r="EZ23" s="229">
        <v>0.27600000000000002</v>
      </c>
      <c r="FA23" s="227" t="s">
        <v>566</v>
      </c>
      <c r="FB23" s="161">
        <f t="shared" si="0"/>
        <v>1650000</v>
      </c>
    </row>
    <row r="24" spans="1:158" ht="17.25" thickBot="1" x14ac:dyDescent="0.3">
      <c r="A24" s="226">
        <v>46121</v>
      </c>
      <c r="B24" s="227" t="s">
        <v>175</v>
      </c>
      <c r="C24" s="227" t="s">
        <v>689</v>
      </c>
      <c r="D24" s="228">
        <v>50</v>
      </c>
      <c r="E24" s="231">
        <v>9933</v>
      </c>
      <c r="F24" s="231">
        <v>10025</v>
      </c>
      <c r="G24" s="228">
        <v>-92</v>
      </c>
      <c r="H24" s="229">
        <v>-9.1999999999999998E-3</v>
      </c>
      <c r="I24" s="231">
        <v>9912.5</v>
      </c>
      <c r="J24" s="231">
        <v>9970</v>
      </c>
      <c r="K24" s="228">
        <v>-57.5</v>
      </c>
      <c r="L24" s="229">
        <v>-5.7999999999999996E-3</v>
      </c>
      <c r="M24" s="231">
        <v>9933</v>
      </c>
      <c r="N24" s="231">
        <v>10025</v>
      </c>
      <c r="O24" s="228">
        <v>-92</v>
      </c>
      <c r="P24" s="229">
        <v>-9.1999999999999998E-3</v>
      </c>
      <c r="Q24" s="231">
        <v>9987.5</v>
      </c>
      <c r="R24" s="231">
        <v>10077.5</v>
      </c>
      <c r="S24" s="228">
        <v>-90</v>
      </c>
      <c r="T24" s="229">
        <v>-8.8999999999999999E-3</v>
      </c>
      <c r="U24" s="231">
        <v>8906</v>
      </c>
      <c r="V24" s="231">
        <v>8906</v>
      </c>
      <c r="W24" s="228">
        <v>0</v>
      </c>
      <c r="X24" s="229">
        <v>0</v>
      </c>
      <c r="Y24" s="228">
        <v>20.5</v>
      </c>
      <c r="Z24" s="228">
        <v>55</v>
      </c>
      <c r="AA24" s="228">
        <v>-34.5</v>
      </c>
      <c r="AB24" s="229">
        <v>2.0999999999999999E-3</v>
      </c>
      <c r="AC24" s="228">
        <v>20.5</v>
      </c>
      <c r="AD24" s="228">
        <v>55</v>
      </c>
      <c r="AE24" s="228">
        <v>-34.5</v>
      </c>
      <c r="AF24" s="229">
        <v>2.0999999999999999E-3</v>
      </c>
      <c r="AG24" s="228">
        <v>75</v>
      </c>
      <c r="AH24" s="228">
        <v>107.5</v>
      </c>
      <c r="AI24" s="228">
        <v>-32.5</v>
      </c>
      <c r="AJ24" s="229">
        <v>7.6E-3</v>
      </c>
      <c r="AK24" s="231">
        <v>-1006.5</v>
      </c>
      <c r="AL24" s="231">
        <v>-1064</v>
      </c>
      <c r="AM24" s="228">
        <v>57.5</v>
      </c>
      <c r="AN24" s="229">
        <v>-0.10150000000000001</v>
      </c>
      <c r="AO24" s="231">
        <v>9977.5</v>
      </c>
      <c r="AP24" s="231">
        <v>10038.719999999999</v>
      </c>
      <c r="AQ24" s="228">
        <v>0</v>
      </c>
      <c r="AR24" s="230">
        <v>35500</v>
      </c>
      <c r="AS24" s="230">
        <v>56250</v>
      </c>
      <c r="AT24" s="230">
        <v>-20750</v>
      </c>
      <c r="AU24" s="229">
        <v>-0.36890000000000001</v>
      </c>
      <c r="AV24" s="230">
        <v>31600</v>
      </c>
      <c r="AW24" s="230">
        <v>51250</v>
      </c>
      <c r="AX24" s="230">
        <v>-19650</v>
      </c>
      <c r="AY24" s="229">
        <v>-0.38340000000000002</v>
      </c>
      <c r="AZ24" s="230">
        <v>3900</v>
      </c>
      <c r="BA24" s="230">
        <v>5000</v>
      </c>
      <c r="BB24" s="230">
        <v>-1100</v>
      </c>
      <c r="BC24" s="229">
        <v>-0.22</v>
      </c>
      <c r="BD24" s="228">
        <v>0</v>
      </c>
      <c r="BE24" s="228">
        <v>0</v>
      </c>
      <c r="BF24" s="228">
        <v>0</v>
      </c>
      <c r="BG24" s="229">
        <v>0</v>
      </c>
      <c r="BH24" s="230">
        <v>26000</v>
      </c>
      <c r="BI24" s="230">
        <v>78150</v>
      </c>
      <c r="BJ24" s="230">
        <v>-52150</v>
      </c>
      <c r="BK24" s="229">
        <v>-0.6673</v>
      </c>
      <c r="BL24" s="230">
        <v>11700</v>
      </c>
      <c r="BM24" s="230">
        <v>20500</v>
      </c>
      <c r="BN24" s="230">
        <v>-8800</v>
      </c>
      <c r="BO24" s="229">
        <v>-0.42930000000000001</v>
      </c>
      <c r="BP24" s="230">
        <v>73200</v>
      </c>
      <c r="BQ24" s="230">
        <v>154900</v>
      </c>
      <c r="BR24" s="230">
        <v>-81700</v>
      </c>
      <c r="BS24" s="229">
        <v>-0.52739999999999998</v>
      </c>
      <c r="BT24" s="230">
        <v>57096</v>
      </c>
      <c r="BU24" s="230">
        <v>105537</v>
      </c>
      <c r="BV24" s="230">
        <v>-48441</v>
      </c>
      <c r="BW24" s="229">
        <v>-0.45900000000000002</v>
      </c>
      <c r="BX24" s="230">
        <v>283750</v>
      </c>
      <c r="BY24" s="230">
        <v>275650</v>
      </c>
      <c r="BZ24" s="230">
        <v>8100</v>
      </c>
      <c r="CA24" s="229">
        <v>2.9399999999999999E-2</v>
      </c>
      <c r="CB24" s="230">
        <v>251700</v>
      </c>
      <c r="CC24" s="230">
        <v>244200</v>
      </c>
      <c r="CD24" s="230">
        <v>7500</v>
      </c>
      <c r="CE24" s="229">
        <v>3.0700000000000002E-2</v>
      </c>
      <c r="CF24" s="230">
        <v>31850</v>
      </c>
      <c r="CG24" s="230">
        <v>31250</v>
      </c>
      <c r="CH24" s="228">
        <v>600</v>
      </c>
      <c r="CI24" s="229">
        <v>1.9199999999999998E-2</v>
      </c>
      <c r="CJ24" s="228">
        <v>200</v>
      </c>
      <c r="CK24" s="228">
        <v>200</v>
      </c>
      <c r="CL24" s="228">
        <v>0</v>
      </c>
      <c r="CM24" s="229">
        <v>0</v>
      </c>
      <c r="CN24" s="230">
        <v>51000</v>
      </c>
      <c r="CO24" s="230">
        <v>47500</v>
      </c>
      <c r="CP24" s="230">
        <v>3500</v>
      </c>
      <c r="CQ24" s="229">
        <v>7.3700000000000002E-2</v>
      </c>
      <c r="CR24" s="230">
        <v>34050</v>
      </c>
      <c r="CS24" s="230">
        <v>32050</v>
      </c>
      <c r="CT24" s="230">
        <v>2000</v>
      </c>
      <c r="CU24" s="229">
        <v>6.2399999999999997E-2</v>
      </c>
      <c r="CV24" s="230">
        <v>368800</v>
      </c>
      <c r="CW24" s="230">
        <v>355200</v>
      </c>
      <c r="CX24" s="230">
        <v>13600</v>
      </c>
      <c r="CY24" s="229">
        <v>3.8300000000000001E-2</v>
      </c>
      <c r="CZ24" s="228">
        <v>38.72</v>
      </c>
      <c r="DA24" s="228">
        <v>35.99</v>
      </c>
      <c r="DB24" s="228">
        <v>2.73</v>
      </c>
      <c r="DC24" s="228">
        <v>2.73</v>
      </c>
      <c r="DD24" s="228">
        <v>39.26</v>
      </c>
      <c r="DE24" s="228">
        <v>39.340000000000003</v>
      </c>
      <c r="DF24" s="228">
        <v>-0.54</v>
      </c>
      <c r="DG24" s="228">
        <v>-0.08</v>
      </c>
      <c r="DH24" s="228">
        <v>37.93</v>
      </c>
      <c r="DI24" s="228">
        <v>34.520000000000003</v>
      </c>
      <c r="DJ24" s="228">
        <v>3.41</v>
      </c>
      <c r="DK24" s="228">
        <v>3.41</v>
      </c>
      <c r="DL24" s="228">
        <v>40.479999999999997</v>
      </c>
      <c r="DM24" s="228">
        <v>41.6</v>
      </c>
      <c r="DN24" s="228">
        <v>-1.1200000000000001</v>
      </c>
      <c r="DO24" s="228">
        <v>-1.1200000000000001</v>
      </c>
      <c r="DP24" s="228">
        <v>0.67</v>
      </c>
      <c r="DQ24" s="228">
        <v>0.67</v>
      </c>
      <c r="DR24" s="228">
        <v>0</v>
      </c>
      <c r="DS24" s="229">
        <v>0</v>
      </c>
      <c r="DT24" s="231">
        <v>10000</v>
      </c>
      <c r="DU24" s="231">
        <v>8500</v>
      </c>
      <c r="DV24" s="228">
        <v>0.45</v>
      </c>
      <c r="DW24" s="228">
        <v>0.26</v>
      </c>
      <c r="DX24" s="228">
        <v>0.19</v>
      </c>
      <c r="DY24" s="229">
        <v>0.73080000000000001</v>
      </c>
      <c r="DZ24" s="229">
        <v>0.113</v>
      </c>
      <c r="EA24" s="230">
        <v>31450</v>
      </c>
      <c r="EB24" s="229">
        <v>5.4999999999999997E-3</v>
      </c>
      <c r="EC24" s="229">
        <v>0.113</v>
      </c>
      <c r="ED24" s="228">
        <v>61.22</v>
      </c>
      <c r="EE24" s="229">
        <v>6.1000000000000004E-3</v>
      </c>
      <c r="EF24" s="230">
        <v>26589</v>
      </c>
      <c r="EG24" s="230">
        <v>50605</v>
      </c>
      <c r="EH24" s="229">
        <v>-0.47460000000000002</v>
      </c>
      <c r="EI24" s="229">
        <v>0.4657</v>
      </c>
      <c r="EJ24" s="231">
        <v>2761.21</v>
      </c>
      <c r="EK24" s="231">
        <v>1100.07</v>
      </c>
      <c r="EL24" s="231">
        <v>3544.4</v>
      </c>
      <c r="EM24" s="228">
        <v>835</v>
      </c>
      <c r="EN24" s="231">
        <v>7405.68</v>
      </c>
      <c r="EO24" s="231">
        <v>15622.73</v>
      </c>
      <c r="EP24" s="231">
        <v>-8217.0499999999993</v>
      </c>
      <c r="EQ24" s="229">
        <v>-0.52600000000000002</v>
      </c>
      <c r="ER24" s="231">
        <v>5079</v>
      </c>
      <c r="ES24" s="231">
        <v>3069</v>
      </c>
      <c r="ET24" s="231">
        <v>28200</v>
      </c>
      <c r="EU24" s="231">
        <v>5401993</v>
      </c>
      <c r="EV24" s="231">
        <v>36348</v>
      </c>
      <c r="EW24" s="231">
        <v>35218</v>
      </c>
      <c r="EX24" s="231">
        <v>1130</v>
      </c>
      <c r="EY24" s="229">
        <v>3.2099999999999997E-2</v>
      </c>
      <c r="EZ24" s="229">
        <v>6.83E-2</v>
      </c>
      <c r="FA24" s="227" t="s">
        <v>566</v>
      </c>
      <c r="FB24" s="161">
        <f t="shared" si="0"/>
        <v>32050</v>
      </c>
    </row>
    <row r="25" spans="1:158" ht="17.25" thickBot="1" x14ac:dyDescent="0.3">
      <c r="A25" s="226">
        <v>46121</v>
      </c>
      <c r="B25" s="227" t="s">
        <v>175</v>
      </c>
      <c r="C25" s="227" t="s">
        <v>177</v>
      </c>
      <c r="D25" s="228">
        <v>750</v>
      </c>
      <c r="E25" s="228">
        <v>904.25</v>
      </c>
      <c r="F25" s="228">
        <v>916.6</v>
      </c>
      <c r="G25" s="228">
        <v>-12.35</v>
      </c>
      <c r="H25" s="229">
        <v>-1.35E-2</v>
      </c>
      <c r="I25" s="228">
        <v>903.25</v>
      </c>
      <c r="J25" s="228">
        <v>915.05</v>
      </c>
      <c r="K25" s="228">
        <v>-11.8</v>
      </c>
      <c r="L25" s="229">
        <v>-1.29E-2</v>
      </c>
      <c r="M25" s="228">
        <v>904.25</v>
      </c>
      <c r="N25" s="228">
        <v>916.6</v>
      </c>
      <c r="O25" s="228">
        <v>-12.35</v>
      </c>
      <c r="P25" s="229">
        <v>-1.35E-2</v>
      </c>
      <c r="Q25" s="228">
        <v>908.35</v>
      </c>
      <c r="R25" s="228">
        <v>921.45</v>
      </c>
      <c r="S25" s="228">
        <v>-13.1</v>
      </c>
      <c r="T25" s="229">
        <v>-1.4200000000000001E-2</v>
      </c>
      <c r="U25" s="228">
        <v>911.7</v>
      </c>
      <c r="V25" s="228">
        <v>925</v>
      </c>
      <c r="W25" s="228">
        <v>-13.3</v>
      </c>
      <c r="X25" s="229">
        <v>-1.44E-2</v>
      </c>
      <c r="Y25" s="228">
        <v>1</v>
      </c>
      <c r="Z25" s="228">
        <v>1.55</v>
      </c>
      <c r="AA25" s="228">
        <v>-0.55000000000000004</v>
      </c>
      <c r="AB25" s="229">
        <v>1.1000000000000001E-3</v>
      </c>
      <c r="AC25" s="228">
        <v>1</v>
      </c>
      <c r="AD25" s="228">
        <v>1.55</v>
      </c>
      <c r="AE25" s="228">
        <v>-0.55000000000000004</v>
      </c>
      <c r="AF25" s="229">
        <v>1.1000000000000001E-3</v>
      </c>
      <c r="AG25" s="228">
        <v>5.0999999999999996</v>
      </c>
      <c r="AH25" s="228">
        <v>6.4</v>
      </c>
      <c r="AI25" s="228">
        <v>-1.3</v>
      </c>
      <c r="AJ25" s="229">
        <v>5.5999999999999999E-3</v>
      </c>
      <c r="AK25" s="228">
        <v>8.4499999999999993</v>
      </c>
      <c r="AL25" s="228">
        <v>9.9499999999999993</v>
      </c>
      <c r="AM25" s="228">
        <v>-1.5</v>
      </c>
      <c r="AN25" s="229">
        <v>9.4000000000000004E-3</v>
      </c>
      <c r="AO25" s="228">
        <v>905.21</v>
      </c>
      <c r="AP25" s="228">
        <v>909.48</v>
      </c>
      <c r="AQ25" s="228">
        <v>0</v>
      </c>
      <c r="AR25" s="230">
        <v>7039500</v>
      </c>
      <c r="AS25" s="230">
        <v>14184750</v>
      </c>
      <c r="AT25" s="230">
        <v>-7145250</v>
      </c>
      <c r="AU25" s="229">
        <v>-0.50370000000000004</v>
      </c>
      <c r="AV25" s="230">
        <v>6429750</v>
      </c>
      <c r="AW25" s="230">
        <v>13133250</v>
      </c>
      <c r="AX25" s="230">
        <v>-6703500</v>
      </c>
      <c r="AY25" s="229">
        <v>-0.51039999999999996</v>
      </c>
      <c r="AZ25" s="230">
        <v>500250</v>
      </c>
      <c r="BA25" s="230">
        <v>909750</v>
      </c>
      <c r="BB25" s="230">
        <v>-409500</v>
      </c>
      <c r="BC25" s="229">
        <v>-0.4501</v>
      </c>
      <c r="BD25" s="230">
        <v>109500</v>
      </c>
      <c r="BE25" s="230">
        <v>141750</v>
      </c>
      <c r="BF25" s="230">
        <v>-32250</v>
      </c>
      <c r="BG25" s="229">
        <v>-0.22750000000000001</v>
      </c>
      <c r="BH25" s="230">
        <v>15682500</v>
      </c>
      <c r="BI25" s="230">
        <v>36368250</v>
      </c>
      <c r="BJ25" s="230">
        <v>-20685750</v>
      </c>
      <c r="BK25" s="229">
        <v>-0.56879999999999997</v>
      </c>
      <c r="BL25" s="230">
        <v>14081250</v>
      </c>
      <c r="BM25" s="230">
        <v>23527500</v>
      </c>
      <c r="BN25" s="230">
        <v>-9446250</v>
      </c>
      <c r="BO25" s="229">
        <v>-0.40150000000000002</v>
      </c>
      <c r="BP25" s="230">
        <v>36803250</v>
      </c>
      <c r="BQ25" s="230">
        <v>74080500</v>
      </c>
      <c r="BR25" s="230">
        <v>-37277250</v>
      </c>
      <c r="BS25" s="229">
        <v>-0.50319999999999998</v>
      </c>
      <c r="BT25" s="230">
        <v>10308972</v>
      </c>
      <c r="BU25" s="230">
        <v>14568175</v>
      </c>
      <c r="BV25" s="230">
        <v>-4259203</v>
      </c>
      <c r="BW25" s="229">
        <v>-0.29239999999999999</v>
      </c>
      <c r="BX25" s="230">
        <v>71964000</v>
      </c>
      <c r="BY25" s="230">
        <v>71412000</v>
      </c>
      <c r="BZ25" s="230">
        <v>552000</v>
      </c>
      <c r="CA25" s="229">
        <v>7.7000000000000002E-3</v>
      </c>
      <c r="CB25" s="230">
        <v>67948500</v>
      </c>
      <c r="CC25" s="230">
        <v>67518750</v>
      </c>
      <c r="CD25" s="230">
        <v>429750</v>
      </c>
      <c r="CE25" s="229">
        <v>6.4000000000000003E-3</v>
      </c>
      <c r="CF25" s="230">
        <v>3657000</v>
      </c>
      <c r="CG25" s="230">
        <v>3563250</v>
      </c>
      <c r="CH25" s="230">
        <v>93750</v>
      </c>
      <c r="CI25" s="229">
        <v>2.63E-2</v>
      </c>
      <c r="CJ25" s="230">
        <v>358500</v>
      </c>
      <c r="CK25" s="230">
        <v>330000</v>
      </c>
      <c r="CL25" s="230">
        <v>28500</v>
      </c>
      <c r="CM25" s="229">
        <v>8.6400000000000005E-2</v>
      </c>
      <c r="CN25" s="230">
        <v>17810250</v>
      </c>
      <c r="CO25" s="230">
        <v>16935000</v>
      </c>
      <c r="CP25" s="230">
        <v>875250</v>
      </c>
      <c r="CQ25" s="229">
        <v>5.1700000000000003E-2</v>
      </c>
      <c r="CR25" s="230">
        <v>14820750</v>
      </c>
      <c r="CS25" s="230">
        <v>13967250</v>
      </c>
      <c r="CT25" s="230">
        <v>853500</v>
      </c>
      <c r="CU25" s="229">
        <v>6.1100000000000002E-2</v>
      </c>
      <c r="CV25" s="230">
        <v>104595000</v>
      </c>
      <c r="CW25" s="230">
        <v>102314250</v>
      </c>
      <c r="CX25" s="230">
        <v>2280750</v>
      </c>
      <c r="CY25" s="229">
        <v>2.23E-2</v>
      </c>
      <c r="CZ25" s="228">
        <v>33.869999999999997</v>
      </c>
      <c r="DA25" s="228">
        <v>33.57</v>
      </c>
      <c r="DB25" s="228">
        <v>0.3</v>
      </c>
      <c r="DC25" s="228">
        <v>0.3</v>
      </c>
      <c r="DD25" s="228">
        <v>36.03</v>
      </c>
      <c r="DE25" s="228">
        <v>36.08</v>
      </c>
      <c r="DF25" s="228">
        <v>-2.16</v>
      </c>
      <c r="DG25" s="228">
        <v>-0.05</v>
      </c>
      <c r="DH25" s="228">
        <v>32.1</v>
      </c>
      <c r="DI25" s="228">
        <v>31.24</v>
      </c>
      <c r="DJ25" s="228">
        <v>0.86</v>
      </c>
      <c r="DK25" s="228">
        <v>0.86</v>
      </c>
      <c r="DL25" s="228">
        <v>35.85</v>
      </c>
      <c r="DM25" s="228">
        <v>37.18</v>
      </c>
      <c r="DN25" s="228">
        <v>-1.33</v>
      </c>
      <c r="DO25" s="228">
        <v>-1.33</v>
      </c>
      <c r="DP25" s="228">
        <v>0.83</v>
      </c>
      <c r="DQ25" s="228">
        <v>0.82</v>
      </c>
      <c r="DR25" s="228">
        <v>0.01</v>
      </c>
      <c r="DS25" s="229">
        <v>1.2200000000000001E-2</v>
      </c>
      <c r="DT25" s="231">
        <v>1000</v>
      </c>
      <c r="DU25" s="228">
        <v>800</v>
      </c>
      <c r="DV25" s="228">
        <v>0.9</v>
      </c>
      <c r="DW25" s="228">
        <v>0.65</v>
      </c>
      <c r="DX25" s="228">
        <v>0.25</v>
      </c>
      <c r="DY25" s="229">
        <v>0.3846</v>
      </c>
      <c r="DZ25" s="229">
        <v>5.5800000000000002E-2</v>
      </c>
      <c r="EA25" s="230">
        <v>3893250</v>
      </c>
      <c r="EB25" s="229">
        <v>4.4999999999999997E-3</v>
      </c>
      <c r="EC25" s="229">
        <v>5.5800000000000002E-2</v>
      </c>
      <c r="ED25" s="228">
        <v>4.2699999999999996</v>
      </c>
      <c r="EE25" s="229">
        <v>4.7000000000000002E-3</v>
      </c>
      <c r="EF25" s="230">
        <v>4965740</v>
      </c>
      <c r="EG25" s="230">
        <v>7885299</v>
      </c>
      <c r="EH25" s="229">
        <v>-0.37030000000000002</v>
      </c>
      <c r="EI25" s="229">
        <v>0.48170000000000002</v>
      </c>
      <c r="EJ25" s="231">
        <v>149632.82</v>
      </c>
      <c r="EK25" s="231">
        <v>124597.07</v>
      </c>
      <c r="EL25" s="231">
        <v>63753.01</v>
      </c>
      <c r="EM25" s="231">
        <v>15898</v>
      </c>
      <c r="EN25" s="231">
        <v>337982.9</v>
      </c>
      <c r="EO25" s="231">
        <v>681535.32</v>
      </c>
      <c r="EP25" s="231">
        <v>-343552.42</v>
      </c>
      <c r="EQ25" s="229">
        <v>-0.50409999999999999</v>
      </c>
      <c r="ER25" s="231">
        <v>161337</v>
      </c>
      <c r="ES25" s="231">
        <v>126849</v>
      </c>
      <c r="ET25" s="231">
        <v>650911</v>
      </c>
      <c r="EU25" s="231">
        <v>387962395</v>
      </c>
      <c r="EV25" s="231">
        <v>939098</v>
      </c>
      <c r="EW25" s="231">
        <v>926385</v>
      </c>
      <c r="EX25" s="231">
        <v>12713</v>
      </c>
      <c r="EY25" s="229">
        <v>1.37E-2</v>
      </c>
      <c r="EZ25" s="229">
        <v>0.26960000000000001</v>
      </c>
      <c r="FA25" s="227" t="s">
        <v>566</v>
      </c>
      <c r="FB25" s="161">
        <f t="shared" si="0"/>
        <v>4015500</v>
      </c>
    </row>
    <row r="26" spans="1:158" ht="17.25" thickBot="1" x14ac:dyDescent="0.3">
      <c r="A26" s="226">
        <v>46121</v>
      </c>
      <c r="B26" s="227" t="s">
        <v>172</v>
      </c>
      <c r="C26" s="227" t="s">
        <v>179</v>
      </c>
      <c r="D26" s="228">
        <v>3600</v>
      </c>
      <c r="E26" s="228">
        <v>166.35</v>
      </c>
      <c r="F26" s="228">
        <v>165.47</v>
      </c>
      <c r="G26" s="228">
        <v>0.88</v>
      </c>
      <c r="H26" s="229">
        <v>5.3E-3</v>
      </c>
      <c r="I26" s="228">
        <v>165.94</v>
      </c>
      <c r="J26" s="228">
        <v>164.75</v>
      </c>
      <c r="K26" s="228">
        <v>1.19</v>
      </c>
      <c r="L26" s="229">
        <v>7.1999999999999998E-3</v>
      </c>
      <c r="M26" s="228">
        <v>166.35</v>
      </c>
      <c r="N26" s="228">
        <v>165.47</v>
      </c>
      <c r="O26" s="228">
        <v>0.88</v>
      </c>
      <c r="P26" s="229">
        <v>5.3E-3</v>
      </c>
      <c r="Q26" s="228">
        <v>167.37</v>
      </c>
      <c r="R26" s="228">
        <v>166.18</v>
      </c>
      <c r="S26" s="228">
        <v>1.19</v>
      </c>
      <c r="T26" s="229">
        <v>7.1999999999999998E-3</v>
      </c>
      <c r="U26" s="228">
        <v>167.98</v>
      </c>
      <c r="V26" s="228">
        <v>167.35</v>
      </c>
      <c r="W26" s="228">
        <v>0.63</v>
      </c>
      <c r="X26" s="229">
        <v>3.8E-3</v>
      </c>
      <c r="Y26" s="228">
        <v>0.41</v>
      </c>
      <c r="Z26" s="228">
        <v>0.72</v>
      </c>
      <c r="AA26" s="228">
        <v>-0.31</v>
      </c>
      <c r="AB26" s="229">
        <v>2.5000000000000001E-3</v>
      </c>
      <c r="AC26" s="228">
        <v>0.41</v>
      </c>
      <c r="AD26" s="228">
        <v>0.72</v>
      </c>
      <c r="AE26" s="228">
        <v>-0.31</v>
      </c>
      <c r="AF26" s="229">
        <v>2.5000000000000001E-3</v>
      </c>
      <c r="AG26" s="228">
        <v>1.43</v>
      </c>
      <c r="AH26" s="228">
        <v>1.43</v>
      </c>
      <c r="AI26" s="228">
        <v>0</v>
      </c>
      <c r="AJ26" s="229">
        <v>8.6E-3</v>
      </c>
      <c r="AK26" s="228">
        <v>2.04</v>
      </c>
      <c r="AL26" s="228">
        <v>2.6</v>
      </c>
      <c r="AM26" s="228">
        <v>-0.56000000000000005</v>
      </c>
      <c r="AN26" s="229">
        <v>1.23E-2</v>
      </c>
      <c r="AO26" s="228">
        <v>166.48</v>
      </c>
      <c r="AP26" s="228">
        <v>167.5</v>
      </c>
      <c r="AQ26" s="228">
        <v>0</v>
      </c>
      <c r="AR26" s="230">
        <v>14504400</v>
      </c>
      <c r="AS26" s="230">
        <v>36615600</v>
      </c>
      <c r="AT26" s="230">
        <v>-22111200</v>
      </c>
      <c r="AU26" s="229">
        <v>-0.60389999999999999</v>
      </c>
      <c r="AV26" s="230">
        <v>13356000</v>
      </c>
      <c r="AW26" s="230">
        <v>34930800</v>
      </c>
      <c r="AX26" s="230">
        <v>-21574800</v>
      </c>
      <c r="AY26" s="229">
        <v>-0.61760000000000004</v>
      </c>
      <c r="AZ26" s="230">
        <v>1058400</v>
      </c>
      <c r="BA26" s="230">
        <v>1440000</v>
      </c>
      <c r="BB26" s="230">
        <v>-381600</v>
      </c>
      <c r="BC26" s="229">
        <v>-0.26500000000000001</v>
      </c>
      <c r="BD26" s="230">
        <v>90000</v>
      </c>
      <c r="BE26" s="230">
        <v>244800</v>
      </c>
      <c r="BF26" s="230">
        <v>-154800</v>
      </c>
      <c r="BG26" s="229">
        <v>-0.63239999999999996</v>
      </c>
      <c r="BH26" s="230">
        <v>23522400</v>
      </c>
      <c r="BI26" s="230">
        <v>42256800</v>
      </c>
      <c r="BJ26" s="230">
        <v>-18734400</v>
      </c>
      <c r="BK26" s="229">
        <v>-0.44330000000000003</v>
      </c>
      <c r="BL26" s="230">
        <v>15080400</v>
      </c>
      <c r="BM26" s="230">
        <v>27439200</v>
      </c>
      <c r="BN26" s="230">
        <v>-12358800</v>
      </c>
      <c r="BO26" s="229">
        <v>-0.45040000000000002</v>
      </c>
      <c r="BP26" s="230">
        <v>53107200</v>
      </c>
      <c r="BQ26" s="230">
        <v>106311600</v>
      </c>
      <c r="BR26" s="230">
        <v>-53204400</v>
      </c>
      <c r="BS26" s="229">
        <v>-0.50049999999999994</v>
      </c>
      <c r="BT26" s="230">
        <v>9005870</v>
      </c>
      <c r="BU26" s="230">
        <v>26925256</v>
      </c>
      <c r="BV26" s="230">
        <v>-17919386</v>
      </c>
      <c r="BW26" s="229">
        <v>-0.66549999999999998</v>
      </c>
      <c r="BX26" s="230">
        <v>91450800</v>
      </c>
      <c r="BY26" s="230">
        <v>92023200</v>
      </c>
      <c r="BZ26" s="230">
        <v>-572400</v>
      </c>
      <c r="CA26" s="229">
        <v>-6.1999999999999998E-3</v>
      </c>
      <c r="CB26" s="230">
        <v>87775200</v>
      </c>
      <c r="CC26" s="230">
        <v>88423200</v>
      </c>
      <c r="CD26" s="230">
        <v>-648000</v>
      </c>
      <c r="CE26" s="229">
        <v>-7.3000000000000001E-3</v>
      </c>
      <c r="CF26" s="230">
        <v>3499200</v>
      </c>
      <c r="CG26" s="230">
        <v>3445200</v>
      </c>
      <c r="CH26" s="230">
        <v>54000</v>
      </c>
      <c r="CI26" s="229">
        <v>1.5699999999999999E-2</v>
      </c>
      <c r="CJ26" s="230">
        <v>176400</v>
      </c>
      <c r="CK26" s="230">
        <v>154800</v>
      </c>
      <c r="CL26" s="230">
        <v>21600</v>
      </c>
      <c r="CM26" s="229">
        <v>0.13950000000000001</v>
      </c>
      <c r="CN26" s="230">
        <v>22654800</v>
      </c>
      <c r="CO26" s="230">
        <v>20750400</v>
      </c>
      <c r="CP26" s="230">
        <v>1904400</v>
      </c>
      <c r="CQ26" s="229">
        <v>9.1800000000000007E-2</v>
      </c>
      <c r="CR26" s="230">
        <v>17323200</v>
      </c>
      <c r="CS26" s="230">
        <v>15854400</v>
      </c>
      <c r="CT26" s="230">
        <v>1468800</v>
      </c>
      <c r="CU26" s="229">
        <v>9.2600000000000002E-2</v>
      </c>
      <c r="CV26" s="230">
        <v>131428800</v>
      </c>
      <c r="CW26" s="230">
        <v>128628000</v>
      </c>
      <c r="CX26" s="230">
        <v>2800800</v>
      </c>
      <c r="CY26" s="229">
        <v>2.18E-2</v>
      </c>
      <c r="CZ26" s="228">
        <v>44.63</v>
      </c>
      <c r="DA26" s="228">
        <v>45.65</v>
      </c>
      <c r="DB26" s="228">
        <v>-1.02</v>
      </c>
      <c r="DC26" s="228">
        <v>-1.02</v>
      </c>
      <c r="DD26" s="228">
        <v>46.21</v>
      </c>
      <c r="DE26" s="228">
        <v>46.31</v>
      </c>
      <c r="DF26" s="228">
        <v>-1.58</v>
      </c>
      <c r="DG26" s="228">
        <v>-0.1</v>
      </c>
      <c r="DH26" s="228">
        <v>43.74</v>
      </c>
      <c r="DI26" s="228">
        <v>44.73</v>
      </c>
      <c r="DJ26" s="228">
        <v>-0.99</v>
      </c>
      <c r="DK26" s="228">
        <v>-0.99</v>
      </c>
      <c r="DL26" s="228">
        <v>46.03</v>
      </c>
      <c r="DM26" s="228">
        <v>47.07</v>
      </c>
      <c r="DN26" s="228">
        <v>-1.04</v>
      </c>
      <c r="DO26" s="228">
        <v>-1.04</v>
      </c>
      <c r="DP26" s="228">
        <v>0.76</v>
      </c>
      <c r="DQ26" s="228">
        <v>0.76</v>
      </c>
      <c r="DR26" s="228">
        <v>0</v>
      </c>
      <c r="DS26" s="229">
        <v>0</v>
      </c>
      <c r="DT26" s="228">
        <v>150</v>
      </c>
      <c r="DU26" s="228">
        <v>160</v>
      </c>
      <c r="DV26" s="228">
        <v>0.64</v>
      </c>
      <c r="DW26" s="228">
        <v>0.65</v>
      </c>
      <c r="DX26" s="228">
        <v>-0.01</v>
      </c>
      <c r="DY26" s="229">
        <v>-1.54E-2</v>
      </c>
      <c r="DZ26" s="229">
        <v>4.02E-2</v>
      </c>
      <c r="EA26" s="230">
        <v>3600000</v>
      </c>
      <c r="EB26" s="229">
        <v>6.1000000000000004E-3</v>
      </c>
      <c r="EC26" s="229">
        <v>4.02E-2</v>
      </c>
      <c r="ED26" s="228">
        <v>1.02</v>
      </c>
      <c r="EE26" s="229">
        <v>6.1000000000000004E-3</v>
      </c>
      <c r="EF26" s="230">
        <v>2546222</v>
      </c>
      <c r="EG26" s="230">
        <v>10335439</v>
      </c>
      <c r="EH26" s="229">
        <v>-0.75360000000000005</v>
      </c>
      <c r="EI26" s="229">
        <v>0.28270000000000001</v>
      </c>
      <c r="EJ26" s="231">
        <v>42312.639999999999</v>
      </c>
      <c r="EK26" s="231">
        <v>24270.66</v>
      </c>
      <c r="EL26" s="231">
        <v>24159.64</v>
      </c>
      <c r="EM26" s="231">
        <v>5835</v>
      </c>
      <c r="EN26" s="231">
        <v>90742.94</v>
      </c>
      <c r="EO26" s="231">
        <v>175303.98</v>
      </c>
      <c r="EP26" s="231">
        <v>-84561.04</v>
      </c>
      <c r="EQ26" s="229">
        <v>-0.4824</v>
      </c>
      <c r="ER26" s="231">
        <v>37721</v>
      </c>
      <c r="ES26" s="231">
        <v>26914</v>
      </c>
      <c r="ET26" s="231">
        <v>152167</v>
      </c>
      <c r="EU26" s="231">
        <v>145616308</v>
      </c>
      <c r="EV26" s="231">
        <v>216801</v>
      </c>
      <c r="EW26" s="231">
        <v>210996</v>
      </c>
      <c r="EX26" s="231">
        <v>5805</v>
      </c>
      <c r="EY26" s="229">
        <v>2.75E-2</v>
      </c>
      <c r="EZ26" s="229">
        <v>0.90259999999999996</v>
      </c>
      <c r="FA26" s="227" t="s">
        <v>694</v>
      </c>
      <c r="FB26" s="161">
        <f t="shared" si="0"/>
        <v>3675600</v>
      </c>
    </row>
    <row r="27" spans="1:158" ht="17.25" thickBot="1" x14ac:dyDescent="0.3">
      <c r="A27" s="226">
        <v>46121</v>
      </c>
      <c r="B27" s="227" t="s">
        <v>172</v>
      </c>
      <c r="C27" s="227" t="s">
        <v>180</v>
      </c>
      <c r="D27" s="228">
        <v>2925</v>
      </c>
      <c r="E27" s="228">
        <v>274.48</v>
      </c>
      <c r="F27" s="228">
        <v>277.18</v>
      </c>
      <c r="G27" s="228">
        <v>-2.7</v>
      </c>
      <c r="H27" s="229">
        <v>-9.7000000000000003E-3</v>
      </c>
      <c r="I27" s="228">
        <v>274.24</v>
      </c>
      <c r="J27" s="228">
        <v>275.98</v>
      </c>
      <c r="K27" s="228">
        <v>-1.74</v>
      </c>
      <c r="L27" s="229">
        <v>-6.3E-3</v>
      </c>
      <c r="M27" s="228">
        <v>274.48</v>
      </c>
      <c r="N27" s="228">
        <v>277.18</v>
      </c>
      <c r="O27" s="228">
        <v>-2.7</v>
      </c>
      <c r="P27" s="229">
        <v>-9.7000000000000003E-3</v>
      </c>
      <c r="Q27" s="228">
        <v>276.07</v>
      </c>
      <c r="R27" s="228">
        <v>278.89999999999998</v>
      </c>
      <c r="S27" s="228">
        <v>-2.83</v>
      </c>
      <c r="T27" s="229">
        <v>-1.01E-2</v>
      </c>
      <c r="U27" s="228">
        <v>277.02999999999997</v>
      </c>
      <c r="V27" s="228">
        <v>279.95</v>
      </c>
      <c r="W27" s="228">
        <v>-2.92</v>
      </c>
      <c r="X27" s="229">
        <v>-1.04E-2</v>
      </c>
      <c r="Y27" s="228">
        <v>0.24</v>
      </c>
      <c r="Z27" s="228">
        <v>1.2</v>
      </c>
      <c r="AA27" s="228">
        <v>-0.96</v>
      </c>
      <c r="AB27" s="229">
        <v>8.9999999999999998E-4</v>
      </c>
      <c r="AC27" s="228">
        <v>0.24</v>
      </c>
      <c r="AD27" s="228">
        <v>1.2</v>
      </c>
      <c r="AE27" s="228">
        <v>-0.96</v>
      </c>
      <c r="AF27" s="229">
        <v>8.9999999999999998E-4</v>
      </c>
      <c r="AG27" s="228">
        <v>1.83</v>
      </c>
      <c r="AH27" s="228">
        <v>2.92</v>
      </c>
      <c r="AI27" s="228">
        <v>-1.0900000000000001</v>
      </c>
      <c r="AJ27" s="229">
        <v>6.7000000000000002E-3</v>
      </c>
      <c r="AK27" s="228">
        <v>2.79</v>
      </c>
      <c r="AL27" s="228">
        <v>3.97</v>
      </c>
      <c r="AM27" s="228">
        <v>-1.18</v>
      </c>
      <c r="AN27" s="229">
        <v>1.0200000000000001E-2</v>
      </c>
      <c r="AO27" s="228">
        <v>276.44</v>
      </c>
      <c r="AP27" s="228">
        <v>277.58</v>
      </c>
      <c r="AQ27" s="228">
        <v>0</v>
      </c>
      <c r="AR27" s="230">
        <v>18582525</v>
      </c>
      <c r="AS27" s="230">
        <v>30811950</v>
      </c>
      <c r="AT27" s="230">
        <v>-12229425</v>
      </c>
      <c r="AU27" s="229">
        <v>-0.39689999999999998</v>
      </c>
      <c r="AV27" s="230">
        <v>17321850</v>
      </c>
      <c r="AW27" s="230">
        <v>29478150</v>
      </c>
      <c r="AX27" s="230">
        <v>-12156300</v>
      </c>
      <c r="AY27" s="229">
        <v>-0.41239999999999999</v>
      </c>
      <c r="AZ27" s="230">
        <v>1155375</v>
      </c>
      <c r="BA27" s="230">
        <v>1055925</v>
      </c>
      <c r="BB27" s="230">
        <v>99450</v>
      </c>
      <c r="BC27" s="229">
        <v>9.4200000000000006E-2</v>
      </c>
      <c r="BD27" s="230">
        <v>105300</v>
      </c>
      <c r="BE27" s="230">
        <v>277875</v>
      </c>
      <c r="BF27" s="230">
        <v>-172575</v>
      </c>
      <c r="BG27" s="229">
        <v>-0.62109999999999999</v>
      </c>
      <c r="BH27" s="230">
        <v>36021375</v>
      </c>
      <c r="BI27" s="230">
        <v>55732950</v>
      </c>
      <c r="BJ27" s="230">
        <v>-19711575</v>
      </c>
      <c r="BK27" s="229">
        <v>-0.35370000000000001</v>
      </c>
      <c r="BL27" s="230">
        <v>25245675</v>
      </c>
      <c r="BM27" s="230">
        <v>40549275</v>
      </c>
      <c r="BN27" s="230">
        <v>-15303600</v>
      </c>
      <c r="BO27" s="229">
        <v>-0.37740000000000001</v>
      </c>
      <c r="BP27" s="230">
        <v>79849575</v>
      </c>
      <c r="BQ27" s="230">
        <v>127094175</v>
      </c>
      <c r="BR27" s="230">
        <v>-47244600</v>
      </c>
      <c r="BS27" s="229">
        <v>-0.37169999999999997</v>
      </c>
      <c r="BT27" s="230">
        <v>14671666</v>
      </c>
      <c r="BU27" s="230">
        <v>16434638</v>
      </c>
      <c r="BV27" s="230">
        <v>-1762972</v>
      </c>
      <c r="BW27" s="229">
        <v>-0.10730000000000001</v>
      </c>
      <c r="BX27" s="230">
        <v>106800525</v>
      </c>
      <c r="BY27" s="230">
        <v>105838200</v>
      </c>
      <c r="BZ27" s="230">
        <v>962325</v>
      </c>
      <c r="CA27" s="229">
        <v>9.1000000000000004E-3</v>
      </c>
      <c r="CB27" s="230">
        <v>103027275</v>
      </c>
      <c r="CC27" s="230">
        <v>102483225</v>
      </c>
      <c r="CD27" s="230">
        <v>544050</v>
      </c>
      <c r="CE27" s="229">
        <v>5.3E-3</v>
      </c>
      <c r="CF27" s="230">
        <v>3393000</v>
      </c>
      <c r="CG27" s="230">
        <v>3009825</v>
      </c>
      <c r="CH27" s="230">
        <v>383175</v>
      </c>
      <c r="CI27" s="229">
        <v>0.1273</v>
      </c>
      <c r="CJ27" s="230">
        <v>380250</v>
      </c>
      <c r="CK27" s="230">
        <v>345150</v>
      </c>
      <c r="CL27" s="230">
        <v>35100</v>
      </c>
      <c r="CM27" s="229">
        <v>0.1017</v>
      </c>
      <c r="CN27" s="230">
        <v>35617725</v>
      </c>
      <c r="CO27" s="230">
        <v>32856525</v>
      </c>
      <c r="CP27" s="230">
        <v>2761200</v>
      </c>
      <c r="CQ27" s="229">
        <v>8.4000000000000005E-2</v>
      </c>
      <c r="CR27" s="230">
        <v>33090525</v>
      </c>
      <c r="CS27" s="230">
        <v>31862025</v>
      </c>
      <c r="CT27" s="230">
        <v>1228500</v>
      </c>
      <c r="CU27" s="229">
        <v>3.8600000000000002E-2</v>
      </c>
      <c r="CV27" s="230">
        <v>175508775</v>
      </c>
      <c r="CW27" s="230">
        <v>170556750</v>
      </c>
      <c r="CX27" s="230">
        <v>4952025</v>
      </c>
      <c r="CY27" s="229">
        <v>2.9000000000000001E-2</v>
      </c>
      <c r="CZ27" s="228">
        <v>34.94</v>
      </c>
      <c r="DA27" s="228">
        <v>36.659999999999997</v>
      </c>
      <c r="DB27" s="228">
        <v>-1.72</v>
      </c>
      <c r="DC27" s="228">
        <v>-1.72</v>
      </c>
      <c r="DD27" s="228">
        <v>37.39</v>
      </c>
      <c r="DE27" s="228">
        <v>37.47</v>
      </c>
      <c r="DF27" s="228">
        <v>-2.4500000000000002</v>
      </c>
      <c r="DG27" s="228">
        <v>-0.08</v>
      </c>
      <c r="DH27" s="228">
        <v>33.840000000000003</v>
      </c>
      <c r="DI27" s="228">
        <v>34.17</v>
      </c>
      <c r="DJ27" s="228">
        <v>-0.33</v>
      </c>
      <c r="DK27" s="228">
        <v>-0.33</v>
      </c>
      <c r="DL27" s="228">
        <v>36.520000000000003</v>
      </c>
      <c r="DM27" s="228">
        <v>40.08</v>
      </c>
      <c r="DN27" s="228">
        <v>-3.56</v>
      </c>
      <c r="DO27" s="228">
        <v>-3.56</v>
      </c>
      <c r="DP27" s="228">
        <v>0.93</v>
      </c>
      <c r="DQ27" s="228">
        <v>0.97</v>
      </c>
      <c r="DR27" s="228">
        <v>-0.04</v>
      </c>
      <c r="DS27" s="229">
        <v>-4.1200000000000001E-2</v>
      </c>
      <c r="DT27" s="228">
        <v>300</v>
      </c>
      <c r="DU27" s="228">
        <v>250</v>
      </c>
      <c r="DV27" s="228">
        <v>0.7</v>
      </c>
      <c r="DW27" s="228">
        <v>0.73</v>
      </c>
      <c r="DX27" s="228">
        <v>-0.03</v>
      </c>
      <c r="DY27" s="229">
        <v>-4.1099999999999998E-2</v>
      </c>
      <c r="DZ27" s="229">
        <v>3.5299999999999998E-2</v>
      </c>
      <c r="EA27" s="230">
        <v>3354975</v>
      </c>
      <c r="EB27" s="229">
        <v>5.7999999999999996E-3</v>
      </c>
      <c r="EC27" s="229">
        <v>3.5299999999999998E-2</v>
      </c>
      <c r="ED27" s="228">
        <v>1.1399999999999999</v>
      </c>
      <c r="EE27" s="229">
        <v>4.1000000000000003E-3</v>
      </c>
      <c r="EF27" s="230">
        <v>7154562</v>
      </c>
      <c r="EG27" s="230">
        <v>7050288</v>
      </c>
      <c r="EH27" s="229">
        <v>1.4800000000000001E-2</v>
      </c>
      <c r="EI27" s="229">
        <v>0.48759999999999998</v>
      </c>
      <c r="EJ27" s="231">
        <v>105269.33</v>
      </c>
      <c r="EK27" s="231">
        <v>68989.03</v>
      </c>
      <c r="EL27" s="231">
        <v>51386.18</v>
      </c>
      <c r="EM27" s="231">
        <v>8637</v>
      </c>
      <c r="EN27" s="231">
        <v>225644.54</v>
      </c>
      <c r="EO27" s="231">
        <v>352123.5</v>
      </c>
      <c r="EP27" s="231">
        <v>-126478.96</v>
      </c>
      <c r="EQ27" s="229">
        <v>-0.35920000000000002</v>
      </c>
      <c r="ER27" s="231">
        <v>100616</v>
      </c>
      <c r="ES27" s="231">
        <v>88531</v>
      </c>
      <c r="ET27" s="231">
        <v>293210</v>
      </c>
      <c r="EU27" s="231">
        <v>279476623</v>
      </c>
      <c r="EV27" s="231">
        <v>482356</v>
      </c>
      <c r="EW27" s="231">
        <v>470922</v>
      </c>
      <c r="EX27" s="231">
        <v>11434</v>
      </c>
      <c r="EY27" s="229">
        <v>2.4299999999999999E-2</v>
      </c>
      <c r="EZ27" s="229">
        <v>0.628</v>
      </c>
      <c r="FA27" s="227" t="s">
        <v>566</v>
      </c>
      <c r="FB27" s="161">
        <f t="shared" si="0"/>
        <v>3773250</v>
      </c>
    </row>
    <row r="28" spans="1:158" ht="17.25" thickBot="1" x14ac:dyDescent="0.3">
      <c r="A28" s="226">
        <v>46121</v>
      </c>
      <c r="B28" s="227" t="s">
        <v>172</v>
      </c>
      <c r="C28" s="227" t="s">
        <v>601</v>
      </c>
      <c r="D28" s="228">
        <v>5200</v>
      </c>
      <c r="E28" s="228">
        <v>144.79</v>
      </c>
      <c r="F28" s="228">
        <v>147.02000000000001</v>
      </c>
      <c r="G28" s="228">
        <v>-2.23</v>
      </c>
      <c r="H28" s="229">
        <v>-1.52E-2</v>
      </c>
      <c r="I28" s="228">
        <v>144.29</v>
      </c>
      <c r="J28" s="228">
        <v>146.49</v>
      </c>
      <c r="K28" s="228">
        <v>-2.2000000000000002</v>
      </c>
      <c r="L28" s="229">
        <v>-1.4999999999999999E-2</v>
      </c>
      <c r="M28" s="228">
        <v>144.79</v>
      </c>
      <c r="N28" s="228">
        <v>147.02000000000001</v>
      </c>
      <c r="O28" s="228">
        <v>-2.23</v>
      </c>
      <c r="P28" s="229">
        <v>-1.52E-2</v>
      </c>
      <c r="Q28" s="228">
        <v>145.52000000000001</v>
      </c>
      <c r="R28" s="228">
        <v>147.94</v>
      </c>
      <c r="S28" s="228">
        <v>-2.42</v>
      </c>
      <c r="T28" s="229">
        <v>-1.6400000000000001E-2</v>
      </c>
      <c r="U28" s="228">
        <v>146.72</v>
      </c>
      <c r="V28" s="228">
        <v>148.69</v>
      </c>
      <c r="W28" s="228">
        <v>-1.97</v>
      </c>
      <c r="X28" s="229">
        <v>-1.32E-2</v>
      </c>
      <c r="Y28" s="228">
        <v>0.5</v>
      </c>
      <c r="Z28" s="228">
        <v>0.53</v>
      </c>
      <c r="AA28" s="228">
        <v>-0.03</v>
      </c>
      <c r="AB28" s="229">
        <v>3.5000000000000001E-3</v>
      </c>
      <c r="AC28" s="228">
        <v>0.5</v>
      </c>
      <c r="AD28" s="228">
        <v>0.53</v>
      </c>
      <c r="AE28" s="228">
        <v>-0.03</v>
      </c>
      <c r="AF28" s="229">
        <v>3.5000000000000001E-3</v>
      </c>
      <c r="AG28" s="228">
        <v>1.23</v>
      </c>
      <c r="AH28" s="228">
        <v>1.45</v>
      </c>
      <c r="AI28" s="228">
        <v>-0.22</v>
      </c>
      <c r="AJ28" s="229">
        <v>8.5000000000000006E-3</v>
      </c>
      <c r="AK28" s="228">
        <v>2.4300000000000002</v>
      </c>
      <c r="AL28" s="228">
        <v>2.2000000000000002</v>
      </c>
      <c r="AM28" s="228">
        <v>0.23</v>
      </c>
      <c r="AN28" s="229">
        <v>1.6799999999999999E-2</v>
      </c>
      <c r="AO28" s="228">
        <v>146.27000000000001</v>
      </c>
      <c r="AP28" s="228">
        <v>147.21</v>
      </c>
      <c r="AQ28" s="228">
        <v>0</v>
      </c>
      <c r="AR28" s="230">
        <v>15813200</v>
      </c>
      <c r="AS28" s="230">
        <v>27216800</v>
      </c>
      <c r="AT28" s="230">
        <v>-11403600</v>
      </c>
      <c r="AU28" s="229">
        <v>-0.41899999999999998</v>
      </c>
      <c r="AV28" s="230">
        <v>14679600</v>
      </c>
      <c r="AW28" s="230">
        <v>25485200</v>
      </c>
      <c r="AX28" s="230">
        <v>-10805600</v>
      </c>
      <c r="AY28" s="229">
        <v>-0.42399999999999999</v>
      </c>
      <c r="AZ28" s="230">
        <v>904800</v>
      </c>
      <c r="BA28" s="230">
        <v>1424800</v>
      </c>
      <c r="BB28" s="230">
        <v>-520000</v>
      </c>
      <c r="BC28" s="229">
        <v>-0.36499999999999999</v>
      </c>
      <c r="BD28" s="230">
        <v>228800</v>
      </c>
      <c r="BE28" s="230">
        <v>306800</v>
      </c>
      <c r="BF28" s="230">
        <v>-78000</v>
      </c>
      <c r="BG28" s="229">
        <v>-0.25419999999999998</v>
      </c>
      <c r="BH28" s="230">
        <v>16551600</v>
      </c>
      <c r="BI28" s="230">
        <v>28615600</v>
      </c>
      <c r="BJ28" s="230">
        <v>-12064000</v>
      </c>
      <c r="BK28" s="229">
        <v>-0.42159999999999997</v>
      </c>
      <c r="BL28" s="230">
        <v>12381200</v>
      </c>
      <c r="BM28" s="230">
        <v>15069600</v>
      </c>
      <c r="BN28" s="230">
        <v>-2688400</v>
      </c>
      <c r="BO28" s="229">
        <v>-0.1784</v>
      </c>
      <c r="BP28" s="230">
        <v>44746000</v>
      </c>
      <c r="BQ28" s="230">
        <v>70902000</v>
      </c>
      <c r="BR28" s="230">
        <v>-26156000</v>
      </c>
      <c r="BS28" s="229">
        <v>-0.36890000000000001</v>
      </c>
      <c r="BT28" s="230">
        <v>13090418</v>
      </c>
      <c r="BU28" s="230">
        <v>18253659</v>
      </c>
      <c r="BV28" s="230">
        <v>-5163241</v>
      </c>
      <c r="BW28" s="229">
        <v>-0.28289999999999998</v>
      </c>
      <c r="BX28" s="230">
        <v>58099600</v>
      </c>
      <c r="BY28" s="230">
        <v>56009200</v>
      </c>
      <c r="BZ28" s="230">
        <v>2090400</v>
      </c>
      <c r="CA28" s="229">
        <v>3.73E-2</v>
      </c>
      <c r="CB28" s="230">
        <v>55936400</v>
      </c>
      <c r="CC28" s="230">
        <v>54267200</v>
      </c>
      <c r="CD28" s="230">
        <v>1669200</v>
      </c>
      <c r="CE28" s="229">
        <v>3.0800000000000001E-2</v>
      </c>
      <c r="CF28" s="230">
        <v>1716000</v>
      </c>
      <c r="CG28" s="230">
        <v>1450800</v>
      </c>
      <c r="CH28" s="230">
        <v>265200</v>
      </c>
      <c r="CI28" s="229">
        <v>0.18279999999999999</v>
      </c>
      <c r="CJ28" s="230">
        <v>447200</v>
      </c>
      <c r="CK28" s="230">
        <v>291200</v>
      </c>
      <c r="CL28" s="230">
        <v>156000</v>
      </c>
      <c r="CM28" s="229">
        <v>0.53569999999999995</v>
      </c>
      <c r="CN28" s="230">
        <v>17492800</v>
      </c>
      <c r="CO28" s="230">
        <v>16369600</v>
      </c>
      <c r="CP28" s="230">
        <v>1123200</v>
      </c>
      <c r="CQ28" s="229">
        <v>6.8599999999999994E-2</v>
      </c>
      <c r="CR28" s="230">
        <v>20862400</v>
      </c>
      <c r="CS28" s="230">
        <v>17024800</v>
      </c>
      <c r="CT28" s="230">
        <v>3837600</v>
      </c>
      <c r="CU28" s="229">
        <v>0.22539999999999999</v>
      </c>
      <c r="CV28" s="230">
        <v>96454800</v>
      </c>
      <c r="CW28" s="230">
        <v>89403600</v>
      </c>
      <c r="CX28" s="230">
        <v>7051200</v>
      </c>
      <c r="CY28" s="229">
        <v>7.8899999999999998E-2</v>
      </c>
      <c r="CZ28" s="228">
        <v>42.36</v>
      </c>
      <c r="DA28" s="228">
        <v>43.38</v>
      </c>
      <c r="DB28" s="228">
        <v>-1.02</v>
      </c>
      <c r="DC28" s="228">
        <v>-1.02</v>
      </c>
      <c r="DD28" s="228">
        <v>43.32</v>
      </c>
      <c r="DE28" s="228">
        <v>43.38</v>
      </c>
      <c r="DF28" s="228">
        <v>-0.96</v>
      </c>
      <c r="DG28" s="228">
        <v>-0.06</v>
      </c>
      <c r="DH28" s="228">
        <v>41.11</v>
      </c>
      <c r="DI28" s="228">
        <v>41.9</v>
      </c>
      <c r="DJ28" s="228">
        <v>-0.79</v>
      </c>
      <c r="DK28" s="228">
        <v>-0.79</v>
      </c>
      <c r="DL28" s="228">
        <v>44.03</v>
      </c>
      <c r="DM28" s="228">
        <v>46.19</v>
      </c>
      <c r="DN28" s="228">
        <v>-2.16</v>
      </c>
      <c r="DO28" s="228">
        <v>-2.16</v>
      </c>
      <c r="DP28" s="228">
        <v>1.19</v>
      </c>
      <c r="DQ28" s="228">
        <v>1.04</v>
      </c>
      <c r="DR28" s="228">
        <v>0.15</v>
      </c>
      <c r="DS28" s="229">
        <v>0.14419999999999999</v>
      </c>
      <c r="DT28" s="228">
        <v>150</v>
      </c>
      <c r="DU28" s="228">
        <v>140</v>
      </c>
      <c r="DV28" s="228">
        <v>0.75</v>
      </c>
      <c r="DW28" s="228">
        <v>0.53</v>
      </c>
      <c r="DX28" s="228">
        <v>0.22</v>
      </c>
      <c r="DY28" s="229">
        <v>0.41510000000000002</v>
      </c>
      <c r="DZ28" s="229">
        <v>3.7199999999999997E-2</v>
      </c>
      <c r="EA28" s="230">
        <v>1742000</v>
      </c>
      <c r="EB28" s="229">
        <v>5.0000000000000001E-3</v>
      </c>
      <c r="EC28" s="229">
        <v>3.7199999999999997E-2</v>
      </c>
      <c r="ED28" s="228">
        <v>0.94</v>
      </c>
      <c r="EE28" s="229">
        <v>6.4000000000000003E-3</v>
      </c>
      <c r="EF28" s="230">
        <v>4308871</v>
      </c>
      <c r="EG28" s="230">
        <v>7702610</v>
      </c>
      <c r="EH28" s="229">
        <v>-0.44059999999999999</v>
      </c>
      <c r="EI28" s="229">
        <v>0.32919999999999999</v>
      </c>
      <c r="EJ28" s="231">
        <v>25741.279999999999</v>
      </c>
      <c r="EK28" s="231">
        <v>17776.21</v>
      </c>
      <c r="EL28" s="231">
        <v>23142.09</v>
      </c>
      <c r="EM28" s="231">
        <v>4027</v>
      </c>
      <c r="EN28" s="231">
        <v>66659.58</v>
      </c>
      <c r="EO28" s="231">
        <v>105465.68</v>
      </c>
      <c r="EP28" s="231">
        <v>-38806.1</v>
      </c>
      <c r="EQ28" s="229">
        <v>-0.36799999999999999</v>
      </c>
      <c r="ER28" s="231">
        <v>26373</v>
      </c>
      <c r="ES28" s="231">
        <v>29577</v>
      </c>
      <c r="ET28" s="231">
        <v>84144</v>
      </c>
      <c r="EU28" s="231">
        <v>181770921</v>
      </c>
      <c r="EV28" s="231">
        <v>140093</v>
      </c>
      <c r="EW28" s="231">
        <v>131208</v>
      </c>
      <c r="EX28" s="231">
        <v>8885</v>
      </c>
      <c r="EY28" s="229">
        <v>6.7699999999999996E-2</v>
      </c>
      <c r="EZ28" s="229">
        <v>0.53059999999999996</v>
      </c>
      <c r="FA28" s="227" t="s">
        <v>566</v>
      </c>
      <c r="FB28" s="161">
        <f t="shared" si="0"/>
        <v>2163200</v>
      </c>
    </row>
    <row r="29" spans="1:158" ht="17.25" thickBot="1" x14ac:dyDescent="0.3">
      <c r="A29" s="226">
        <v>46121</v>
      </c>
      <c r="B29" s="227" t="s">
        <v>181</v>
      </c>
      <c r="C29" s="227" t="s">
        <v>182</v>
      </c>
      <c r="D29" s="228">
        <v>30</v>
      </c>
      <c r="E29" s="231">
        <v>55080</v>
      </c>
      <c r="F29" s="231">
        <v>55928</v>
      </c>
      <c r="G29" s="228">
        <v>-848</v>
      </c>
      <c r="H29" s="229">
        <v>-1.52E-2</v>
      </c>
      <c r="I29" s="231">
        <v>54821.7</v>
      </c>
      <c r="J29" s="231">
        <v>55703.9</v>
      </c>
      <c r="K29" s="228">
        <v>-882.2</v>
      </c>
      <c r="L29" s="229">
        <v>-1.5800000000000002E-2</v>
      </c>
      <c r="M29" s="231">
        <v>55080</v>
      </c>
      <c r="N29" s="231">
        <v>55928</v>
      </c>
      <c r="O29" s="228">
        <v>-848</v>
      </c>
      <c r="P29" s="229">
        <v>-1.52E-2</v>
      </c>
      <c r="Q29" s="231">
        <v>55323.6</v>
      </c>
      <c r="R29" s="231">
        <v>56149.8</v>
      </c>
      <c r="S29" s="228">
        <v>-826.2</v>
      </c>
      <c r="T29" s="229">
        <v>-1.47E-2</v>
      </c>
      <c r="U29" s="231">
        <v>55639.199999999997</v>
      </c>
      <c r="V29" s="231">
        <v>56429</v>
      </c>
      <c r="W29" s="228">
        <v>-789.8</v>
      </c>
      <c r="X29" s="229">
        <v>-1.4E-2</v>
      </c>
      <c r="Y29" s="228">
        <v>258.3</v>
      </c>
      <c r="Z29" s="228">
        <v>224.1</v>
      </c>
      <c r="AA29" s="228">
        <v>34.200000000000003</v>
      </c>
      <c r="AB29" s="229">
        <v>4.7000000000000002E-3</v>
      </c>
      <c r="AC29" s="228">
        <v>258.3</v>
      </c>
      <c r="AD29" s="228">
        <v>224.1</v>
      </c>
      <c r="AE29" s="228">
        <v>34.200000000000003</v>
      </c>
      <c r="AF29" s="229">
        <v>4.7000000000000002E-3</v>
      </c>
      <c r="AG29" s="228">
        <v>501.9</v>
      </c>
      <c r="AH29" s="228">
        <v>445.9</v>
      </c>
      <c r="AI29" s="228">
        <v>56</v>
      </c>
      <c r="AJ29" s="229">
        <v>9.1999999999999998E-3</v>
      </c>
      <c r="AK29" s="228">
        <v>817.5</v>
      </c>
      <c r="AL29" s="228">
        <v>725.1</v>
      </c>
      <c r="AM29" s="228">
        <v>92.4</v>
      </c>
      <c r="AN29" s="229">
        <v>1.49E-2</v>
      </c>
      <c r="AO29" s="231">
        <v>55343.54</v>
      </c>
      <c r="AP29" s="231">
        <v>55585.25</v>
      </c>
      <c r="AQ29" s="228">
        <v>0</v>
      </c>
      <c r="AR29" s="230">
        <v>1172670</v>
      </c>
      <c r="AS29" s="230">
        <v>1784430</v>
      </c>
      <c r="AT29" s="230">
        <v>-611760</v>
      </c>
      <c r="AU29" s="229">
        <v>-0.34279999999999999</v>
      </c>
      <c r="AV29" s="230">
        <v>1013610</v>
      </c>
      <c r="AW29" s="230">
        <v>1584090</v>
      </c>
      <c r="AX29" s="230">
        <v>-570480</v>
      </c>
      <c r="AY29" s="229">
        <v>-0.36009999999999998</v>
      </c>
      <c r="AZ29" s="230">
        <v>120000</v>
      </c>
      <c r="BA29" s="230">
        <v>150600</v>
      </c>
      <c r="BB29" s="230">
        <v>-30600</v>
      </c>
      <c r="BC29" s="229">
        <v>-0.20319999999999999</v>
      </c>
      <c r="BD29" s="230">
        <v>39060</v>
      </c>
      <c r="BE29" s="230">
        <v>49740</v>
      </c>
      <c r="BF29" s="230">
        <v>-10680</v>
      </c>
      <c r="BG29" s="229">
        <v>-0.2147</v>
      </c>
      <c r="BH29" s="230">
        <v>34697820</v>
      </c>
      <c r="BI29" s="230">
        <v>51204750</v>
      </c>
      <c r="BJ29" s="230">
        <v>-16506930</v>
      </c>
      <c r="BK29" s="229">
        <v>-0.32240000000000002</v>
      </c>
      <c r="BL29" s="230">
        <v>29828490</v>
      </c>
      <c r="BM29" s="230">
        <v>34874280</v>
      </c>
      <c r="BN29" s="230">
        <v>-5045790</v>
      </c>
      <c r="BO29" s="229">
        <v>-0.1447</v>
      </c>
      <c r="BP29" s="230">
        <v>65698980</v>
      </c>
      <c r="BQ29" s="230">
        <v>87863460</v>
      </c>
      <c r="BR29" s="230">
        <v>-22164480</v>
      </c>
      <c r="BS29" s="229">
        <v>-0.25230000000000002</v>
      </c>
      <c r="BT29" s="228">
        <v>0</v>
      </c>
      <c r="BU29" s="228">
        <v>0</v>
      </c>
      <c r="BV29" s="228">
        <v>0</v>
      </c>
      <c r="BW29" s="229">
        <v>0</v>
      </c>
      <c r="BX29" s="230">
        <v>2506380</v>
      </c>
      <c r="BY29" s="230">
        <v>2490780</v>
      </c>
      <c r="BZ29" s="230">
        <v>15600</v>
      </c>
      <c r="CA29" s="229">
        <v>6.3E-3</v>
      </c>
      <c r="CB29" s="230">
        <v>2105550</v>
      </c>
      <c r="CC29" s="230">
        <v>2114400</v>
      </c>
      <c r="CD29" s="230">
        <v>-8850</v>
      </c>
      <c r="CE29" s="229">
        <v>-4.1999999999999997E-3</v>
      </c>
      <c r="CF29" s="230">
        <v>337410</v>
      </c>
      <c r="CG29" s="230">
        <v>323460</v>
      </c>
      <c r="CH29" s="230">
        <v>13950</v>
      </c>
      <c r="CI29" s="229">
        <v>4.3099999999999999E-2</v>
      </c>
      <c r="CJ29" s="230">
        <v>63420</v>
      </c>
      <c r="CK29" s="230">
        <v>52920</v>
      </c>
      <c r="CL29" s="230">
        <v>10500</v>
      </c>
      <c r="CM29" s="229">
        <v>0.19839999999999999</v>
      </c>
      <c r="CN29" s="230">
        <v>16838670</v>
      </c>
      <c r="CO29" s="230">
        <v>15755250</v>
      </c>
      <c r="CP29" s="230">
        <v>1083420</v>
      </c>
      <c r="CQ29" s="229">
        <v>6.88E-2</v>
      </c>
      <c r="CR29" s="230">
        <v>13005900</v>
      </c>
      <c r="CS29" s="230">
        <v>12674250</v>
      </c>
      <c r="CT29" s="230">
        <v>331650</v>
      </c>
      <c r="CU29" s="229">
        <v>2.6200000000000001E-2</v>
      </c>
      <c r="CV29" s="230">
        <v>32350950</v>
      </c>
      <c r="CW29" s="230">
        <v>30920280</v>
      </c>
      <c r="CX29" s="230">
        <v>1430670</v>
      </c>
      <c r="CY29" s="229">
        <v>4.6300000000000001E-2</v>
      </c>
      <c r="CZ29" s="228">
        <v>23.38</v>
      </c>
      <c r="DA29" s="228">
        <v>22.55</v>
      </c>
      <c r="DB29" s="228">
        <v>0.83</v>
      </c>
      <c r="DC29" s="228">
        <v>0.83</v>
      </c>
      <c r="DD29" s="228">
        <v>21.36</v>
      </c>
      <c r="DE29" s="228">
        <v>21.3</v>
      </c>
      <c r="DF29" s="228">
        <v>2.02</v>
      </c>
      <c r="DG29" s="228">
        <v>0.06</v>
      </c>
      <c r="DH29" s="228">
        <v>21.53</v>
      </c>
      <c r="DI29" s="228">
        <v>19.97</v>
      </c>
      <c r="DJ29" s="228">
        <v>1.56</v>
      </c>
      <c r="DK29" s="228">
        <v>1.56</v>
      </c>
      <c r="DL29" s="228">
        <v>25.54</v>
      </c>
      <c r="DM29" s="228">
        <v>26.32</v>
      </c>
      <c r="DN29" s="228">
        <v>-0.78</v>
      </c>
      <c r="DO29" s="228">
        <v>-0.78</v>
      </c>
      <c r="DP29" s="228">
        <v>0.77</v>
      </c>
      <c r="DQ29" s="228">
        <v>0.8</v>
      </c>
      <c r="DR29" s="228">
        <v>-0.03</v>
      </c>
      <c r="DS29" s="229">
        <v>-3.7499999999999999E-2</v>
      </c>
      <c r="DT29" s="231">
        <v>58000</v>
      </c>
      <c r="DU29" s="231">
        <v>58000</v>
      </c>
      <c r="DV29" s="228">
        <v>0.86</v>
      </c>
      <c r="DW29" s="228">
        <v>0.68</v>
      </c>
      <c r="DX29" s="228">
        <v>0.18</v>
      </c>
      <c r="DY29" s="229">
        <v>0.26469999999999999</v>
      </c>
      <c r="DZ29" s="229">
        <v>0.15989999999999999</v>
      </c>
      <c r="EA29" s="230">
        <v>376380</v>
      </c>
      <c r="EB29" s="229">
        <v>4.4000000000000003E-3</v>
      </c>
      <c r="EC29" s="229">
        <v>0.15989999999999999</v>
      </c>
      <c r="ED29" s="228">
        <v>241.71</v>
      </c>
      <c r="EE29" s="229">
        <v>4.4000000000000003E-3</v>
      </c>
      <c r="EF29" s="228">
        <v>0</v>
      </c>
      <c r="EG29" s="228">
        <v>0</v>
      </c>
      <c r="EH29" s="229">
        <v>0</v>
      </c>
      <c r="EI29" s="229">
        <v>0</v>
      </c>
      <c r="EJ29" s="231">
        <v>20154743.620000001</v>
      </c>
      <c r="EK29" s="231">
        <v>16121606.4</v>
      </c>
      <c r="EL29" s="231">
        <v>649501.5</v>
      </c>
      <c r="EM29" s="228">
        <v>0</v>
      </c>
      <c r="EN29" s="231">
        <v>36925851.520000003</v>
      </c>
      <c r="EO29" s="231">
        <v>49186466.189999998</v>
      </c>
      <c r="EP29" s="231">
        <v>-12260614.67</v>
      </c>
      <c r="EQ29" s="229">
        <v>-0.24929999999999999</v>
      </c>
      <c r="ER29" s="231">
        <v>9667728</v>
      </c>
      <c r="ES29" s="231">
        <v>6934124</v>
      </c>
      <c r="ET29" s="231">
        <v>1381691</v>
      </c>
      <c r="EU29" s="228">
        <v>0</v>
      </c>
      <c r="EV29" s="231">
        <v>17983543</v>
      </c>
      <c r="EW29" s="231">
        <v>17179533</v>
      </c>
      <c r="EX29" s="231">
        <v>804010</v>
      </c>
      <c r="EY29" s="229">
        <v>4.6800000000000001E-2</v>
      </c>
      <c r="EZ29" s="229">
        <v>0</v>
      </c>
      <c r="FA29" s="227" t="s">
        <v>566</v>
      </c>
      <c r="FB29" s="161">
        <f t="shared" si="0"/>
        <v>400830</v>
      </c>
    </row>
    <row r="30" spans="1:158" ht="17.25" thickBot="1" x14ac:dyDescent="0.3">
      <c r="A30" s="226">
        <v>46121</v>
      </c>
      <c r="B30" s="227" t="s">
        <v>184</v>
      </c>
      <c r="C30" s="227" t="s">
        <v>669</v>
      </c>
      <c r="D30" s="228">
        <v>350</v>
      </c>
      <c r="E30" s="231">
        <v>1326.5</v>
      </c>
      <c r="F30" s="231">
        <v>1289.7</v>
      </c>
      <c r="G30" s="228">
        <v>36.799999999999997</v>
      </c>
      <c r="H30" s="229">
        <v>2.8500000000000001E-2</v>
      </c>
      <c r="I30" s="231">
        <v>1325.5</v>
      </c>
      <c r="J30" s="231">
        <v>1291.4000000000001</v>
      </c>
      <c r="K30" s="228">
        <v>34.1</v>
      </c>
      <c r="L30" s="229">
        <v>2.64E-2</v>
      </c>
      <c r="M30" s="231">
        <v>1326.5</v>
      </c>
      <c r="N30" s="231">
        <v>1289.7</v>
      </c>
      <c r="O30" s="228">
        <v>36.799999999999997</v>
      </c>
      <c r="P30" s="229">
        <v>2.8500000000000001E-2</v>
      </c>
      <c r="Q30" s="231">
        <v>1316.2</v>
      </c>
      <c r="R30" s="231">
        <v>1278.7</v>
      </c>
      <c r="S30" s="228">
        <v>37.5</v>
      </c>
      <c r="T30" s="229">
        <v>2.93E-2</v>
      </c>
      <c r="U30" s="231">
        <v>1310</v>
      </c>
      <c r="V30" s="231">
        <v>1273.8</v>
      </c>
      <c r="W30" s="228">
        <v>36.200000000000003</v>
      </c>
      <c r="X30" s="229">
        <v>2.8400000000000002E-2</v>
      </c>
      <c r="Y30" s="228">
        <v>1</v>
      </c>
      <c r="Z30" s="228">
        <v>-1.7</v>
      </c>
      <c r="AA30" s="228">
        <v>2.7</v>
      </c>
      <c r="AB30" s="229">
        <v>8.0000000000000004E-4</v>
      </c>
      <c r="AC30" s="228">
        <v>1</v>
      </c>
      <c r="AD30" s="228">
        <v>-1.7</v>
      </c>
      <c r="AE30" s="228">
        <v>2.7</v>
      </c>
      <c r="AF30" s="229">
        <v>8.0000000000000004E-4</v>
      </c>
      <c r="AG30" s="228">
        <v>-9.3000000000000007</v>
      </c>
      <c r="AH30" s="228">
        <v>-12.7</v>
      </c>
      <c r="AI30" s="228">
        <v>3.4</v>
      </c>
      <c r="AJ30" s="229">
        <v>-7.0000000000000001E-3</v>
      </c>
      <c r="AK30" s="228">
        <v>-15.5</v>
      </c>
      <c r="AL30" s="228">
        <v>-17.600000000000001</v>
      </c>
      <c r="AM30" s="228">
        <v>2.1</v>
      </c>
      <c r="AN30" s="229">
        <v>-1.17E-2</v>
      </c>
      <c r="AO30" s="231">
        <v>1319.87</v>
      </c>
      <c r="AP30" s="231">
        <v>1311.28</v>
      </c>
      <c r="AQ30" s="228">
        <v>0</v>
      </c>
      <c r="AR30" s="230">
        <v>2163700</v>
      </c>
      <c r="AS30" s="230">
        <v>1400000</v>
      </c>
      <c r="AT30" s="230">
        <v>763700</v>
      </c>
      <c r="AU30" s="229">
        <v>0.54549999999999998</v>
      </c>
      <c r="AV30" s="230">
        <v>1892100</v>
      </c>
      <c r="AW30" s="230">
        <v>1177400</v>
      </c>
      <c r="AX30" s="230">
        <v>714700</v>
      </c>
      <c r="AY30" s="229">
        <v>0.60699999999999998</v>
      </c>
      <c r="AZ30" s="230">
        <v>247450</v>
      </c>
      <c r="BA30" s="230">
        <v>205800</v>
      </c>
      <c r="BB30" s="230">
        <v>41650</v>
      </c>
      <c r="BC30" s="229">
        <v>0.2024</v>
      </c>
      <c r="BD30" s="230">
        <v>24150</v>
      </c>
      <c r="BE30" s="230">
        <v>16800</v>
      </c>
      <c r="BF30" s="230">
        <v>7350</v>
      </c>
      <c r="BG30" s="229">
        <v>0.4375</v>
      </c>
      <c r="BH30" s="230">
        <v>6895350</v>
      </c>
      <c r="BI30" s="230">
        <v>4756500</v>
      </c>
      <c r="BJ30" s="230">
        <v>2138850</v>
      </c>
      <c r="BK30" s="229">
        <v>0.44969999999999999</v>
      </c>
      <c r="BL30" s="230">
        <v>4440450</v>
      </c>
      <c r="BM30" s="230">
        <v>4487000</v>
      </c>
      <c r="BN30" s="230">
        <v>-46550</v>
      </c>
      <c r="BO30" s="229">
        <v>-1.04E-2</v>
      </c>
      <c r="BP30" s="230">
        <v>13499500</v>
      </c>
      <c r="BQ30" s="230">
        <v>10643500</v>
      </c>
      <c r="BR30" s="230">
        <v>2856000</v>
      </c>
      <c r="BS30" s="229">
        <v>0.26829999999999998</v>
      </c>
      <c r="BT30" s="230">
        <v>2851412</v>
      </c>
      <c r="BU30" s="230">
        <v>1700996</v>
      </c>
      <c r="BV30" s="230">
        <v>1150416</v>
      </c>
      <c r="BW30" s="229">
        <v>0.67630000000000001</v>
      </c>
      <c r="BX30" s="230">
        <v>4003300</v>
      </c>
      <c r="BY30" s="230">
        <v>3947650</v>
      </c>
      <c r="BZ30" s="230">
        <v>55650</v>
      </c>
      <c r="CA30" s="229">
        <v>1.41E-2</v>
      </c>
      <c r="CB30" s="230">
        <v>3463250</v>
      </c>
      <c r="CC30" s="230">
        <v>3480050</v>
      </c>
      <c r="CD30" s="230">
        <v>-16800</v>
      </c>
      <c r="CE30" s="229">
        <v>-4.7999999999999996E-3</v>
      </c>
      <c r="CF30" s="230">
        <v>504700</v>
      </c>
      <c r="CG30" s="230">
        <v>441000</v>
      </c>
      <c r="CH30" s="230">
        <v>63700</v>
      </c>
      <c r="CI30" s="229">
        <v>0.1444</v>
      </c>
      <c r="CJ30" s="230">
        <v>35350</v>
      </c>
      <c r="CK30" s="230">
        <v>26600</v>
      </c>
      <c r="CL30" s="230">
        <v>8750</v>
      </c>
      <c r="CM30" s="229">
        <v>0.32890000000000003</v>
      </c>
      <c r="CN30" s="230">
        <v>2551150</v>
      </c>
      <c r="CO30" s="230">
        <v>2546600</v>
      </c>
      <c r="CP30" s="230">
        <v>4550</v>
      </c>
      <c r="CQ30" s="229">
        <v>1.8E-3</v>
      </c>
      <c r="CR30" s="230">
        <v>2146900</v>
      </c>
      <c r="CS30" s="230">
        <v>1968050</v>
      </c>
      <c r="CT30" s="230">
        <v>178850</v>
      </c>
      <c r="CU30" s="229">
        <v>9.0899999999999995E-2</v>
      </c>
      <c r="CV30" s="230">
        <v>8701350</v>
      </c>
      <c r="CW30" s="230">
        <v>8462300</v>
      </c>
      <c r="CX30" s="230">
        <v>239050</v>
      </c>
      <c r="CY30" s="229">
        <v>2.8199999999999999E-2</v>
      </c>
      <c r="CZ30" s="228">
        <v>45.85</v>
      </c>
      <c r="DA30" s="228">
        <v>45.6</v>
      </c>
      <c r="DB30" s="228">
        <v>0.25</v>
      </c>
      <c r="DC30" s="228">
        <v>0.25</v>
      </c>
      <c r="DD30" s="228">
        <v>54.06</v>
      </c>
      <c r="DE30" s="228">
        <v>54.06</v>
      </c>
      <c r="DF30" s="228">
        <v>-8.2100000000000009</v>
      </c>
      <c r="DG30" s="228">
        <v>0</v>
      </c>
      <c r="DH30" s="228">
        <v>42.59</v>
      </c>
      <c r="DI30" s="228">
        <v>42</v>
      </c>
      <c r="DJ30" s="228">
        <v>0.59</v>
      </c>
      <c r="DK30" s="228">
        <v>0.59</v>
      </c>
      <c r="DL30" s="228">
        <v>50.92</v>
      </c>
      <c r="DM30" s="228">
        <v>49.42</v>
      </c>
      <c r="DN30" s="228">
        <v>1.5</v>
      </c>
      <c r="DO30" s="228">
        <v>1.5</v>
      </c>
      <c r="DP30" s="228">
        <v>0.84</v>
      </c>
      <c r="DQ30" s="228">
        <v>0.77</v>
      </c>
      <c r="DR30" s="228">
        <v>7.0000000000000007E-2</v>
      </c>
      <c r="DS30" s="229">
        <v>9.0899999999999995E-2</v>
      </c>
      <c r="DT30" s="231">
        <v>1400</v>
      </c>
      <c r="DU30" s="231">
        <v>1300</v>
      </c>
      <c r="DV30" s="228">
        <v>0.64</v>
      </c>
      <c r="DW30" s="228">
        <v>0.94</v>
      </c>
      <c r="DX30" s="228">
        <v>-0.3</v>
      </c>
      <c r="DY30" s="229">
        <v>-0.31909999999999999</v>
      </c>
      <c r="DZ30" s="229">
        <v>0.13489999999999999</v>
      </c>
      <c r="EA30" s="230">
        <v>467600</v>
      </c>
      <c r="EB30" s="229">
        <v>-7.7999999999999996E-3</v>
      </c>
      <c r="EC30" s="229">
        <v>0.13489999999999999</v>
      </c>
      <c r="ED30" s="228">
        <v>-8.59</v>
      </c>
      <c r="EE30" s="229">
        <v>-6.4999999999999997E-3</v>
      </c>
      <c r="EF30" s="230">
        <v>595742</v>
      </c>
      <c r="EG30" s="230">
        <v>533950</v>
      </c>
      <c r="EH30" s="229">
        <v>0.1157</v>
      </c>
      <c r="EI30" s="229">
        <v>0.2089</v>
      </c>
      <c r="EJ30" s="231">
        <v>96874.37</v>
      </c>
      <c r="EK30" s="231">
        <v>53230.47</v>
      </c>
      <c r="EL30" s="231">
        <v>28532.42</v>
      </c>
      <c r="EM30" s="231">
        <v>4140</v>
      </c>
      <c r="EN30" s="231">
        <v>178637.26</v>
      </c>
      <c r="EO30" s="231">
        <v>134072.5</v>
      </c>
      <c r="EP30" s="231">
        <v>44564.76</v>
      </c>
      <c r="EQ30" s="229">
        <v>0.33239999999999997</v>
      </c>
      <c r="ER30" s="231">
        <v>33664</v>
      </c>
      <c r="ES30" s="231">
        <v>25506</v>
      </c>
      <c r="ET30" s="231">
        <v>53046</v>
      </c>
      <c r="EU30" s="231">
        <v>13786716</v>
      </c>
      <c r="EV30" s="231">
        <v>112216</v>
      </c>
      <c r="EW30" s="231">
        <v>107263</v>
      </c>
      <c r="EX30" s="231">
        <v>4953</v>
      </c>
      <c r="EY30" s="229">
        <v>4.6199999999999998E-2</v>
      </c>
      <c r="EZ30" s="229">
        <v>0.63109999999999999</v>
      </c>
      <c r="FA30" s="227" t="s">
        <v>555</v>
      </c>
      <c r="FB30" s="161">
        <f t="shared" si="0"/>
        <v>540050</v>
      </c>
    </row>
    <row r="31" spans="1:158" ht="17.25" thickBot="1" x14ac:dyDescent="0.3">
      <c r="A31" s="226">
        <v>46121</v>
      </c>
      <c r="B31" s="227" t="s">
        <v>184</v>
      </c>
      <c r="C31" s="227" t="s">
        <v>185</v>
      </c>
      <c r="D31" s="228">
        <v>1425</v>
      </c>
      <c r="E31" s="228">
        <v>441.85</v>
      </c>
      <c r="F31" s="228">
        <v>435.1</v>
      </c>
      <c r="G31" s="228">
        <v>6.75</v>
      </c>
      <c r="H31" s="229">
        <v>1.55E-2</v>
      </c>
      <c r="I31" s="228">
        <v>439.75</v>
      </c>
      <c r="J31" s="228">
        <v>433.1</v>
      </c>
      <c r="K31" s="228">
        <v>6.65</v>
      </c>
      <c r="L31" s="229">
        <v>1.54E-2</v>
      </c>
      <c r="M31" s="228">
        <v>441.85</v>
      </c>
      <c r="N31" s="228">
        <v>435.1</v>
      </c>
      <c r="O31" s="228">
        <v>6.75</v>
      </c>
      <c r="P31" s="229">
        <v>1.55E-2</v>
      </c>
      <c r="Q31" s="228">
        <v>444.2</v>
      </c>
      <c r="R31" s="228">
        <v>437.5</v>
      </c>
      <c r="S31" s="228">
        <v>6.7</v>
      </c>
      <c r="T31" s="229">
        <v>1.5299999999999999E-2</v>
      </c>
      <c r="U31" s="228">
        <v>447.1</v>
      </c>
      <c r="V31" s="228">
        <v>440.45</v>
      </c>
      <c r="W31" s="228">
        <v>6.65</v>
      </c>
      <c r="X31" s="229">
        <v>1.5100000000000001E-2</v>
      </c>
      <c r="Y31" s="228">
        <v>2.1</v>
      </c>
      <c r="Z31" s="228">
        <v>2</v>
      </c>
      <c r="AA31" s="228">
        <v>0.1</v>
      </c>
      <c r="AB31" s="229">
        <v>4.7999999999999996E-3</v>
      </c>
      <c r="AC31" s="228">
        <v>2.1</v>
      </c>
      <c r="AD31" s="228">
        <v>2</v>
      </c>
      <c r="AE31" s="228">
        <v>0.1</v>
      </c>
      <c r="AF31" s="229">
        <v>4.7999999999999996E-3</v>
      </c>
      <c r="AG31" s="228">
        <v>4.45</v>
      </c>
      <c r="AH31" s="228">
        <v>4.4000000000000004</v>
      </c>
      <c r="AI31" s="228">
        <v>0.05</v>
      </c>
      <c r="AJ31" s="229">
        <v>1.01E-2</v>
      </c>
      <c r="AK31" s="228">
        <v>7.35</v>
      </c>
      <c r="AL31" s="228">
        <v>7.35</v>
      </c>
      <c r="AM31" s="228">
        <v>0</v>
      </c>
      <c r="AN31" s="229">
        <v>1.67E-2</v>
      </c>
      <c r="AO31" s="228">
        <v>441.35</v>
      </c>
      <c r="AP31" s="228">
        <v>444.55</v>
      </c>
      <c r="AQ31" s="228">
        <v>0</v>
      </c>
      <c r="AR31" s="230">
        <v>18259950</v>
      </c>
      <c r="AS31" s="230">
        <v>22185825</v>
      </c>
      <c r="AT31" s="230">
        <v>-3925875</v>
      </c>
      <c r="AU31" s="229">
        <v>-0.17699999999999999</v>
      </c>
      <c r="AV31" s="230">
        <v>15878775</v>
      </c>
      <c r="AW31" s="230">
        <v>19736250</v>
      </c>
      <c r="AX31" s="230">
        <v>-3857475</v>
      </c>
      <c r="AY31" s="229">
        <v>-0.19550000000000001</v>
      </c>
      <c r="AZ31" s="230">
        <v>1989300</v>
      </c>
      <c r="BA31" s="230">
        <v>1939425</v>
      </c>
      <c r="BB31" s="230">
        <v>49875</v>
      </c>
      <c r="BC31" s="229">
        <v>2.5700000000000001E-2</v>
      </c>
      <c r="BD31" s="230">
        <v>391875</v>
      </c>
      <c r="BE31" s="230">
        <v>510150</v>
      </c>
      <c r="BF31" s="230">
        <v>-118275</v>
      </c>
      <c r="BG31" s="229">
        <v>-0.23180000000000001</v>
      </c>
      <c r="BH31" s="230">
        <v>82900800</v>
      </c>
      <c r="BI31" s="230">
        <v>60640875</v>
      </c>
      <c r="BJ31" s="230">
        <v>22259925</v>
      </c>
      <c r="BK31" s="229">
        <v>0.36709999999999998</v>
      </c>
      <c r="BL31" s="230">
        <v>33372075</v>
      </c>
      <c r="BM31" s="230">
        <v>29779650</v>
      </c>
      <c r="BN31" s="230">
        <v>3592425</v>
      </c>
      <c r="BO31" s="229">
        <v>0.1206</v>
      </c>
      <c r="BP31" s="230">
        <v>134532825</v>
      </c>
      <c r="BQ31" s="230">
        <v>112606350</v>
      </c>
      <c r="BR31" s="230">
        <v>21926475</v>
      </c>
      <c r="BS31" s="229">
        <v>0.19470000000000001</v>
      </c>
      <c r="BT31" s="230">
        <v>20925439</v>
      </c>
      <c r="BU31" s="230">
        <v>21219911</v>
      </c>
      <c r="BV31" s="230">
        <v>-294472</v>
      </c>
      <c r="BW31" s="229">
        <v>-1.3899999999999999E-2</v>
      </c>
      <c r="BX31" s="230">
        <v>102547275</v>
      </c>
      <c r="BY31" s="230">
        <v>103885350</v>
      </c>
      <c r="BZ31" s="230">
        <v>-1338075</v>
      </c>
      <c r="CA31" s="229">
        <v>-1.29E-2</v>
      </c>
      <c r="CB31" s="230">
        <v>93829125</v>
      </c>
      <c r="CC31" s="230">
        <v>95725800</v>
      </c>
      <c r="CD31" s="230">
        <v>-1896675</v>
      </c>
      <c r="CE31" s="229">
        <v>-1.9800000000000002E-2</v>
      </c>
      <c r="CF31" s="230">
        <v>7817550</v>
      </c>
      <c r="CG31" s="230">
        <v>7251825</v>
      </c>
      <c r="CH31" s="230">
        <v>565725</v>
      </c>
      <c r="CI31" s="229">
        <v>7.8E-2</v>
      </c>
      <c r="CJ31" s="230">
        <v>900600</v>
      </c>
      <c r="CK31" s="230">
        <v>907725</v>
      </c>
      <c r="CL31" s="230">
        <v>-7125</v>
      </c>
      <c r="CM31" s="229">
        <v>-7.7999999999999996E-3</v>
      </c>
      <c r="CN31" s="230">
        <v>39213150</v>
      </c>
      <c r="CO31" s="230">
        <v>37791000</v>
      </c>
      <c r="CP31" s="230">
        <v>1422150</v>
      </c>
      <c r="CQ31" s="229">
        <v>3.7600000000000001E-2</v>
      </c>
      <c r="CR31" s="230">
        <v>25734075</v>
      </c>
      <c r="CS31" s="230">
        <v>23116350</v>
      </c>
      <c r="CT31" s="230">
        <v>2617725</v>
      </c>
      <c r="CU31" s="229">
        <v>0.1132</v>
      </c>
      <c r="CV31" s="230">
        <v>167494500</v>
      </c>
      <c r="CW31" s="230">
        <v>164792700</v>
      </c>
      <c r="CX31" s="230">
        <v>2701800</v>
      </c>
      <c r="CY31" s="229">
        <v>1.6400000000000001E-2</v>
      </c>
      <c r="CZ31" s="228">
        <v>32.99</v>
      </c>
      <c r="DA31" s="228">
        <v>32.799999999999997</v>
      </c>
      <c r="DB31" s="228">
        <v>0.19</v>
      </c>
      <c r="DC31" s="228">
        <v>0.19</v>
      </c>
      <c r="DD31" s="228">
        <v>37.58</v>
      </c>
      <c r="DE31" s="228">
        <v>37.61</v>
      </c>
      <c r="DF31" s="228">
        <v>-4.59</v>
      </c>
      <c r="DG31" s="228">
        <v>-0.03</v>
      </c>
      <c r="DH31" s="228">
        <v>32.340000000000003</v>
      </c>
      <c r="DI31" s="228">
        <v>31.79</v>
      </c>
      <c r="DJ31" s="228">
        <v>0.55000000000000004</v>
      </c>
      <c r="DK31" s="228">
        <v>0.55000000000000004</v>
      </c>
      <c r="DL31" s="228">
        <v>34.619999999999997</v>
      </c>
      <c r="DM31" s="228">
        <v>34.869999999999997</v>
      </c>
      <c r="DN31" s="228">
        <v>-0.25</v>
      </c>
      <c r="DO31" s="228">
        <v>-0.25</v>
      </c>
      <c r="DP31" s="228">
        <v>0.66</v>
      </c>
      <c r="DQ31" s="228">
        <v>0.61</v>
      </c>
      <c r="DR31" s="228">
        <v>0.05</v>
      </c>
      <c r="DS31" s="229">
        <v>8.2000000000000003E-2</v>
      </c>
      <c r="DT31" s="228">
        <v>500</v>
      </c>
      <c r="DU31" s="228">
        <v>400</v>
      </c>
      <c r="DV31" s="228">
        <v>0.4</v>
      </c>
      <c r="DW31" s="228">
        <v>0.49</v>
      </c>
      <c r="DX31" s="228">
        <v>-0.09</v>
      </c>
      <c r="DY31" s="229">
        <v>-0.1837</v>
      </c>
      <c r="DZ31" s="229">
        <v>8.5000000000000006E-2</v>
      </c>
      <c r="EA31" s="230">
        <v>8159550</v>
      </c>
      <c r="EB31" s="229">
        <v>5.3E-3</v>
      </c>
      <c r="EC31" s="229">
        <v>8.5000000000000006E-2</v>
      </c>
      <c r="ED31" s="228">
        <v>3.2</v>
      </c>
      <c r="EE31" s="229">
        <v>7.3000000000000001E-3</v>
      </c>
      <c r="EF31" s="230">
        <v>7744290</v>
      </c>
      <c r="EG31" s="230">
        <v>9125585</v>
      </c>
      <c r="EH31" s="229">
        <v>-0.15140000000000001</v>
      </c>
      <c r="EI31" s="229">
        <v>0.37009999999999998</v>
      </c>
      <c r="EJ31" s="231">
        <v>385926.88</v>
      </c>
      <c r="EK31" s="231">
        <v>143339.13</v>
      </c>
      <c r="EL31" s="231">
        <v>80675.06</v>
      </c>
      <c r="EM31" s="231">
        <v>11371</v>
      </c>
      <c r="EN31" s="231">
        <v>609941.06999999995</v>
      </c>
      <c r="EO31" s="231">
        <v>499446.1</v>
      </c>
      <c r="EP31" s="231">
        <v>110494.97</v>
      </c>
      <c r="EQ31" s="229">
        <v>0.22120000000000001</v>
      </c>
      <c r="ER31" s="231">
        <v>178219</v>
      </c>
      <c r="ES31" s="231">
        <v>106966</v>
      </c>
      <c r="ET31" s="231">
        <v>453336</v>
      </c>
      <c r="EU31" s="231">
        <v>535778534</v>
      </c>
      <c r="EV31" s="231">
        <v>738521</v>
      </c>
      <c r="EW31" s="231">
        <v>718955</v>
      </c>
      <c r="EX31" s="231">
        <v>19566</v>
      </c>
      <c r="EY31" s="229">
        <v>2.7199999999999998E-2</v>
      </c>
      <c r="EZ31" s="229">
        <v>0.31259999999999999</v>
      </c>
      <c r="FA31" s="227" t="s">
        <v>694</v>
      </c>
      <c r="FB31" s="161">
        <f t="shared" si="0"/>
        <v>8718150</v>
      </c>
    </row>
    <row r="32" spans="1:158" ht="17.25" thickBot="1" x14ac:dyDescent="0.3">
      <c r="A32" s="226">
        <v>46121</v>
      </c>
      <c r="B32" s="227" t="s">
        <v>162</v>
      </c>
      <c r="C32" s="227" t="s">
        <v>187</v>
      </c>
      <c r="D32" s="228">
        <v>500</v>
      </c>
      <c r="E32" s="231">
        <v>1748.2</v>
      </c>
      <c r="F32" s="231">
        <v>1790.4</v>
      </c>
      <c r="G32" s="228">
        <v>-42.2</v>
      </c>
      <c r="H32" s="229">
        <v>-2.3599999999999999E-2</v>
      </c>
      <c r="I32" s="231">
        <v>1739.4</v>
      </c>
      <c r="J32" s="231">
        <v>1781.4</v>
      </c>
      <c r="K32" s="228">
        <v>-42</v>
      </c>
      <c r="L32" s="229">
        <v>-2.3599999999999999E-2</v>
      </c>
      <c r="M32" s="231">
        <v>1748.2</v>
      </c>
      <c r="N32" s="231">
        <v>1790.4</v>
      </c>
      <c r="O32" s="228">
        <v>-42.2</v>
      </c>
      <c r="P32" s="229">
        <v>-2.3599999999999999E-2</v>
      </c>
      <c r="Q32" s="231">
        <v>1755</v>
      </c>
      <c r="R32" s="231">
        <v>1795.9</v>
      </c>
      <c r="S32" s="228">
        <v>-40.9</v>
      </c>
      <c r="T32" s="229">
        <v>-2.2800000000000001E-2</v>
      </c>
      <c r="U32" s="231">
        <v>1755</v>
      </c>
      <c r="V32" s="231">
        <v>1802.9</v>
      </c>
      <c r="W32" s="228">
        <v>-47.9</v>
      </c>
      <c r="X32" s="229">
        <v>-2.6599999999999999E-2</v>
      </c>
      <c r="Y32" s="228">
        <v>8.8000000000000007</v>
      </c>
      <c r="Z32" s="228">
        <v>9</v>
      </c>
      <c r="AA32" s="228">
        <v>-0.2</v>
      </c>
      <c r="AB32" s="229">
        <v>5.1000000000000004E-3</v>
      </c>
      <c r="AC32" s="228">
        <v>8.8000000000000007</v>
      </c>
      <c r="AD32" s="228">
        <v>9</v>
      </c>
      <c r="AE32" s="228">
        <v>-0.2</v>
      </c>
      <c r="AF32" s="229">
        <v>5.1000000000000004E-3</v>
      </c>
      <c r="AG32" s="228">
        <v>15.6</v>
      </c>
      <c r="AH32" s="228">
        <v>14.5</v>
      </c>
      <c r="AI32" s="228">
        <v>1.1000000000000001</v>
      </c>
      <c r="AJ32" s="229">
        <v>8.9999999999999993E-3</v>
      </c>
      <c r="AK32" s="228">
        <v>15.6</v>
      </c>
      <c r="AL32" s="228">
        <v>21.5</v>
      </c>
      <c r="AM32" s="228">
        <v>-5.9</v>
      </c>
      <c r="AN32" s="229">
        <v>8.9999999999999993E-3</v>
      </c>
      <c r="AO32" s="231">
        <v>1757.21</v>
      </c>
      <c r="AP32" s="231">
        <v>1763.76</v>
      </c>
      <c r="AQ32" s="228">
        <v>0</v>
      </c>
      <c r="AR32" s="230">
        <v>1727500</v>
      </c>
      <c r="AS32" s="230">
        <v>2863000</v>
      </c>
      <c r="AT32" s="230">
        <v>-1135500</v>
      </c>
      <c r="AU32" s="229">
        <v>-0.39660000000000001</v>
      </c>
      <c r="AV32" s="230">
        <v>1643000</v>
      </c>
      <c r="AW32" s="230">
        <v>2761500</v>
      </c>
      <c r="AX32" s="230">
        <v>-1118500</v>
      </c>
      <c r="AY32" s="229">
        <v>-0.40500000000000003</v>
      </c>
      <c r="AZ32" s="230">
        <v>73500</v>
      </c>
      <c r="BA32" s="230">
        <v>88500</v>
      </c>
      <c r="BB32" s="230">
        <v>-15000</v>
      </c>
      <c r="BC32" s="229">
        <v>-0.16950000000000001</v>
      </c>
      <c r="BD32" s="230">
        <v>11000</v>
      </c>
      <c r="BE32" s="230">
        <v>13000</v>
      </c>
      <c r="BF32" s="230">
        <v>-2000</v>
      </c>
      <c r="BG32" s="229">
        <v>-0.15379999999999999</v>
      </c>
      <c r="BH32" s="230">
        <v>3652000</v>
      </c>
      <c r="BI32" s="230">
        <v>6305500</v>
      </c>
      <c r="BJ32" s="230">
        <v>-2653500</v>
      </c>
      <c r="BK32" s="229">
        <v>-0.42080000000000001</v>
      </c>
      <c r="BL32" s="230">
        <v>2069500</v>
      </c>
      <c r="BM32" s="230">
        <v>2800000</v>
      </c>
      <c r="BN32" s="230">
        <v>-730500</v>
      </c>
      <c r="BO32" s="229">
        <v>-0.26090000000000002</v>
      </c>
      <c r="BP32" s="230">
        <v>7449000</v>
      </c>
      <c r="BQ32" s="230">
        <v>11968500</v>
      </c>
      <c r="BR32" s="230">
        <v>-4519500</v>
      </c>
      <c r="BS32" s="229">
        <v>-0.37759999999999999</v>
      </c>
      <c r="BT32" s="230">
        <v>1895455</v>
      </c>
      <c r="BU32" s="230">
        <v>2094694</v>
      </c>
      <c r="BV32" s="230">
        <v>-199239</v>
      </c>
      <c r="BW32" s="229">
        <v>-9.5100000000000004E-2</v>
      </c>
      <c r="BX32" s="230">
        <v>8248000</v>
      </c>
      <c r="BY32" s="230">
        <v>8045000</v>
      </c>
      <c r="BZ32" s="230">
        <v>203000</v>
      </c>
      <c r="CA32" s="229">
        <v>2.52E-2</v>
      </c>
      <c r="CB32" s="230">
        <v>8116000</v>
      </c>
      <c r="CC32" s="230">
        <v>7938500</v>
      </c>
      <c r="CD32" s="230">
        <v>177500</v>
      </c>
      <c r="CE32" s="229">
        <v>2.24E-2</v>
      </c>
      <c r="CF32" s="230">
        <v>113000</v>
      </c>
      <c r="CG32" s="230">
        <v>94500</v>
      </c>
      <c r="CH32" s="230">
        <v>18500</v>
      </c>
      <c r="CI32" s="229">
        <v>0.1958</v>
      </c>
      <c r="CJ32" s="230">
        <v>19000</v>
      </c>
      <c r="CK32" s="230">
        <v>12000</v>
      </c>
      <c r="CL32" s="230">
        <v>7000</v>
      </c>
      <c r="CM32" s="229">
        <v>0.58330000000000004</v>
      </c>
      <c r="CN32" s="230">
        <v>2945500</v>
      </c>
      <c r="CO32" s="230">
        <v>2714000</v>
      </c>
      <c r="CP32" s="230">
        <v>231500</v>
      </c>
      <c r="CQ32" s="229">
        <v>8.5300000000000001E-2</v>
      </c>
      <c r="CR32" s="230">
        <v>1580000</v>
      </c>
      <c r="CS32" s="230">
        <v>1591500</v>
      </c>
      <c r="CT32" s="230">
        <v>-11500</v>
      </c>
      <c r="CU32" s="229">
        <v>-7.1999999999999998E-3</v>
      </c>
      <c r="CV32" s="230">
        <v>12773500</v>
      </c>
      <c r="CW32" s="230">
        <v>12350500</v>
      </c>
      <c r="CX32" s="230">
        <v>423000</v>
      </c>
      <c r="CY32" s="229">
        <v>3.4200000000000001E-2</v>
      </c>
      <c r="CZ32" s="228">
        <v>36.9</v>
      </c>
      <c r="DA32" s="228">
        <v>36.64</v>
      </c>
      <c r="DB32" s="228">
        <v>0.26</v>
      </c>
      <c r="DC32" s="228">
        <v>0.26</v>
      </c>
      <c r="DD32" s="228">
        <v>40.08</v>
      </c>
      <c r="DE32" s="228">
        <v>40.049999999999997</v>
      </c>
      <c r="DF32" s="228">
        <v>-3.18</v>
      </c>
      <c r="DG32" s="228">
        <v>0.03</v>
      </c>
      <c r="DH32" s="228">
        <v>36.19</v>
      </c>
      <c r="DI32" s="228">
        <v>35.08</v>
      </c>
      <c r="DJ32" s="228">
        <v>1.1100000000000001</v>
      </c>
      <c r="DK32" s="228">
        <v>1.1100000000000001</v>
      </c>
      <c r="DL32" s="228">
        <v>38.159999999999997</v>
      </c>
      <c r="DM32" s="228">
        <v>40.18</v>
      </c>
      <c r="DN32" s="228">
        <v>-2.02</v>
      </c>
      <c r="DO32" s="228">
        <v>-2.02</v>
      </c>
      <c r="DP32" s="228">
        <v>0.54</v>
      </c>
      <c r="DQ32" s="228">
        <v>0.59</v>
      </c>
      <c r="DR32" s="228">
        <v>-0.05</v>
      </c>
      <c r="DS32" s="229">
        <v>-8.4699999999999998E-2</v>
      </c>
      <c r="DT32" s="231">
        <v>1800</v>
      </c>
      <c r="DU32" s="231">
        <v>1700</v>
      </c>
      <c r="DV32" s="228">
        <v>0.56999999999999995</v>
      </c>
      <c r="DW32" s="228">
        <v>0.44</v>
      </c>
      <c r="DX32" s="228">
        <v>0.13</v>
      </c>
      <c r="DY32" s="229">
        <v>0.29549999999999998</v>
      </c>
      <c r="DZ32" s="229">
        <v>1.6E-2</v>
      </c>
      <c r="EA32" s="230">
        <v>106500</v>
      </c>
      <c r="EB32" s="229">
        <v>3.8999999999999998E-3</v>
      </c>
      <c r="EC32" s="229">
        <v>1.6E-2</v>
      </c>
      <c r="ED32" s="228">
        <v>6.55</v>
      </c>
      <c r="EE32" s="229">
        <v>3.7000000000000002E-3</v>
      </c>
      <c r="EF32" s="230">
        <v>922963</v>
      </c>
      <c r="EG32" s="230">
        <v>961679</v>
      </c>
      <c r="EH32" s="229">
        <v>-4.0300000000000002E-2</v>
      </c>
      <c r="EI32" s="229">
        <v>0.4869</v>
      </c>
      <c r="EJ32" s="231">
        <v>67763.38</v>
      </c>
      <c r="EK32" s="231">
        <v>35979.49</v>
      </c>
      <c r="EL32" s="231">
        <v>30362.03</v>
      </c>
      <c r="EM32" s="231">
        <v>3863</v>
      </c>
      <c r="EN32" s="231">
        <v>134104.9</v>
      </c>
      <c r="EO32" s="231">
        <v>216439</v>
      </c>
      <c r="EP32" s="231">
        <v>-82334.100000000006</v>
      </c>
      <c r="EQ32" s="229">
        <v>-0.38040000000000002</v>
      </c>
      <c r="ER32" s="231">
        <v>53997</v>
      </c>
      <c r="ES32" s="231">
        <v>26263</v>
      </c>
      <c r="ET32" s="231">
        <v>144201</v>
      </c>
      <c r="EU32" s="231">
        <v>40107751</v>
      </c>
      <c r="EV32" s="231">
        <v>224461</v>
      </c>
      <c r="EW32" s="231">
        <v>220216</v>
      </c>
      <c r="EX32" s="231">
        <v>4245</v>
      </c>
      <c r="EY32" s="229">
        <v>1.9300000000000001E-2</v>
      </c>
      <c r="EZ32" s="229">
        <v>0.31850000000000001</v>
      </c>
      <c r="FA32" s="227" t="s">
        <v>566</v>
      </c>
      <c r="FB32" s="161">
        <f t="shared" si="0"/>
        <v>132000</v>
      </c>
    </row>
    <row r="33" spans="1:158" ht="17.25" thickBot="1" x14ac:dyDescent="0.3">
      <c r="A33" s="226">
        <v>46121</v>
      </c>
      <c r="B33" s="227" t="s">
        <v>188</v>
      </c>
      <c r="C33" s="227" t="s">
        <v>189</v>
      </c>
      <c r="D33" s="228">
        <v>475</v>
      </c>
      <c r="E33" s="231">
        <v>1866.1</v>
      </c>
      <c r="F33" s="231">
        <v>1865.5</v>
      </c>
      <c r="G33" s="228">
        <v>0.6</v>
      </c>
      <c r="H33" s="229">
        <v>2.9999999999999997E-4</v>
      </c>
      <c r="I33" s="231">
        <v>1859.4</v>
      </c>
      <c r="J33" s="231">
        <v>1861.6</v>
      </c>
      <c r="K33" s="228">
        <v>-2.2000000000000002</v>
      </c>
      <c r="L33" s="229">
        <v>-1.1999999999999999E-3</v>
      </c>
      <c r="M33" s="231">
        <v>1866.1</v>
      </c>
      <c r="N33" s="231">
        <v>1865.5</v>
      </c>
      <c r="O33" s="228">
        <v>0.6</v>
      </c>
      <c r="P33" s="229">
        <v>2.9999999999999997E-4</v>
      </c>
      <c r="Q33" s="231">
        <v>1877</v>
      </c>
      <c r="R33" s="231">
        <v>1876.9</v>
      </c>
      <c r="S33" s="228">
        <v>0.1</v>
      </c>
      <c r="T33" s="229">
        <v>1E-4</v>
      </c>
      <c r="U33" s="231">
        <v>1886.1</v>
      </c>
      <c r="V33" s="231">
        <v>1888</v>
      </c>
      <c r="W33" s="228">
        <v>-1.9</v>
      </c>
      <c r="X33" s="229">
        <v>-1E-3</v>
      </c>
      <c r="Y33" s="228">
        <v>6.7</v>
      </c>
      <c r="Z33" s="228">
        <v>3.9</v>
      </c>
      <c r="AA33" s="228">
        <v>2.8</v>
      </c>
      <c r="AB33" s="229">
        <v>3.5999999999999999E-3</v>
      </c>
      <c r="AC33" s="228">
        <v>6.7</v>
      </c>
      <c r="AD33" s="228">
        <v>3.9</v>
      </c>
      <c r="AE33" s="228">
        <v>2.8</v>
      </c>
      <c r="AF33" s="229">
        <v>3.5999999999999999E-3</v>
      </c>
      <c r="AG33" s="228">
        <v>17.600000000000001</v>
      </c>
      <c r="AH33" s="228">
        <v>15.3</v>
      </c>
      <c r="AI33" s="228">
        <v>2.2999999999999998</v>
      </c>
      <c r="AJ33" s="229">
        <v>9.4999999999999998E-3</v>
      </c>
      <c r="AK33" s="228">
        <v>26.7</v>
      </c>
      <c r="AL33" s="228">
        <v>26.4</v>
      </c>
      <c r="AM33" s="228">
        <v>0.3</v>
      </c>
      <c r="AN33" s="229">
        <v>1.44E-2</v>
      </c>
      <c r="AO33" s="231">
        <v>1862.17</v>
      </c>
      <c r="AP33" s="231">
        <v>1872.14</v>
      </c>
      <c r="AQ33" s="228">
        <v>0</v>
      </c>
      <c r="AR33" s="230">
        <v>3939650</v>
      </c>
      <c r="AS33" s="230">
        <v>5696675</v>
      </c>
      <c r="AT33" s="230">
        <v>-1757025</v>
      </c>
      <c r="AU33" s="229">
        <v>-0.30840000000000001</v>
      </c>
      <c r="AV33" s="230">
        <v>3180125</v>
      </c>
      <c r="AW33" s="230">
        <v>5249225</v>
      </c>
      <c r="AX33" s="230">
        <v>-2069100</v>
      </c>
      <c r="AY33" s="229">
        <v>-0.39419999999999999</v>
      </c>
      <c r="AZ33" s="230">
        <v>268375</v>
      </c>
      <c r="BA33" s="230">
        <v>390450</v>
      </c>
      <c r="BB33" s="230">
        <v>-122075</v>
      </c>
      <c r="BC33" s="229">
        <v>-0.31269999999999998</v>
      </c>
      <c r="BD33" s="230">
        <v>491150</v>
      </c>
      <c r="BE33" s="230">
        <v>57000</v>
      </c>
      <c r="BF33" s="230">
        <v>434150</v>
      </c>
      <c r="BG33" s="229">
        <v>7.6166999999999998</v>
      </c>
      <c r="BH33" s="230">
        <v>10901725</v>
      </c>
      <c r="BI33" s="230">
        <v>25327000</v>
      </c>
      <c r="BJ33" s="230">
        <v>-14425275</v>
      </c>
      <c r="BK33" s="229">
        <v>-0.5696</v>
      </c>
      <c r="BL33" s="230">
        <v>6183550</v>
      </c>
      <c r="BM33" s="230">
        <v>10308450</v>
      </c>
      <c r="BN33" s="230">
        <v>-4124900</v>
      </c>
      <c r="BO33" s="229">
        <v>-0.40010000000000001</v>
      </c>
      <c r="BP33" s="230">
        <v>21024925</v>
      </c>
      <c r="BQ33" s="230">
        <v>41332125</v>
      </c>
      <c r="BR33" s="230">
        <v>-20307200</v>
      </c>
      <c r="BS33" s="229">
        <v>-0.49130000000000001</v>
      </c>
      <c r="BT33" s="230">
        <v>11381891</v>
      </c>
      <c r="BU33" s="230">
        <v>11935125</v>
      </c>
      <c r="BV33" s="230">
        <v>-553234</v>
      </c>
      <c r="BW33" s="229">
        <v>-4.6399999999999997E-2</v>
      </c>
      <c r="BX33" s="230">
        <v>59022550</v>
      </c>
      <c r="BY33" s="230">
        <v>59053425</v>
      </c>
      <c r="BZ33" s="230">
        <v>-30875</v>
      </c>
      <c r="CA33" s="229">
        <v>-5.0000000000000001E-4</v>
      </c>
      <c r="CB33" s="230">
        <v>50047425</v>
      </c>
      <c r="CC33" s="230">
        <v>50645925</v>
      </c>
      <c r="CD33" s="230">
        <v>-598500</v>
      </c>
      <c r="CE33" s="229">
        <v>-1.18E-2</v>
      </c>
      <c r="CF33" s="230">
        <v>7709725</v>
      </c>
      <c r="CG33" s="230">
        <v>7617575</v>
      </c>
      <c r="CH33" s="230">
        <v>92150</v>
      </c>
      <c r="CI33" s="229">
        <v>1.21E-2</v>
      </c>
      <c r="CJ33" s="230">
        <v>1265400</v>
      </c>
      <c r="CK33" s="230">
        <v>789925</v>
      </c>
      <c r="CL33" s="230">
        <v>475475</v>
      </c>
      <c r="CM33" s="229">
        <v>0.60189999999999999</v>
      </c>
      <c r="CN33" s="230">
        <v>8754250</v>
      </c>
      <c r="CO33" s="230">
        <v>8681100</v>
      </c>
      <c r="CP33" s="230">
        <v>73150</v>
      </c>
      <c r="CQ33" s="229">
        <v>8.3999999999999995E-3</v>
      </c>
      <c r="CR33" s="230">
        <v>7681225</v>
      </c>
      <c r="CS33" s="230">
        <v>7587650</v>
      </c>
      <c r="CT33" s="230">
        <v>93575</v>
      </c>
      <c r="CU33" s="229">
        <v>1.23E-2</v>
      </c>
      <c r="CV33" s="230">
        <v>75458025</v>
      </c>
      <c r="CW33" s="230">
        <v>75322175</v>
      </c>
      <c r="CX33" s="230">
        <v>135850</v>
      </c>
      <c r="CY33" s="229">
        <v>1.8E-3</v>
      </c>
      <c r="CZ33" s="228">
        <v>22.61</v>
      </c>
      <c r="DA33" s="228">
        <v>22.96</v>
      </c>
      <c r="DB33" s="228">
        <v>-0.35</v>
      </c>
      <c r="DC33" s="228">
        <v>-0.35</v>
      </c>
      <c r="DD33" s="228">
        <v>24.45</v>
      </c>
      <c r="DE33" s="228">
        <v>24.51</v>
      </c>
      <c r="DF33" s="228">
        <v>-1.84</v>
      </c>
      <c r="DG33" s="228">
        <v>-0.06</v>
      </c>
      <c r="DH33" s="228">
        <v>21.76</v>
      </c>
      <c r="DI33" s="228">
        <v>21.99</v>
      </c>
      <c r="DJ33" s="228">
        <v>-0.23</v>
      </c>
      <c r="DK33" s="228">
        <v>-0.23</v>
      </c>
      <c r="DL33" s="228">
        <v>24.11</v>
      </c>
      <c r="DM33" s="228">
        <v>25.33</v>
      </c>
      <c r="DN33" s="228">
        <v>-1.22</v>
      </c>
      <c r="DO33" s="228">
        <v>-1.22</v>
      </c>
      <c r="DP33" s="228">
        <v>0.88</v>
      </c>
      <c r="DQ33" s="228">
        <v>0.87</v>
      </c>
      <c r="DR33" s="228">
        <v>0.01</v>
      </c>
      <c r="DS33" s="229">
        <v>1.15E-2</v>
      </c>
      <c r="DT33" s="231">
        <v>1900</v>
      </c>
      <c r="DU33" s="231">
        <v>1800</v>
      </c>
      <c r="DV33" s="228">
        <v>0.56999999999999995</v>
      </c>
      <c r="DW33" s="228">
        <v>0.41</v>
      </c>
      <c r="DX33" s="228">
        <v>0.16</v>
      </c>
      <c r="DY33" s="229">
        <v>0.39019999999999999</v>
      </c>
      <c r="DZ33" s="229">
        <v>0.15210000000000001</v>
      </c>
      <c r="EA33" s="230">
        <v>8407500</v>
      </c>
      <c r="EB33" s="229">
        <v>5.7999999999999996E-3</v>
      </c>
      <c r="EC33" s="229">
        <v>0.15210000000000001</v>
      </c>
      <c r="ED33" s="228">
        <v>9.9700000000000006</v>
      </c>
      <c r="EE33" s="229">
        <v>5.4000000000000003E-3</v>
      </c>
      <c r="EF33" s="230">
        <v>4080084</v>
      </c>
      <c r="EG33" s="230">
        <v>6968538</v>
      </c>
      <c r="EH33" s="229">
        <v>-0.41449999999999998</v>
      </c>
      <c r="EI33" s="229">
        <v>0.35849999999999999</v>
      </c>
      <c r="EJ33" s="231">
        <v>210364.96</v>
      </c>
      <c r="EK33" s="231">
        <v>114080.48</v>
      </c>
      <c r="EL33" s="231">
        <v>73490.12</v>
      </c>
      <c r="EM33" s="231">
        <v>13846</v>
      </c>
      <c r="EN33" s="231">
        <v>397935.56</v>
      </c>
      <c r="EO33" s="231">
        <v>781786.61</v>
      </c>
      <c r="EP33" s="231">
        <v>-383851.05</v>
      </c>
      <c r="EQ33" s="229">
        <v>-0.49099999999999999</v>
      </c>
      <c r="ER33" s="231">
        <v>165411</v>
      </c>
      <c r="ES33" s="231">
        <v>137242</v>
      </c>
      <c r="ET33" s="231">
        <v>1102513</v>
      </c>
      <c r="EU33" s="231">
        <v>342859930</v>
      </c>
      <c r="EV33" s="231">
        <v>1405166</v>
      </c>
      <c r="EW33" s="231">
        <v>1402270</v>
      </c>
      <c r="EX33" s="231">
        <v>2896</v>
      </c>
      <c r="EY33" s="229">
        <v>2.0999999999999999E-3</v>
      </c>
      <c r="EZ33" s="229">
        <v>0.22009999999999999</v>
      </c>
      <c r="FA33" s="227" t="s">
        <v>694</v>
      </c>
      <c r="FB33" s="161">
        <f t="shared" si="0"/>
        <v>8975125</v>
      </c>
    </row>
    <row r="34" spans="1:158" ht="17.25" thickBot="1" x14ac:dyDescent="0.3">
      <c r="A34" s="226">
        <v>46121</v>
      </c>
      <c r="B34" s="227" t="s">
        <v>184</v>
      </c>
      <c r="C34" s="227" t="s">
        <v>190</v>
      </c>
      <c r="D34" s="228">
        <v>2625</v>
      </c>
      <c r="E34" s="228">
        <v>277.77</v>
      </c>
      <c r="F34" s="228">
        <v>267.24</v>
      </c>
      <c r="G34" s="228">
        <v>10.53</v>
      </c>
      <c r="H34" s="229">
        <v>3.9399999999999998E-2</v>
      </c>
      <c r="I34" s="228">
        <v>277.2</v>
      </c>
      <c r="J34" s="228">
        <v>265.7</v>
      </c>
      <c r="K34" s="228">
        <v>11.5</v>
      </c>
      <c r="L34" s="229">
        <v>4.3299999999999998E-2</v>
      </c>
      <c r="M34" s="228">
        <v>277.77</v>
      </c>
      <c r="N34" s="228">
        <v>267.24</v>
      </c>
      <c r="O34" s="228">
        <v>10.53</v>
      </c>
      <c r="P34" s="229">
        <v>3.9399999999999998E-2</v>
      </c>
      <c r="Q34" s="228">
        <v>279.41000000000003</v>
      </c>
      <c r="R34" s="228">
        <v>268.62</v>
      </c>
      <c r="S34" s="228">
        <v>10.79</v>
      </c>
      <c r="T34" s="229">
        <v>4.02E-2</v>
      </c>
      <c r="U34" s="228">
        <v>280.36</v>
      </c>
      <c r="V34" s="228">
        <v>269.91000000000003</v>
      </c>
      <c r="W34" s="228">
        <v>10.45</v>
      </c>
      <c r="X34" s="229">
        <v>3.8699999999999998E-2</v>
      </c>
      <c r="Y34" s="228">
        <v>0.56999999999999995</v>
      </c>
      <c r="Z34" s="228">
        <v>1.54</v>
      </c>
      <c r="AA34" s="228">
        <v>-0.97</v>
      </c>
      <c r="AB34" s="229">
        <v>2.0999999999999999E-3</v>
      </c>
      <c r="AC34" s="228">
        <v>0.56999999999999995</v>
      </c>
      <c r="AD34" s="228">
        <v>1.54</v>
      </c>
      <c r="AE34" s="228">
        <v>-0.97</v>
      </c>
      <c r="AF34" s="229">
        <v>2.0999999999999999E-3</v>
      </c>
      <c r="AG34" s="228">
        <v>2.21</v>
      </c>
      <c r="AH34" s="228">
        <v>2.92</v>
      </c>
      <c r="AI34" s="228">
        <v>-0.71</v>
      </c>
      <c r="AJ34" s="229">
        <v>8.0000000000000002E-3</v>
      </c>
      <c r="AK34" s="228">
        <v>3.16</v>
      </c>
      <c r="AL34" s="228">
        <v>4.21</v>
      </c>
      <c r="AM34" s="228">
        <v>-1.05</v>
      </c>
      <c r="AN34" s="229">
        <v>1.14E-2</v>
      </c>
      <c r="AO34" s="228">
        <v>276.45999999999998</v>
      </c>
      <c r="AP34" s="228">
        <v>277.64999999999998</v>
      </c>
      <c r="AQ34" s="228">
        <v>0</v>
      </c>
      <c r="AR34" s="230">
        <v>33300750</v>
      </c>
      <c r="AS34" s="230">
        <v>22645875</v>
      </c>
      <c r="AT34" s="230">
        <v>10654875</v>
      </c>
      <c r="AU34" s="229">
        <v>0.47049999999999997</v>
      </c>
      <c r="AV34" s="230">
        <v>30893625</v>
      </c>
      <c r="AW34" s="230">
        <v>21630000</v>
      </c>
      <c r="AX34" s="230">
        <v>9263625</v>
      </c>
      <c r="AY34" s="229">
        <v>0.42830000000000001</v>
      </c>
      <c r="AZ34" s="230">
        <v>2037000</v>
      </c>
      <c r="BA34" s="230">
        <v>868875</v>
      </c>
      <c r="BB34" s="230">
        <v>1168125</v>
      </c>
      <c r="BC34" s="229">
        <v>1.3444</v>
      </c>
      <c r="BD34" s="230">
        <v>370125</v>
      </c>
      <c r="BE34" s="230">
        <v>147000</v>
      </c>
      <c r="BF34" s="230">
        <v>223125</v>
      </c>
      <c r="BG34" s="229">
        <v>1.5179</v>
      </c>
      <c r="BH34" s="230">
        <v>132126750</v>
      </c>
      <c r="BI34" s="230">
        <v>49735875</v>
      </c>
      <c r="BJ34" s="230">
        <v>82390875</v>
      </c>
      <c r="BK34" s="229">
        <v>1.6566000000000001</v>
      </c>
      <c r="BL34" s="230">
        <v>54917625</v>
      </c>
      <c r="BM34" s="230">
        <v>26131875</v>
      </c>
      <c r="BN34" s="230">
        <v>28785750</v>
      </c>
      <c r="BO34" s="229">
        <v>1.1015999999999999</v>
      </c>
      <c r="BP34" s="230">
        <v>220345125</v>
      </c>
      <c r="BQ34" s="230">
        <v>98513625</v>
      </c>
      <c r="BR34" s="230">
        <v>121831500</v>
      </c>
      <c r="BS34" s="229">
        <v>1.2366999999999999</v>
      </c>
      <c r="BT34" s="230">
        <v>33082481</v>
      </c>
      <c r="BU34" s="230">
        <v>17961151</v>
      </c>
      <c r="BV34" s="230">
        <v>15121330</v>
      </c>
      <c r="BW34" s="229">
        <v>0.84189999999999998</v>
      </c>
      <c r="BX34" s="230">
        <v>98366625</v>
      </c>
      <c r="BY34" s="230">
        <v>98726250</v>
      </c>
      <c r="BZ34" s="230">
        <v>-359625</v>
      </c>
      <c r="CA34" s="229">
        <v>-3.5999999999999999E-3</v>
      </c>
      <c r="CB34" s="230">
        <v>96203625</v>
      </c>
      <c r="CC34" s="230">
        <v>96941250</v>
      </c>
      <c r="CD34" s="230">
        <v>-737625</v>
      </c>
      <c r="CE34" s="229">
        <v>-7.6E-3</v>
      </c>
      <c r="CF34" s="230">
        <v>1918875</v>
      </c>
      <c r="CG34" s="230">
        <v>1611750</v>
      </c>
      <c r="CH34" s="230">
        <v>307125</v>
      </c>
      <c r="CI34" s="229">
        <v>0.19059999999999999</v>
      </c>
      <c r="CJ34" s="230">
        <v>244125</v>
      </c>
      <c r="CK34" s="230">
        <v>173250</v>
      </c>
      <c r="CL34" s="230">
        <v>70875</v>
      </c>
      <c r="CM34" s="229">
        <v>0.40910000000000002</v>
      </c>
      <c r="CN34" s="230">
        <v>31410750</v>
      </c>
      <c r="CO34" s="230">
        <v>29082375</v>
      </c>
      <c r="CP34" s="230">
        <v>2328375</v>
      </c>
      <c r="CQ34" s="229">
        <v>8.0100000000000005E-2</v>
      </c>
      <c r="CR34" s="230">
        <v>25507125</v>
      </c>
      <c r="CS34" s="230">
        <v>23517375</v>
      </c>
      <c r="CT34" s="230">
        <v>1989750</v>
      </c>
      <c r="CU34" s="229">
        <v>8.4599999999999995E-2</v>
      </c>
      <c r="CV34" s="230">
        <v>155284500</v>
      </c>
      <c r="CW34" s="230">
        <v>151326000</v>
      </c>
      <c r="CX34" s="230">
        <v>3958500</v>
      </c>
      <c r="CY34" s="229">
        <v>2.6200000000000001E-2</v>
      </c>
      <c r="CZ34" s="228">
        <v>38.630000000000003</v>
      </c>
      <c r="DA34" s="228">
        <v>37.909999999999997</v>
      </c>
      <c r="DB34" s="228">
        <v>0.72</v>
      </c>
      <c r="DC34" s="228">
        <v>0.72</v>
      </c>
      <c r="DD34" s="228">
        <v>47.02</v>
      </c>
      <c r="DE34" s="228">
        <v>46.85</v>
      </c>
      <c r="DF34" s="228">
        <v>-8.39</v>
      </c>
      <c r="DG34" s="228">
        <v>0.17</v>
      </c>
      <c r="DH34" s="228">
        <v>37.46</v>
      </c>
      <c r="DI34" s="228">
        <v>36.25</v>
      </c>
      <c r="DJ34" s="228">
        <v>1.21</v>
      </c>
      <c r="DK34" s="228">
        <v>1.21</v>
      </c>
      <c r="DL34" s="228">
        <v>41.44</v>
      </c>
      <c r="DM34" s="228">
        <v>41.07</v>
      </c>
      <c r="DN34" s="228">
        <v>0.37</v>
      </c>
      <c r="DO34" s="228">
        <v>0.37</v>
      </c>
      <c r="DP34" s="228">
        <v>0.81</v>
      </c>
      <c r="DQ34" s="228">
        <v>0.81</v>
      </c>
      <c r="DR34" s="228">
        <v>0</v>
      </c>
      <c r="DS34" s="229">
        <v>0</v>
      </c>
      <c r="DT34" s="228">
        <v>260</v>
      </c>
      <c r="DU34" s="228">
        <v>250</v>
      </c>
      <c r="DV34" s="228">
        <v>0.42</v>
      </c>
      <c r="DW34" s="228">
        <v>0.53</v>
      </c>
      <c r="DX34" s="228">
        <v>-0.11</v>
      </c>
      <c r="DY34" s="229">
        <v>-0.20749999999999999</v>
      </c>
      <c r="DZ34" s="229">
        <v>2.1999999999999999E-2</v>
      </c>
      <c r="EA34" s="230">
        <v>1785000</v>
      </c>
      <c r="EB34" s="229">
        <v>5.8999999999999999E-3</v>
      </c>
      <c r="EC34" s="229">
        <v>2.1999999999999999E-2</v>
      </c>
      <c r="ED34" s="228">
        <v>1.19</v>
      </c>
      <c r="EE34" s="229">
        <v>4.3E-3</v>
      </c>
      <c r="EF34" s="230">
        <v>10529178</v>
      </c>
      <c r="EG34" s="230">
        <v>8622431</v>
      </c>
      <c r="EH34" s="229">
        <v>0.22109999999999999</v>
      </c>
      <c r="EI34" s="229">
        <v>0.31830000000000003</v>
      </c>
      <c r="EJ34" s="231">
        <v>385887.9</v>
      </c>
      <c r="EK34" s="231">
        <v>147082.87</v>
      </c>
      <c r="EL34" s="231">
        <v>92097.31</v>
      </c>
      <c r="EM34" s="231">
        <v>8189</v>
      </c>
      <c r="EN34" s="231">
        <v>625068.07999999996</v>
      </c>
      <c r="EO34" s="231">
        <v>267261</v>
      </c>
      <c r="EP34" s="231">
        <v>357807.08</v>
      </c>
      <c r="EQ34" s="229">
        <v>1.3388</v>
      </c>
      <c r="ER34" s="231">
        <v>86122</v>
      </c>
      <c r="ES34" s="231">
        <v>63775</v>
      </c>
      <c r="ET34" s="231">
        <v>273271</v>
      </c>
      <c r="EU34" s="231">
        <v>192361942</v>
      </c>
      <c r="EV34" s="231">
        <v>423168</v>
      </c>
      <c r="EW34" s="231">
        <v>399901</v>
      </c>
      <c r="EX34" s="231">
        <v>23267</v>
      </c>
      <c r="EY34" s="229">
        <v>5.8200000000000002E-2</v>
      </c>
      <c r="EZ34" s="229">
        <v>0.80730000000000002</v>
      </c>
      <c r="FA34" s="227" t="s">
        <v>694</v>
      </c>
      <c r="FB34" s="161">
        <f t="shared" si="0"/>
        <v>2163000</v>
      </c>
    </row>
    <row r="35" spans="1:158" ht="17.25" thickBot="1" x14ac:dyDescent="0.3">
      <c r="A35" s="226">
        <v>46121</v>
      </c>
      <c r="B35" s="227" t="s">
        <v>170</v>
      </c>
      <c r="C35" s="227" t="s">
        <v>191</v>
      </c>
      <c r="D35" s="228">
        <v>2500</v>
      </c>
      <c r="E35" s="228">
        <v>346.8</v>
      </c>
      <c r="F35" s="228">
        <v>351.4</v>
      </c>
      <c r="G35" s="228">
        <v>-4.5999999999999996</v>
      </c>
      <c r="H35" s="229">
        <v>-1.3100000000000001E-2</v>
      </c>
      <c r="I35" s="228">
        <v>345.7</v>
      </c>
      <c r="J35" s="228">
        <v>349.8</v>
      </c>
      <c r="K35" s="228">
        <v>-4.0999999999999996</v>
      </c>
      <c r="L35" s="229">
        <v>-1.17E-2</v>
      </c>
      <c r="M35" s="228">
        <v>346.8</v>
      </c>
      <c r="N35" s="228">
        <v>351.4</v>
      </c>
      <c r="O35" s="228">
        <v>-4.5999999999999996</v>
      </c>
      <c r="P35" s="229">
        <v>-1.3100000000000001E-2</v>
      </c>
      <c r="Q35" s="228">
        <v>348.7</v>
      </c>
      <c r="R35" s="228">
        <v>353.2</v>
      </c>
      <c r="S35" s="228">
        <v>-4.5</v>
      </c>
      <c r="T35" s="229">
        <v>-1.2699999999999999E-2</v>
      </c>
      <c r="U35" s="228">
        <v>351.3</v>
      </c>
      <c r="V35" s="228">
        <v>355.85</v>
      </c>
      <c r="W35" s="228">
        <v>-4.55</v>
      </c>
      <c r="X35" s="229">
        <v>-1.2800000000000001E-2</v>
      </c>
      <c r="Y35" s="228">
        <v>1.1000000000000001</v>
      </c>
      <c r="Z35" s="228">
        <v>1.6</v>
      </c>
      <c r="AA35" s="228">
        <v>-0.5</v>
      </c>
      <c r="AB35" s="229">
        <v>3.2000000000000002E-3</v>
      </c>
      <c r="AC35" s="228">
        <v>1.1000000000000001</v>
      </c>
      <c r="AD35" s="228">
        <v>1.6</v>
      </c>
      <c r="AE35" s="228">
        <v>-0.5</v>
      </c>
      <c r="AF35" s="229">
        <v>3.2000000000000002E-3</v>
      </c>
      <c r="AG35" s="228">
        <v>3</v>
      </c>
      <c r="AH35" s="228">
        <v>3.4</v>
      </c>
      <c r="AI35" s="228">
        <v>-0.4</v>
      </c>
      <c r="AJ35" s="229">
        <v>8.6999999999999994E-3</v>
      </c>
      <c r="AK35" s="228">
        <v>5.6</v>
      </c>
      <c r="AL35" s="228">
        <v>6.05</v>
      </c>
      <c r="AM35" s="228">
        <v>-0.45</v>
      </c>
      <c r="AN35" s="229">
        <v>1.6199999999999999E-2</v>
      </c>
      <c r="AO35" s="228">
        <v>347.93</v>
      </c>
      <c r="AP35" s="228">
        <v>350.22</v>
      </c>
      <c r="AQ35" s="228">
        <v>0</v>
      </c>
      <c r="AR35" s="230">
        <v>6692500</v>
      </c>
      <c r="AS35" s="230">
        <v>13457500</v>
      </c>
      <c r="AT35" s="230">
        <v>-6765000</v>
      </c>
      <c r="AU35" s="229">
        <v>-0.50270000000000004</v>
      </c>
      <c r="AV35" s="230">
        <v>6035000</v>
      </c>
      <c r="AW35" s="230">
        <v>12412500</v>
      </c>
      <c r="AX35" s="230">
        <v>-6377500</v>
      </c>
      <c r="AY35" s="229">
        <v>-0.51380000000000003</v>
      </c>
      <c r="AZ35" s="230">
        <v>597500</v>
      </c>
      <c r="BA35" s="230">
        <v>925000</v>
      </c>
      <c r="BB35" s="230">
        <v>-327500</v>
      </c>
      <c r="BC35" s="229">
        <v>-0.35410000000000003</v>
      </c>
      <c r="BD35" s="230">
        <v>60000</v>
      </c>
      <c r="BE35" s="230">
        <v>120000</v>
      </c>
      <c r="BF35" s="230">
        <v>-60000</v>
      </c>
      <c r="BG35" s="229">
        <v>-0.5</v>
      </c>
      <c r="BH35" s="230">
        <v>13422500</v>
      </c>
      <c r="BI35" s="230">
        <v>31032500</v>
      </c>
      <c r="BJ35" s="230">
        <v>-17610000</v>
      </c>
      <c r="BK35" s="229">
        <v>-0.5675</v>
      </c>
      <c r="BL35" s="230">
        <v>5395000</v>
      </c>
      <c r="BM35" s="230">
        <v>17045000</v>
      </c>
      <c r="BN35" s="230">
        <v>-11650000</v>
      </c>
      <c r="BO35" s="229">
        <v>-0.6835</v>
      </c>
      <c r="BP35" s="230">
        <v>25510000</v>
      </c>
      <c r="BQ35" s="230">
        <v>61535000</v>
      </c>
      <c r="BR35" s="230">
        <v>-36025000</v>
      </c>
      <c r="BS35" s="229">
        <v>-0.58540000000000003</v>
      </c>
      <c r="BT35" s="230">
        <v>2467049</v>
      </c>
      <c r="BU35" s="230">
        <v>7334264</v>
      </c>
      <c r="BV35" s="230">
        <v>-4867215</v>
      </c>
      <c r="BW35" s="229">
        <v>-0.66359999999999997</v>
      </c>
      <c r="BX35" s="230">
        <v>37610000</v>
      </c>
      <c r="BY35" s="230">
        <v>36580000</v>
      </c>
      <c r="BZ35" s="230">
        <v>1030000</v>
      </c>
      <c r="CA35" s="229">
        <v>2.8199999999999999E-2</v>
      </c>
      <c r="CB35" s="230">
        <v>35772500</v>
      </c>
      <c r="CC35" s="230">
        <v>35042500</v>
      </c>
      <c r="CD35" s="230">
        <v>730000</v>
      </c>
      <c r="CE35" s="229">
        <v>2.0799999999999999E-2</v>
      </c>
      <c r="CF35" s="230">
        <v>1680000</v>
      </c>
      <c r="CG35" s="230">
        <v>1412500</v>
      </c>
      <c r="CH35" s="230">
        <v>267500</v>
      </c>
      <c r="CI35" s="229">
        <v>0.18940000000000001</v>
      </c>
      <c r="CJ35" s="230">
        <v>157500</v>
      </c>
      <c r="CK35" s="230">
        <v>125000</v>
      </c>
      <c r="CL35" s="230">
        <v>32500</v>
      </c>
      <c r="CM35" s="229">
        <v>0.26</v>
      </c>
      <c r="CN35" s="230">
        <v>20432500</v>
      </c>
      <c r="CO35" s="230">
        <v>18535000</v>
      </c>
      <c r="CP35" s="230">
        <v>1897500</v>
      </c>
      <c r="CQ35" s="229">
        <v>0.1024</v>
      </c>
      <c r="CR35" s="230">
        <v>14260000</v>
      </c>
      <c r="CS35" s="230">
        <v>13655000</v>
      </c>
      <c r="CT35" s="230">
        <v>605000</v>
      </c>
      <c r="CU35" s="229">
        <v>4.4299999999999999E-2</v>
      </c>
      <c r="CV35" s="230">
        <v>72302500</v>
      </c>
      <c r="CW35" s="230">
        <v>68770000</v>
      </c>
      <c r="CX35" s="230">
        <v>3532500</v>
      </c>
      <c r="CY35" s="229">
        <v>5.1400000000000001E-2</v>
      </c>
      <c r="CZ35" s="228">
        <v>36.57</v>
      </c>
      <c r="DA35" s="228">
        <v>37.11</v>
      </c>
      <c r="DB35" s="228">
        <v>-0.54</v>
      </c>
      <c r="DC35" s="228">
        <v>-0.54</v>
      </c>
      <c r="DD35" s="228">
        <v>36.6</v>
      </c>
      <c r="DE35" s="228">
        <v>36.65</v>
      </c>
      <c r="DF35" s="228">
        <v>-0.03</v>
      </c>
      <c r="DG35" s="228">
        <v>-0.05</v>
      </c>
      <c r="DH35" s="228">
        <v>36.31</v>
      </c>
      <c r="DI35" s="228">
        <v>36.43</v>
      </c>
      <c r="DJ35" s="228">
        <v>-0.12</v>
      </c>
      <c r="DK35" s="228">
        <v>-0.12</v>
      </c>
      <c r="DL35" s="228">
        <v>37.21</v>
      </c>
      <c r="DM35" s="228">
        <v>38.340000000000003</v>
      </c>
      <c r="DN35" s="228">
        <v>-1.1299999999999999</v>
      </c>
      <c r="DO35" s="228">
        <v>-1.1299999999999999</v>
      </c>
      <c r="DP35" s="228">
        <v>0.7</v>
      </c>
      <c r="DQ35" s="228">
        <v>0.74</v>
      </c>
      <c r="DR35" s="228">
        <v>-0.04</v>
      </c>
      <c r="DS35" s="229">
        <v>-5.4100000000000002E-2</v>
      </c>
      <c r="DT35" s="228">
        <v>370</v>
      </c>
      <c r="DU35" s="228">
        <v>340</v>
      </c>
      <c r="DV35" s="228">
        <v>0.4</v>
      </c>
      <c r="DW35" s="228">
        <v>0.55000000000000004</v>
      </c>
      <c r="DX35" s="228">
        <v>-0.15</v>
      </c>
      <c r="DY35" s="229">
        <v>-0.2727</v>
      </c>
      <c r="DZ35" s="229">
        <v>4.8899999999999999E-2</v>
      </c>
      <c r="EA35" s="230">
        <v>1537500</v>
      </c>
      <c r="EB35" s="229">
        <v>5.4999999999999997E-3</v>
      </c>
      <c r="EC35" s="229">
        <v>4.8899999999999999E-2</v>
      </c>
      <c r="ED35" s="228">
        <v>2.29</v>
      </c>
      <c r="EE35" s="229">
        <v>6.6E-3</v>
      </c>
      <c r="EF35" s="230">
        <v>1028307</v>
      </c>
      <c r="EG35" s="230">
        <v>3944268</v>
      </c>
      <c r="EH35" s="229">
        <v>-0.73929999999999996</v>
      </c>
      <c r="EI35" s="229">
        <v>0.4168</v>
      </c>
      <c r="EJ35" s="231">
        <v>49785.29</v>
      </c>
      <c r="EK35" s="231">
        <v>18918.97</v>
      </c>
      <c r="EL35" s="231">
        <v>23301.34</v>
      </c>
      <c r="EM35" s="231">
        <v>4782</v>
      </c>
      <c r="EN35" s="231">
        <v>92005.6</v>
      </c>
      <c r="EO35" s="231">
        <v>222461.96</v>
      </c>
      <c r="EP35" s="231">
        <v>-130456.36</v>
      </c>
      <c r="EQ35" s="229">
        <v>-0.58640000000000003</v>
      </c>
      <c r="ER35" s="231">
        <v>76781</v>
      </c>
      <c r="ES35" s="231">
        <v>49566</v>
      </c>
      <c r="ET35" s="231">
        <v>130470</v>
      </c>
      <c r="EU35" s="231">
        <v>108004143</v>
      </c>
      <c r="EV35" s="231">
        <v>256817</v>
      </c>
      <c r="EW35" s="231">
        <v>245998</v>
      </c>
      <c r="EX35" s="231">
        <v>10819</v>
      </c>
      <c r="EY35" s="229">
        <v>4.3999999999999997E-2</v>
      </c>
      <c r="EZ35" s="229">
        <v>0.6694</v>
      </c>
      <c r="FA35" s="227" t="s">
        <v>566</v>
      </c>
      <c r="FB35" s="161">
        <f t="shared" si="0"/>
        <v>1837500</v>
      </c>
    </row>
    <row r="36" spans="1:158" ht="17.25" thickBot="1" x14ac:dyDescent="0.3">
      <c r="A36" s="226">
        <v>46121</v>
      </c>
      <c r="B36" s="227" t="s">
        <v>184</v>
      </c>
      <c r="C36" s="227" t="s">
        <v>677</v>
      </c>
      <c r="D36" s="228">
        <v>325</v>
      </c>
      <c r="E36" s="231">
        <v>1648.9</v>
      </c>
      <c r="F36" s="231">
        <v>1622</v>
      </c>
      <c r="G36" s="228">
        <v>26.9</v>
      </c>
      <c r="H36" s="229">
        <v>1.66E-2</v>
      </c>
      <c r="I36" s="231">
        <v>1655.6</v>
      </c>
      <c r="J36" s="231">
        <v>1619.4</v>
      </c>
      <c r="K36" s="228">
        <v>36.200000000000003</v>
      </c>
      <c r="L36" s="229">
        <v>2.24E-2</v>
      </c>
      <c r="M36" s="231">
        <v>1648.9</v>
      </c>
      <c r="N36" s="231">
        <v>1622</v>
      </c>
      <c r="O36" s="228">
        <v>26.9</v>
      </c>
      <c r="P36" s="229">
        <v>1.66E-2</v>
      </c>
      <c r="Q36" s="231">
        <v>1642.1</v>
      </c>
      <c r="R36" s="231">
        <v>1617.4</v>
      </c>
      <c r="S36" s="228">
        <v>24.7</v>
      </c>
      <c r="T36" s="229">
        <v>1.5299999999999999E-2</v>
      </c>
      <c r="U36" s="231">
        <v>1640</v>
      </c>
      <c r="V36" s="231">
        <v>1617.3</v>
      </c>
      <c r="W36" s="228">
        <v>22.7</v>
      </c>
      <c r="X36" s="229">
        <v>1.4E-2</v>
      </c>
      <c r="Y36" s="228">
        <v>-6.7</v>
      </c>
      <c r="Z36" s="228">
        <v>2.6</v>
      </c>
      <c r="AA36" s="228">
        <v>-9.3000000000000007</v>
      </c>
      <c r="AB36" s="229">
        <v>-4.0000000000000001E-3</v>
      </c>
      <c r="AC36" s="228">
        <v>-6.7</v>
      </c>
      <c r="AD36" s="228">
        <v>2.6</v>
      </c>
      <c r="AE36" s="228">
        <v>-9.3000000000000007</v>
      </c>
      <c r="AF36" s="229">
        <v>-4.0000000000000001E-3</v>
      </c>
      <c r="AG36" s="228">
        <v>-13.5</v>
      </c>
      <c r="AH36" s="228">
        <v>-2</v>
      </c>
      <c r="AI36" s="228">
        <v>-11.5</v>
      </c>
      <c r="AJ36" s="229">
        <v>-8.2000000000000007E-3</v>
      </c>
      <c r="AK36" s="228">
        <v>-15.6</v>
      </c>
      <c r="AL36" s="228">
        <v>-2.1</v>
      </c>
      <c r="AM36" s="228">
        <v>-13.5</v>
      </c>
      <c r="AN36" s="229">
        <v>-9.4000000000000004E-3</v>
      </c>
      <c r="AO36" s="231">
        <v>1639.49</v>
      </c>
      <c r="AP36" s="231">
        <v>1629.96</v>
      </c>
      <c r="AQ36" s="228">
        <v>0</v>
      </c>
      <c r="AR36" s="230">
        <v>1228500</v>
      </c>
      <c r="AS36" s="230">
        <v>1377025</v>
      </c>
      <c r="AT36" s="230">
        <v>-148525</v>
      </c>
      <c r="AU36" s="229">
        <v>-0.1079</v>
      </c>
      <c r="AV36" s="230">
        <v>1082900</v>
      </c>
      <c r="AW36" s="230">
        <v>1214200</v>
      </c>
      <c r="AX36" s="230">
        <v>-131300</v>
      </c>
      <c r="AY36" s="229">
        <v>-0.1081</v>
      </c>
      <c r="AZ36" s="230">
        <v>143650</v>
      </c>
      <c r="BA36" s="230">
        <v>160550</v>
      </c>
      <c r="BB36" s="230">
        <v>-16900</v>
      </c>
      <c r="BC36" s="229">
        <v>-0.1053</v>
      </c>
      <c r="BD36" s="230">
        <v>1950</v>
      </c>
      <c r="BE36" s="230">
        <v>2275</v>
      </c>
      <c r="BF36" s="228">
        <v>-325</v>
      </c>
      <c r="BG36" s="229">
        <v>-0.1429</v>
      </c>
      <c r="BH36" s="230">
        <v>1899950</v>
      </c>
      <c r="BI36" s="230">
        <v>2051400</v>
      </c>
      <c r="BJ36" s="230">
        <v>-151450</v>
      </c>
      <c r="BK36" s="229">
        <v>-7.3800000000000004E-2</v>
      </c>
      <c r="BL36" s="230">
        <v>673075</v>
      </c>
      <c r="BM36" s="230">
        <v>1408225</v>
      </c>
      <c r="BN36" s="230">
        <v>-735150</v>
      </c>
      <c r="BO36" s="229">
        <v>-0.52200000000000002</v>
      </c>
      <c r="BP36" s="230">
        <v>3801525</v>
      </c>
      <c r="BQ36" s="230">
        <v>4836650</v>
      </c>
      <c r="BR36" s="230">
        <v>-1035125</v>
      </c>
      <c r="BS36" s="229">
        <v>-0.214</v>
      </c>
      <c r="BT36" s="230">
        <v>890226</v>
      </c>
      <c r="BU36" s="230">
        <v>1758700</v>
      </c>
      <c r="BV36" s="230">
        <v>-868474</v>
      </c>
      <c r="BW36" s="229">
        <v>-0.49380000000000002</v>
      </c>
      <c r="BX36" s="230">
        <v>2842450</v>
      </c>
      <c r="BY36" s="230">
        <v>2581475</v>
      </c>
      <c r="BZ36" s="230">
        <v>260975</v>
      </c>
      <c r="CA36" s="229">
        <v>0.1011</v>
      </c>
      <c r="CB36" s="230">
        <v>2602925</v>
      </c>
      <c r="CC36" s="230">
        <v>2417350</v>
      </c>
      <c r="CD36" s="230">
        <v>185575</v>
      </c>
      <c r="CE36" s="229">
        <v>7.6799999999999993E-2</v>
      </c>
      <c r="CF36" s="230">
        <v>237250</v>
      </c>
      <c r="CG36" s="230">
        <v>161200</v>
      </c>
      <c r="CH36" s="230">
        <v>76050</v>
      </c>
      <c r="CI36" s="229">
        <v>0.4718</v>
      </c>
      <c r="CJ36" s="230">
        <v>2275</v>
      </c>
      <c r="CK36" s="230">
        <v>2925</v>
      </c>
      <c r="CL36" s="228">
        <v>-650</v>
      </c>
      <c r="CM36" s="229">
        <v>-0.22220000000000001</v>
      </c>
      <c r="CN36" s="230">
        <v>1053325</v>
      </c>
      <c r="CO36" s="230">
        <v>1108900</v>
      </c>
      <c r="CP36" s="230">
        <v>-55575</v>
      </c>
      <c r="CQ36" s="229">
        <v>-5.0099999999999999E-2</v>
      </c>
      <c r="CR36" s="230">
        <v>625950</v>
      </c>
      <c r="CS36" s="230">
        <v>605475</v>
      </c>
      <c r="CT36" s="230">
        <v>20475</v>
      </c>
      <c r="CU36" s="229">
        <v>3.3799999999999997E-2</v>
      </c>
      <c r="CV36" s="230">
        <v>4521725</v>
      </c>
      <c r="CW36" s="230">
        <v>4295850</v>
      </c>
      <c r="CX36" s="230">
        <v>225875</v>
      </c>
      <c r="CY36" s="229">
        <v>5.2600000000000001E-2</v>
      </c>
      <c r="CZ36" s="228">
        <v>43.28</v>
      </c>
      <c r="DA36" s="228">
        <v>44.53</v>
      </c>
      <c r="DB36" s="228">
        <v>-1.25</v>
      </c>
      <c r="DC36" s="228">
        <v>-1.25</v>
      </c>
      <c r="DD36" s="228">
        <v>42.43</v>
      </c>
      <c r="DE36" s="228">
        <v>42.48</v>
      </c>
      <c r="DF36" s="228">
        <v>0.85</v>
      </c>
      <c r="DG36" s="228">
        <v>-0.05</v>
      </c>
      <c r="DH36" s="228">
        <v>41.88</v>
      </c>
      <c r="DI36" s="228">
        <v>41.78</v>
      </c>
      <c r="DJ36" s="228">
        <v>0.1</v>
      </c>
      <c r="DK36" s="228">
        <v>0.1</v>
      </c>
      <c r="DL36" s="228">
        <v>47.24</v>
      </c>
      <c r="DM36" s="228">
        <v>48.55</v>
      </c>
      <c r="DN36" s="228">
        <v>-1.31</v>
      </c>
      <c r="DO36" s="228">
        <v>-1.31</v>
      </c>
      <c r="DP36" s="228">
        <v>0.59</v>
      </c>
      <c r="DQ36" s="228">
        <v>0.55000000000000004</v>
      </c>
      <c r="DR36" s="228">
        <v>0.04</v>
      </c>
      <c r="DS36" s="229">
        <v>7.2700000000000001E-2</v>
      </c>
      <c r="DT36" s="231">
        <v>1900</v>
      </c>
      <c r="DU36" s="231">
        <v>1500</v>
      </c>
      <c r="DV36" s="228">
        <v>0.35</v>
      </c>
      <c r="DW36" s="228">
        <v>0.69</v>
      </c>
      <c r="DX36" s="228">
        <v>-0.34</v>
      </c>
      <c r="DY36" s="229">
        <v>-0.49280000000000002</v>
      </c>
      <c r="DZ36" s="229">
        <v>8.43E-2</v>
      </c>
      <c r="EA36" s="230">
        <v>164125</v>
      </c>
      <c r="EB36" s="229">
        <v>-4.1000000000000003E-3</v>
      </c>
      <c r="EC36" s="229">
        <v>8.43E-2</v>
      </c>
      <c r="ED36" s="228">
        <v>-9.5299999999999994</v>
      </c>
      <c r="EE36" s="229">
        <v>-5.7999999999999996E-3</v>
      </c>
      <c r="EF36" s="230">
        <v>391584</v>
      </c>
      <c r="EG36" s="230">
        <v>1251150</v>
      </c>
      <c r="EH36" s="229">
        <v>-0.68700000000000006</v>
      </c>
      <c r="EI36" s="229">
        <v>0.43990000000000001</v>
      </c>
      <c r="EJ36" s="231">
        <v>33639.33</v>
      </c>
      <c r="EK36" s="231">
        <v>10535.25</v>
      </c>
      <c r="EL36" s="231">
        <v>20126.810000000001</v>
      </c>
      <c r="EM36" s="231">
        <v>3381</v>
      </c>
      <c r="EN36" s="231">
        <v>64301.39</v>
      </c>
      <c r="EO36" s="231">
        <v>79429.05</v>
      </c>
      <c r="EP36" s="231">
        <v>-15127.66</v>
      </c>
      <c r="EQ36" s="229">
        <v>-0.1905</v>
      </c>
      <c r="ER36" s="231">
        <v>18491</v>
      </c>
      <c r="ES36" s="231">
        <v>9712</v>
      </c>
      <c r="ET36" s="231">
        <v>46853</v>
      </c>
      <c r="EU36" s="231">
        <v>15745076</v>
      </c>
      <c r="EV36" s="231">
        <v>75056</v>
      </c>
      <c r="EW36" s="231">
        <v>70822</v>
      </c>
      <c r="EX36" s="231">
        <v>4234</v>
      </c>
      <c r="EY36" s="229">
        <v>5.9799999999999999E-2</v>
      </c>
      <c r="EZ36" s="229">
        <v>0.28720000000000001</v>
      </c>
      <c r="FA36" s="227" t="s">
        <v>555</v>
      </c>
      <c r="FB36" s="161">
        <f t="shared" si="0"/>
        <v>239525</v>
      </c>
    </row>
    <row r="37" spans="1:158" ht="17.25" thickBot="1" x14ac:dyDescent="0.3">
      <c r="A37" s="226">
        <v>46121</v>
      </c>
      <c r="B37" s="227" t="s">
        <v>162</v>
      </c>
      <c r="C37" s="227" t="s">
        <v>192</v>
      </c>
      <c r="D37" s="228">
        <v>25</v>
      </c>
      <c r="E37" s="231">
        <v>36840</v>
      </c>
      <c r="F37" s="231">
        <v>36125</v>
      </c>
      <c r="G37" s="228">
        <v>715</v>
      </c>
      <c r="H37" s="229">
        <v>1.9800000000000002E-2</v>
      </c>
      <c r="I37" s="231">
        <v>36770</v>
      </c>
      <c r="J37" s="231">
        <v>35935</v>
      </c>
      <c r="K37" s="228">
        <v>835</v>
      </c>
      <c r="L37" s="229">
        <v>2.3199999999999998E-2</v>
      </c>
      <c r="M37" s="231">
        <v>36840</v>
      </c>
      <c r="N37" s="231">
        <v>36125</v>
      </c>
      <c r="O37" s="228">
        <v>715</v>
      </c>
      <c r="P37" s="229">
        <v>1.9800000000000002E-2</v>
      </c>
      <c r="Q37" s="231">
        <v>36990</v>
      </c>
      <c r="R37" s="231">
        <v>36315</v>
      </c>
      <c r="S37" s="228">
        <v>675</v>
      </c>
      <c r="T37" s="229">
        <v>1.8599999999999998E-2</v>
      </c>
      <c r="U37" s="231">
        <v>37120</v>
      </c>
      <c r="V37" s="231">
        <v>36400</v>
      </c>
      <c r="W37" s="228">
        <v>720</v>
      </c>
      <c r="X37" s="229">
        <v>1.9800000000000002E-2</v>
      </c>
      <c r="Y37" s="228">
        <v>70</v>
      </c>
      <c r="Z37" s="228">
        <v>190</v>
      </c>
      <c r="AA37" s="228">
        <v>-120</v>
      </c>
      <c r="AB37" s="229">
        <v>1.9E-3</v>
      </c>
      <c r="AC37" s="228">
        <v>70</v>
      </c>
      <c r="AD37" s="228">
        <v>190</v>
      </c>
      <c r="AE37" s="228">
        <v>-120</v>
      </c>
      <c r="AF37" s="229">
        <v>1.9E-3</v>
      </c>
      <c r="AG37" s="228">
        <v>220</v>
      </c>
      <c r="AH37" s="228">
        <v>380</v>
      </c>
      <c r="AI37" s="228">
        <v>-160</v>
      </c>
      <c r="AJ37" s="229">
        <v>6.0000000000000001E-3</v>
      </c>
      <c r="AK37" s="228">
        <v>350</v>
      </c>
      <c r="AL37" s="228">
        <v>465</v>
      </c>
      <c r="AM37" s="228">
        <v>-115</v>
      </c>
      <c r="AN37" s="229">
        <v>9.4999999999999998E-3</v>
      </c>
      <c r="AO37" s="231">
        <v>36854.36</v>
      </c>
      <c r="AP37" s="231">
        <v>37036.06</v>
      </c>
      <c r="AQ37" s="228">
        <v>0</v>
      </c>
      <c r="AR37" s="230">
        <v>278625</v>
      </c>
      <c r="AS37" s="230">
        <v>160825</v>
      </c>
      <c r="AT37" s="230">
        <v>117800</v>
      </c>
      <c r="AU37" s="229">
        <v>0.73250000000000004</v>
      </c>
      <c r="AV37" s="230">
        <v>264100</v>
      </c>
      <c r="AW37" s="230">
        <v>154275</v>
      </c>
      <c r="AX37" s="230">
        <v>109825</v>
      </c>
      <c r="AY37" s="229">
        <v>0.71189999999999998</v>
      </c>
      <c r="AZ37" s="230">
        <v>13700</v>
      </c>
      <c r="BA37" s="230">
        <v>6050</v>
      </c>
      <c r="BB37" s="230">
        <v>7650</v>
      </c>
      <c r="BC37" s="229">
        <v>1.2645</v>
      </c>
      <c r="BD37" s="228">
        <v>825</v>
      </c>
      <c r="BE37" s="228">
        <v>500</v>
      </c>
      <c r="BF37" s="228">
        <v>325</v>
      </c>
      <c r="BG37" s="229">
        <v>0.65</v>
      </c>
      <c r="BH37" s="230">
        <v>1559950</v>
      </c>
      <c r="BI37" s="230">
        <v>882425</v>
      </c>
      <c r="BJ37" s="230">
        <v>677525</v>
      </c>
      <c r="BK37" s="229">
        <v>0.76780000000000004</v>
      </c>
      <c r="BL37" s="230">
        <v>518375</v>
      </c>
      <c r="BM37" s="230">
        <v>249775</v>
      </c>
      <c r="BN37" s="230">
        <v>268600</v>
      </c>
      <c r="BO37" s="229">
        <v>1.0753999999999999</v>
      </c>
      <c r="BP37" s="230">
        <v>2356950</v>
      </c>
      <c r="BQ37" s="230">
        <v>1293025</v>
      </c>
      <c r="BR37" s="230">
        <v>1063925</v>
      </c>
      <c r="BS37" s="229">
        <v>0.82279999999999998</v>
      </c>
      <c r="BT37" s="230">
        <v>277508</v>
      </c>
      <c r="BU37" s="230">
        <v>110887</v>
      </c>
      <c r="BV37" s="230">
        <v>166621</v>
      </c>
      <c r="BW37" s="229">
        <v>1.5025999999999999</v>
      </c>
      <c r="BX37" s="230">
        <v>365900</v>
      </c>
      <c r="BY37" s="230">
        <v>363700</v>
      </c>
      <c r="BZ37" s="230">
        <v>2200</v>
      </c>
      <c r="CA37" s="229">
        <v>6.0000000000000001E-3</v>
      </c>
      <c r="CB37" s="230">
        <v>356475</v>
      </c>
      <c r="CC37" s="230">
        <v>356800</v>
      </c>
      <c r="CD37" s="228">
        <v>-325</v>
      </c>
      <c r="CE37" s="229">
        <v>-8.9999999999999998E-4</v>
      </c>
      <c r="CF37" s="230">
        <v>9025</v>
      </c>
      <c r="CG37" s="230">
        <v>6625</v>
      </c>
      <c r="CH37" s="230">
        <v>2400</v>
      </c>
      <c r="CI37" s="229">
        <v>0.36230000000000001</v>
      </c>
      <c r="CJ37" s="228">
        <v>400</v>
      </c>
      <c r="CK37" s="228">
        <v>275</v>
      </c>
      <c r="CL37" s="228">
        <v>125</v>
      </c>
      <c r="CM37" s="229">
        <v>0.45450000000000002</v>
      </c>
      <c r="CN37" s="230">
        <v>261675</v>
      </c>
      <c r="CO37" s="230">
        <v>246175</v>
      </c>
      <c r="CP37" s="230">
        <v>15500</v>
      </c>
      <c r="CQ37" s="229">
        <v>6.3E-2</v>
      </c>
      <c r="CR37" s="230">
        <v>184625</v>
      </c>
      <c r="CS37" s="230">
        <v>154125</v>
      </c>
      <c r="CT37" s="230">
        <v>30500</v>
      </c>
      <c r="CU37" s="229">
        <v>0.19789999999999999</v>
      </c>
      <c r="CV37" s="230">
        <v>812200</v>
      </c>
      <c r="CW37" s="230">
        <v>764000</v>
      </c>
      <c r="CX37" s="230">
        <v>48200</v>
      </c>
      <c r="CY37" s="229">
        <v>6.3100000000000003E-2</v>
      </c>
      <c r="CZ37" s="228">
        <v>42.37</v>
      </c>
      <c r="DA37" s="228">
        <v>43.24</v>
      </c>
      <c r="DB37" s="228">
        <v>-0.87</v>
      </c>
      <c r="DC37" s="228">
        <v>-0.87</v>
      </c>
      <c r="DD37" s="228">
        <v>35.18</v>
      </c>
      <c r="DE37" s="228">
        <v>35.159999999999997</v>
      </c>
      <c r="DF37" s="228">
        <v>7.19</v>
      </c>
      <c r="DG37" s="228">
        <v>0.02</v>
      </c>
      <c r="DH37" s="228">
        <v>41.96</v>
      </c>
      <c r="DI37" s="228">
        <v>42.98</v>
      </c>
      <c r="DJ37" s="228">
        <v>-1.02</v>
      </c>
      <c r="DK37" s="228">
        <v>-1.02</v>
      </c>
      <c r="DL37" s="228">
        <v>43.61</v>
      </c>
      <c r="DM37" s="228">
        <v>44.13</v>
      </c>
      <c r="DN37" s="228">
        <v>-0.52</v>
      </c>
      <c r="DO37" s="228">
        <v>-0.52</v>
      </c>
      <c r="DP37" s="228">
        <v>0.71</v>
      </c>
      <c r="DQ37" s="228">
        <v>0.63</v>
      </c>
      <c r="DR37" s="228">
        <v>0.08</v>
      </c>
      <c r="DS37" s="229">
        <v>0.127</v>
      </c>
      <c r="DT37" s="231">
        <v>40000</v>
      </c>
      <c r="DU37" s="231">
        <v>30000</v>
      </c>
      <c r="DV37" s="228">
        <v>0.33</v>
      </c>
      <c r="DW37" s="228">
        <v>0.28000000000000003</v>
      </c>
      <c r="DX37" s="228">
        <v>0.05</v>
      </c>
      <c r="DY37" s="229">
        <v>0.17860000000000001</v>
      </c>
      <c r="DZ37" s="229">
        <v>2.58E-2</v>
      </c>
      <c r="EA37" s="230">
        <v>6900</v>
      </c>
      <c r="EB37" s="229">
        <v>4.1000000000000003E-3</v>
      </c>
      <c r="EC37" s="229">
        <v>2.58E-2</v>
      </c>
      <c r="ED37" s="228">
        <v>181.7</v>
      </c>
      <c r="EE37" s="229">
        <v>4.8999999999999998E-3</v>
      </c>
      <c r="EF37" s="230">
        <v>74933</v>
      </c>
      <c r="EG37" s="230">
        <v>36752</v>
      </c>
      <c r="EH37" s="229">
        <v>1.0388999999999999</v>
      </c>
      <c r="EI37" s="229">
        <v>0.27</v>
      </c>
      <c r="EJ37" s="231">
        <v>623088.18000000005</v>
      </c>
      <c r="EK37" s="231">
        <v>180268.46</v>
      </c>
      <c r="EL37" s="231">
        <v>102712.46</v>
      </c>
      <c r="EM37" s="231">
        <v>5031</v>
      </c>
      <c r="EN37" s="231">
        <v>906069.1</v>
      </c>
      <c r="EO37" s="231">
        <v>482894.18</v>
      </c>
      <c r="EP37" s="231">
        <v>423174.92</v>
      </c>
      <c r="EQ37" s="229">
        <v>0.87629999999999997</v>
      </c>
      <c r="ER37" s="231">
        <v>96998</v>
      </c>
      <c r="ES37" s="231">
        <v>59338</v>
      </c>
      <c r="ET37" s="231">
        <v>134812</v>
      </c>
      <c r="EU37" s="231">
        <v>868841</v>
      </c>
      <c r="EV37" s="231">
        <v>291148</v>
      </c>
      <c r="EW37" s="231">
        <v>269960</v>
      </c>
      <c r="EX37" s="231">
        <v>21188</v>
      </c>
      <c r="EY37" s="229">
        <v>7.85E-2</v>
      </c>
      <c r="EZ37" s="229">
        <v>0.93479999999999996</v>
      </c>
      <c r="FA37" s="227" t="s">
        <v>555</v>
      </c>
      <c r="FB37" s="161">
        <f t="shared" si="0"/>
        <v>9425</v>
      </c>
    </row>
    <row r="38" spans="1:158" ht="17.25" thickBot="1" x14ac:dyDescent="0.3">
      <c r="A38" s="226">
        <v>46121</v>
      </c>
      <c r="B38" s="227" t="s">
        <v>193</v>
      </c>
      <c r="C38" s="227" t="s">
        <v>194</v>
      </c>
      <c r="D38" s="228">
        <v>1975</v>
      </c>
      <c r="E38" s="228">
        <v>297.95</v>
      </c>
      <c r="F38" s="228">
        <v>298.64999999999998</v>
      </c>
      <c r="G38" s="228">
        <v>-0.7</v>
      </c>
      <c r="H38" s="229">
        <v>-2.3E-3</v>
      </c>
      <c r="I38" s="228">
        <v>297.35000000000002</v>
      </c>
      <c r="J38" s="228">
        <v>298.10000000000002</v>
      </c>
      <c r="K38" s="228">
        <v>-0.75</v>
      </c>
      <c r="L38" s="229">
        <v>-2.5000000000000001E-3</v>
      </c>
      <c r="M38" s="228">
        <v>297.95</v>
      </c>
      <c r="N38" s="228">
        <v>298.64999999999998</v>
      </c>
      <c r="O38" s="228">
        <v>-0.7</v>
      </c>
      <c r="P38" s="229">
        <v>-2.3E-3</v>
      </c>
      <c r="Q38" s="228">
        <v>299.95</v>
      </c>
      <c r="R38" s="228">
        <v>300.5</v>
      </c>
      <c r="S38" s="228">
        <v>-0.55000000000000004</v>
      </c>
      <c r="T38" s="229">
        <v>-1.8E-3</v>
      </c>
      <c r="U38" s="228">
        <v>301</v>
      </c>
      <c r="V38" s="228">
        <v>302.05</v>
      </c>
      <c r="W38" s="228">
        <v>-1.05</v>
      </c>
      <c r="X38" s="229">
        <v>-3.5000000000000001E-3</v>
      </c>
      <c r="Y38" s="228">
        <v>0.6</v>
      </c>
      <c r="Z38" s="228">
        <v>0.55000000000000004</v>
      </c>
      <c r="AA38" s="228">
        <v>0.05</v>
      </c>
      <c r="AB38" s="229">
        <v>2E-3</v>
      </c>
      <c r="AC38" s="228">
        <v>0.6</v>
      </c>
      <c r="AD38" s="228">
        <v>0.55000000000000004</v>
      </c>
      <c r="AE38" s="228">
        <v>0.05</v>
      </c>
      <c r="AF38" s="229">
        <v>2E-3</v>
      </c>
      <c r="AG38" s="228">
        <v>2.6</v>
      </c>
      <c r="AH38" s="228">
        <v>2.4</v>
      </c>
      <c r="AI38" s="228">
        <v>0.2</v>
      </c>
      <c r="AJ38" s="229">
        <v>8.6999999999999994E-3</v>
      </c>
      <c r="AK38" s="228">
        <v>3.65</v>
      </c>
      <c r="AL38" s="228">
        <v>3.95</v>
      </c>
      <c r="AM38" s="228">
        <v>-0.3</v>
      </c>
      <c r="AN38" s="229">
        <v>1.23E-2</v>
      </c>
      <c r="AO38" s="228">
        <v>297.27</v>
      </c>
      <c r="AP38" s="228">
        <v>299.07</v>
      </c>
      <c r="AQ38" s="228">
        <v>0</v>
      </c>
      <c r="AR38" s="230">
        <v>12096875</v>
      </c>
      <c r="AS38" s="230">
        <v>21543300</v>
      </c>
      <c r="AT38" s="230">
        <v>-9446425</v>
      </c>
      <c r="AU38" s="229">
        <v>-0.4385</v>
      </c>
      <c r="AV38" s="230">
        <v>11433275</v>
      </c>
      <c r="AW38" s="230">
        <v>20342500</v>
      </c>
      <c r="AX38" s="230">
        <v>-8909225</v>
      </c>
      <c r="AY38" s="229">
        <v>-0.438</v>
      </c>
      <c r="AZ38" s="230">
        <v>566825</v>
      </c>
      <c r="BA38" s="230">
        <v>1078350</v>
      </c>
      <c r="BB38" s="230">
        <v>-511525</v>
      </c>
      <c r="BC38" s="229">
        <v>-0.47439999999999999</v>
      </c>
      <c r="BD38" s="230">
        <v>96775</v>
      </c>
      <c r="BE38" s="230">
        <v>122450</v>
      </c>
      <c r="BF38" s="230">
        <v>-25675</v>
      </c>
      <c r="BG38" s="229">
        <v>-0.2097</v>
      </c>
      <c r="BH38" s="230">
        <v>24703300</v>
      </c>
      <c r="BI38" s="230">
        <v>64426475</v>
      </c>
      <c r="BJ38" s="230">
        <v>-39723175</v>
      </c>
      <c r="BK38" s="229">
        <v>-0.61660000000000004</v>
      </c>
      <c r="BL38" s="230">
        <v>17293100</v>
      </c>
      <c r="BM38" s="230">
        <v>28260275</v>
      </c>
      <c r="BN38" s="230">
        <v>-10967175</v>
      </c>
      <c r="BO38" s="229">
        <v>-0.3881</v>
      </c>
      <c r="BP38" s="230">
        <v>54093275</v>
      </c>
      <c r="BQ38" s="230">
        <v>114230050</v>
      </c>
      <c r="BR38" s="230">
        <v>-60136775</v>
      </c>
      <c r="BS38" s="229">
        <v>-0.52649999999999997</v>
      </c>
      <c r="BT38" s="230">
        <v>18126431</v>
      </c>
      <c r="BU38" s="230">
        <v>28170202</v>
      </c>
      <c r="BV38" s="230">
        <v>-10043771</v>
      </c>
      <c r="BW38" s="229">
        <v>-0.35649999999999998</v>
      </c>
      <c r="BX38" s="230">
        <v>52167650</v>
      </c>
      <c r="BY38" s="230">
        <v>51865475</v>
      </c>
      <c r="BZ38" s="230">
        <v>302175</v>
      </c>
      <c r="CA38" s="229">
        <v>5.7999999999999996E-3</v>
      </c>
      <c r="CB38" s="230">
        <v>50785150</v>
      </c>
      <c r="CC38" s="230">
        <v>50702200</v>
      </c>
      <c r="CD38" s="230">
        <v>82950</v>
      </c>
      <c r="CE38" s="229">
        <v>1.6000000000000001E-3</v>
      </c>
      <c r="CF38" s="230">
        <v>1260050</v>
      </c>
      <c r="CG38" s="230">
        <v>1064525</v>
      </c>
      <c r="CH38" s="230">
        <v>195525</v>
      </c>
      <c r="CI38" s="229">
        <v>0.1837</v>
      </c>
      <c r="CJ38" s="230">
        <v>122450</v>
      </c>
      <c r="CK38" s="230">
        <v>98750</v>
      </c>
      <c r="CL38" s="230">
        <v>23700</v>
      </c>
      <c r="CM38" s="229">
        <v>0.24</v>
      </c>
      <c r="CN38" s="230">
        <v>19667050</v>
      </c>
      <c r="CO38" s="230">
        <v>20338550</v>
      </c>
      <c r="CP38" s="230">
        <v>-671500</v>
      </c>
      <c r="CQ38" s="229">
        <v>-3.3000000000000002E-2</v>
      </c>
      <c r="CR38" s="230">
        <v>16214750</v>
      </c>
      <c r="CS38" s="230">
        <v>12778250</v>
      </c>
      <c r="CT38" s="230">
        <v>3436500</v>
      </c>
      <c r="CU38" s="229">
        <v>0.26889999999999997</v>
      </c>
      <c r="CV38" s="230">
        <v>88049450</v>
      </c>
      <c r="CW38" s="230">
        <v>84982275</v>
      </c>
      <c r="CX38" s="230">
        <v>3067175</v>
      </c>
      <c r="CY38" s="229">
        <v>3.61E-2</v>
      </c>
      <c r="CZ38" s="228">
        <v>39.99</v>
      </c>
      <c r="DA38" s="228">
        <v>42.23</v>
      </c>
      <c r="DB38" s="228">
        <v>-2.2400000000000002</v>
      </c>
      <c r="DC38" s="228">
        <v>-2.2400000000000002</v>
      </c>
      <c r="DD38" s="228">
        <v>36.74</v>
      </c>
      <c r="DE38" s="228">
        <v>36.840000000000003</v>
      </c>
      <c r="DF38" s="228">
        <v>3.25</v>
      </c>
      <c r="DG38" s="228">
        <v>-0.1</v>
      </c>
      <c r="DH38" s="228">
        <v>38.31</v>
      </c>
      <c r="DI38" s="228">
        <v>40.880000000000003</v>
      </c>
      <c r="DJ38" s="228">
        <v>-2.57</v>
      </c>
      <c r="DK38" s="228">
        <v>-2.57</v>
      </c>
      <c r="DL38" s="228">
        <v>42.39</v>
      </c>
      <c r="DM38" s="228">
        <v>45.31</v>
      </c>
      <c r="DN38" s="228">
        <v>-2.92</v>
      </c>
      <c r="DO38" s="228">
        <v>-2.92</v>
      </c>
      <c r="DP38" s="228">
        <v>0.82</v>
      </c>
      <c r="DQ38" s="228">
        <v>0.63</v>
      </c>
      <c r="DR38" s="228">
        <v>0.19</v>
      </c>
      <c r="DS38" s="229">
        <v>0.30159999999999998</v>
      </c>
      <c r="DT38" s="228">
        <v>300</v>
      </c>
      <c r="DU38" s="228">
        <v>300</v>
      </c>
      <c r="DV38" s="228">
        <v>0.7</v>
      </c>
      <c r="DW38" s="228">
        <v>0.44</v>
      </c>
      <c r="DX38" s="228">
        <v>0.26</v>
      </c>
      <c r="DY38" s="229">
        <v>0.59089999999999998</v>
      </c>
      <c r="DZ38" s="229">
        <v>2.6499999999999999E-2</v>
      </c>
      <c r="EA38" s="230">
        <v>1163275</v>
      </c>
      <c r="EB38" s="229">
        <v>6.7000000000000002E-3</v>
      </c>
      <c r="EC38" s="229">
        <v>2.6499999999999999E-2</v>
      </c>
      <c r="ED38" s="228">
        <v>1.8</v>
      </c>
      <c r="EE38" s="229">
        <v>6.1000000000000004E-3</v>
      </c>
      <c r="EF38" s="230">
        <v>10894939</v>
      </c>
      <c r="EG38" s="230">
        <v>12347791</v>
      </c>
      <c r="EH38" s="229">
        <v>-0.1177</v>
      </c>
      <c r="EI38" s="229">
        <v>0.60109999999999997</v>
      </c>
      <c r="EJ38" s="231">
        <v>78962.91</v>
      </c>
      <c r="EK38" s="231">
        <v>50839.5</v>
      </c>
      <c r="EL38" s="231">
        <v>35974.01</v>
      </c>
      <c r="EM38" s="231">
        <v>6737</v>
      </c>
      <c r="EN38" s="231">
        <v>165776.42000000001</v>
      </c>
      <c r="EO38" s="231">
        <v>350358.93</v>
      </c>
      <c r="EP38" s="231">
        <v>-184582.51</v>
      </c>
      <c r="EQ38" s="229">
        <v>-0.52680000000000005</v>
      </c>
      <c r="ER38" s="231">
        <v>61972</v>
      </c>
      <c r="ES38" s="231">
        <v>45774</v>
      </c>
      <c r="ET38" s="231">
        <v>155462</v>
      </c>
      <c r="EU38" s="231">
        <v>306020745</v>
      </c>
      <c r="EV38" s="231">
        <v>263209</v>
      </c>
      <c r="EW38" s="231">
        <v>254769</v>
      </c>
      <c r="EX38" s="231">
        <v>8440</v>
      </c>
      <c r="EY38" s="229">
        <v>3.3099999999999997E-2</v>
      </c>
      <c r="EZ38" s="229">
        <v>0.28770000000000001</v>
      </c>
      <c r="FA38" s="227" t="s">
        <v>566</v>
      </c>
      <c r="FB38" s="161">
        <f t="shared" si="0"/>
        <v>1382500</v>
      </c>
    </row>
    <row r="39" spans="1:158" ht="17.25" thickBot="1" x14ac:dyDescent="0.3">
      <c r="A39" s="226">
        <v>46121</v>
      </c>
      <c r="B39" s="227" t="s">
        <v>168</v>
      </c>
      <c r="C39" s="227" t="s">
        <v>195</v>
      </c>
      <c r="D39" s="228">
        <v>125</v>
      </c>
      <c r="E39" s="231">
        <v>5485</v>
      </c>
      <c r="F39" s="231">
        <v>5617</v>
      </c>
      <c r="G39" s="228">
        <v>-132</v>
      </c>
      <c r="H39" s="229">
        <v>-2.35E-2</v>
      </c>
      <c r="I39" s="231">
        <v>5475</v>
      </c>
      <c r="J39" s="231">
        <v>5594.5</v>
      </c>
      <c r="K39" s="228">
        <v>-119.5</v>
      </c>
      <c r="L39" s="229">
        <v>-2.1399999999999999E-2</v>
      </c>
      <c r="M39" s="231">
        <v>5485</v>
      </c>
      <c r="N39" s="231">
        <v>5617</v>
      </c>
      <c r="O39" s="228">
        <v>-132</v>
      </c>
      <c r="P39" s="229">
        <v>-2.35E-2</v>
      </c>
      <c r="Q39" s="231">
        <v>5516.5</v>
      </c>
      <c r="R39" s="231">
        <v>5651</v>
      </c>
      <c r="S39" s="228">
        <v>-134.5</v>
      </c>
      <c r="T39" s="229">
        <v>-2.3800000000000002E-2</v>
      </c>
      <c r="U39" s="231">
        <v>5549.5</v>
      </c>
      <c r="V39" s="231">
        <v>5670</v>
      </c>
      <c r="W39" s="228">
        <v>-120.5</v>
      </c>
      <c r="X39" s="229">
        <v>-2.1299999999999999E-2</v>
      </c>
      <c r="Y39" s="228">
        <v>10</v>
      </c>
      <c r="Z39" s="228">
        <v>22.5</v>
      </c>
      <c r="AA39" s="228">
        <v>-12.5</v>
      </c>
      <c r="AB39" s="229">
        <v>1.8E-3</v>
      </c>
      <c r="AC39" s="228">
        <v>10</v>
      </c>
      <c r="AD39" s="228">
        <v>22.5</v>
      </c>
      <c r="AE39" s="228">
        <v>-12.5</v>
      </c>
      <c r="AF39" s="229">
        <v>1.8E-3</v>
      </c>
      <c r="AG39" s="228">
        <v>41.5</v>
      </c>
      <c r="AH39" s="228">
        <v>56.5</v>
      </c>
      <c r="AI39" s="228">
        <v>-15</v>
      </c>
      <c r="AJ39" s="229">
        <v>7.6E-3</v>
      </c>
      <c r="AK39" s="228">
        <v>74.5</v>
      </c>
      <c r="AL39" s="228">
        <v>75.5</v>
      </c>
      <c r="AM39" s="228">
        <v>-1</v>
      </c>
      <c r="AN39" s="229">
        <v>1.3599999999999999E-2</v>
      </c>
      <c r="AO39" s="231">
        <v>5501.88</v>
      </c>
      <c r="AP39" s="231">
        <v>5542.54</v>
      </c>
      <c r="AQ39" s="228">
        <v>0</v>
      </c>
      <c r="AR39" s="230">
        <v>938750</v>
      </c>
      <c r="AS39" s="230">
        <v>281625</v>
      </c>
      <c r="AT39" s="230">
        <v>657125</v>
      </c>
      <c r="AU39" s="229">
        <v>2.3332999999999999</v>
      </c>
      <c r="AV39" s="230">
        <v>906250</v>
      </c>
      <c r="AW39" s="230">
        <v>261625</v>
      </c>
      <c r="AX39" s="230">
        <v>644625</v>
      </c>
      <c r="AY39" s="229">
        <v>2.4639000000000002</v>
      </c>
      <c r="AZ39" s="230">
        <v>30875</v>
      </c>
      <c r="BA39" s="230">
        <v>19125</v>
      </c>
      <c r="BB39" s="230">
        <v>11750</v>
      </c>
      <c r="BC39" s="229">
        <v>0.61439999999999995</v>
      </c>
      <c r="BD39" s="230">
        <v>1625</v>
      </c>
      <c r="BE39" s="228">
        <v>875</v>
      </c>
      <c r="BF39" s="228">
        <v>750</v>
      </c>
      <c r="BG39" s="229">
        <v>0.85709999999999997</v>
      </c>
      <c r="BH39" s="230">
        <v>1595000</v>
      </c>
      <c r="BI39" s="230">
        <v>768000</v>
      </c>
      <c r="BJ39" s="230">
        <v>827000</v>
      </c>
      <c r="BK39" s="229">
        <v>1.0768</v>
      </c>
      <c r="BL39" s="230">
        <v>1087500</v>
      </c>
      <c r="BM39" s="230">
        <v>300375</v>
      </c>
      <c r="BN39" s="230">
        <v>787125</v>
      </c>
      <c r="BO39" s="229">
        <v>2.6204999999999998</v>
      </c>
      <c r="BP39" s="230">
        <v>3621250</v>
      </c>
      <c r="BQ39" s="230">
        <v>1350000</v>
      </c>
      <c r="BR39" s="230">
        <v>2271250</v>
      </c>
      <c r="BS39" s="229">
        <v>1.6823999999999999</v>
      </c>
      <c r="BT39" s="230">
        <v>636430</v>
      </c>
      <c r="BU39" s="230">
        <v>496039</v>
      </c>
      <c r="BV39" s="230">
        <v>140391</v>
      </c>
      <c r="BW39" s="229">
        <v>0.28299999999999997</v>
      </c>
      <c r="BX39" s="230">
        <v>2933750</v>
      </c>
      <c r="BY39" s="230">
        <v>2801375</v>
      </c>
      <c r="BZ39" s="230">
        <v>132375</v>
      </c>
      <c r="CA39" s="229">
        <v>4.7300000000000002E-2</v>
      </c>
      <c r="CB39" s="230">
        <v>2874875</v>
      </c>
      <c r="CC39" s="230">
        <v>2753875</v>
      </c>
      <c r="CD39" s="230">
        <v>121000</v>
      </c>
      <c r="CE39" s="229">
        <v>4.3900000000000002E-2</v>
      </c>
      <c r="CF39" s="230">
        <v>56000</v>
      </c>
      <c r="CG39" s="230">
        <v>45625</v>
      </c>
      <c r="CH39" s="230">
        <v>10375</v>
      </c>
      <c r="CI39" s="229">
        <v>0.22739999999999999</v>
      </c>
      <c r="CJ39" s="230">
        <v>2875</v>
      </c>
      <c r="CK39" s="230">
        <v>1875</v>
      </c>
      <c r="CL39" s="230">
        <v>1000</v>
      </c>
      <c r="CM39" s="229">
        <v>0.5333</v>
      </c>
      <c r="CN39" s="230">
        <v>519625</v>
      </c>
      <c r="CO39" s="230">
        <v>326000</v>
      </c>
      <c r="CP39" s="230">
        <v>193625</v>
      </c>
      <c r="CQ39" s="229">
        <v>0.59389999999999998</v>
      </c>
      <c r="CR39" s="230">
        <v>583375</v>
      </c>
      <c r="CS39" s="230">
        <v>430250</v>
      </c>
      <c r="CT39" s="230">
        <v>153125</v>
      </c>
      <c r="CU39" s="229">
        <v>0.35589999999999999</v>
      </c>
      <c r="CV39" s="230">
        <v>4036750</v>
      </c>
      <c r="CW39" s="230">
        <v>3557625</v>
      </c>
      <c r="CX39" s="230">
        <v>479125</v>
      </c>
      <c r="CY39" s="229">
        <v>0.13469999999999999</v>
      </c>
      <c r="CZ39" s="228">
        <v>27.96</v>
      </c>
      <c r="DA39" s="228">
        <v>25.66</v>
      </c>
      <c r="DB39" s="228">
        <v>2.2999999999999998</v>
      </c>
      <c r="DC39" s="228">
        <v>2.2999999999999998</v>
      </c>
      <c r="DD39" s="228">
        <v>24.64</v>
      </c>
      <c r="DE39" s="228">
        <v>24.53</v>
      </c>
      <c r="DF39" s="228">
        <v>3.32</v>
      </c>
      <c r="DG39" s="228">
        <v>0.11</v>
      </c>
      <c r="DH39" s="228">
        <v>27.42</v>
      </c>
      <c r="DI39" s="228">
        <v>25.03</v>
      </c>
      <c r="DJ39" s="228">
        <v>2.39</v>
      </c>
      <c r="DK39" s="228">
        <v>2.39</v>
      </c>
      <c r="DL39" s="228">
        <v>28.75</v>
      </c>
      <c r="DM39" s="228">
        <v>27.28</v>
      </c>
      <c r="DN39" s="228">
        <v>1.47</v>
      </c>
      <c r="DO39" s="228">
        <v>1.47</v>
      </c>
      <c r="DP39" s="228">
        <v>1.1200000000000001</v>
      </c>
      <c r="DQ39" s="228">
        <v>1.32</v>
      </c>
      <c r="DR39" s="228">
        <v>-0.2</v>
      </c>
      <c r="DS39" s="229">
        <v>-0.1515</v>
      </c>
      <c r="DT39" s="231">
        <v>6000</v>
      </c>
      <c r="DU39" s="231">
        <v>5000</v>
      </c>
      <c r="DV39" s="228">
        <v>0.68</v>
      </c>
      <c r="DW39" s="228">
        <v>0.39</v>
      </c>
      <c r="DX39" s="228">
        <v>0.28999999999999998</v>
      </c>
      <c r="DY39" s="229">
        <v>0.74360000000000004</v>
      </c>
      <c r="DZ39" s="229">
        <v>2.01E-2</v>
      </c>
      <c r="EA39" s="230">
        <v>47500</v>
      </c>
      <c r="EB39" s="229">
        <v>5.7000000000000002E-3</v>
      </c>
      <c r="EC39" s="229">
        <v>2.01E-2</v>
      </c>
      <c r="ED39" s="228">
        <v>40.659999999999997</v>
      </c>
      <c r="EE39" s="229">
        <v>7.4000000000000003E-3</v>
      </c>
      <c r="EF39" s="230">
        <v>328907</v>
      </c>
      <c r="EG39" s="230">
        <v>279603</v>
      </c>
      <c r="EH39" s="229">
        <v>0.17630000000000001</v>
      </c>
      <c r="EI39" s="229">
        <v>0.51680000000000004</v>
      </c>
      <c r="EJ39" s="231">
        <v>92007.11</v>
      </c>
      <c r="EK39" s="231">
        <v>58995.77</v>
      </c>
      <c r="EL39" s="231">
        <v>51662.74</v>
      </c>
      <c r="EM39" s="231">
        <v>2338</v>
      </c>
      <c r="EN39" s="231">
        <v>202665.62</v>
      </c>
      <c r="EO39" s="231">
        <v>77293.600000000006</v>
      </c>
      <c r="EP39" s="231">
        <v>125372.02</v>
      </c>
      <c r="EQ39" s="229">
        <v>1.6220000000000001</v>
      </c>
      <c r="ER39" s="231">
        <v>30051</v>
      </c>
      <c r="ES39" s="231">
        <v>30555</v>
      </c>
      <c r="ET39" s="231">
        <v>160936</v>
      </c>
      <c r="EU39" s="231">
        <v>14553559</v>
      </c>
      <c r="EV39" s="231">
        <v>221541</v>
      </c>
      <c r="EW39" s="231">
        <v>198839</v>
      </c>
      <c r="EX39" s="231">
        <v>22702</v>
      </c>
      <c r="EY39" s="229">
        <v>0.1142</v>
      </c>
      <c r="EZ39" s="229">
        <v>0.27739999999999998</v>
      </c>
      <c r="FA39" s="227" t="s">
        <v>566</v>
      </c>
      <c r="FB39" s="161">
        <f t="shared" si="0"/>
        <v>58875</v>
      </c>
    </row>
    <row r="40" spans="1:158" ht="17.25" thickBot="1" x14ac:dyDescent="0.3">
      <c r="A40" s="226">
        <v>46121</v>
      </c>
      <c r="B40" s="227" t="s">
        <v>175</v>
      </c>
      <c r="C40" s="227" t="s">
        <v>583</v>
      </c>
      <c r="D40" s="228">
        <v>375</v>
      </c>
      <c r="E40" s="231">
        <v>3274.4</v>
      </c>
      <c r="F40" s="231">
        <v>3176.2</v>
      </c>
      <c r="G40" s="228">
        <v>98.2</v>
      </c>
      <c r="H40" s="229">
        <v>3.09E-2</v>
      </c>
      <c r="I40" s="231">
        <v>3257.4</v>
      </c>
      <c r="J40" s="231">
        <v>3163.6</v>
      </c>
      <c r="K40" s="228">
        <v>93.8</v>
      </c>
      <c r="L40" s="229">
        <v>2.9600000000000001E-2</v>
      </c>
      <c r="M40" s="231">
        <v>3274.4</v>
      </c>
      <c r="N40" s="231">
        <v>3176.2</v>
      </c>
      <c r="O40" s="228">
        <v>98.2</v>
      </c>
      <c r="P40" s="229">
        <v>3.09E-2</v>
      </c>
      <c r="Q40" s="231">
        <v>3271.8</v>
      </c>
      <c r="R40" s="231">
        <v>3177.9</v>
      </c>
      <c r="S40" s="228">
        <v>93.9</v>
      </c>
      <c r="T40" s="229">
        <v>2.9499999999999998E-2</v>
      </c>
      <c r="U40" s="231">
        <v>3281.7</v>
      </c>
      <c r="V40" s="231">
        <v>3183.7</v>
      </c>
      <c r="W40" s="228">
        <v>98</v>
      </c>
      <c r="X40" s="229">
        <v>3.0800000000000001E-2</v>
      </c>
      <c r="Y40" s="228">
        <v>17</v>
      </c>
      <c r="Z40" s="228">
        <v>12.6</v>
      </c>
      <c r="AA40" s="228">
        <v>4.4000000000000004</v>
      </c>
      <c r="AB40" s="229">
        <v>5.1999999999999998E-3</v>
      </c>
      <c r="AC40" s="228">
        <v>17</v>
      </c>
      <c r="AD40" s="228">
        <v>12.6</v>
      </c>
      <c r="AE40" s="228">
        <v>4.4000000000000004</v>
      </c>
      <c r="AF40" s="229">
        <v>5.1999999999999998E-3</v>
      </c>
      <c r="AG40" s="228">
        <v>14.4</v>
      </c>
      <c r="AH40" s="228">
        <v>14.3</v>
      </c>
      <c r="AI40" s="228">
        <v>0.1</v>
      </c>
      <c r="AJ40" s="229">
        <v>4.4000000000000003E-3</v>
      </c>
      <c r="AK40" s="228">
        <v>24.3</v>
      </c>
      <c r="AL40" s="228">
        <v>20.100000000000001</v>
      </c>
      <c r="AM40" s="228">
        <v>4.2</v>
      </c>
      <c r="AN40" s="229">
        <v>7.4999999999999997E-3</v>
      </c>
      <c r="AO40" s="231">
        <v>3240.64</v>
      </c>
      <c r="AP40" s="231">
        <v>3238.08</v>
      </c>
      <c r="AQ40" s="228">
        <v>0</v>
      </c>
      <c r="AR40" s="230">
        <v>4483125</v>
      </c>
      <c r="AS40" s="230">
        <v>5622750</v>
      </c>
      <c r="AT40" s="230">
        <v>-1139625</v>
      </c>
      <c r="AU40" s="229">
        <v>-0.20269999999999999</v>
      </c>
      <c r="AV40" s="230">
        <v>4082625</v>
      </c>
      <c r="AW40" s="230">
        <v>5181375</v>
      </c>
      <c r="AX40" s="230">
        <v>-1098750</v>
      </c>
      <c r="AY40" s="229">
        <v>-0.21210000000000001</v>
      </c>
      <c r="AZ40" s="230">
        <v>322125</v>
      </c>
      <c r="BA40" s="230">
        <v>369000</v>
      </c>
      <c r="BB40" s="230">
        <v>-46875</v>
      </c>
      <c r="BC40" s="229">
        <v>-0.127</v>
      </c>
      <c r="BD40" s="230">
        <v>78375</v>
      </c>
      <c r="BE40" s="230">
        <v>72375</v>
      </c>
      <c r="BF40" s="230">
        <v>6000</v>
      </c>
      <c r="BG40" s="229">
        <v>8.2900000000000001E-2</v>
      </c>
      <c r="BH40" s="230">
        <v>23240625</v>
      </c>
      <c r="BI40" s="230">
        <v>26665125</v>
      </c>
      <c r="BJ40" s="230">
        <v>-3424500</v>
      </c>
      <c r="BK40" s="229">
        <v>-0.12839999999999999</v>
      </c>
      <c r="BL40" s="230">
        <v>12462750</v>
      </c>
      <c r="BM40" s="230">
        <v>14463750</v>
      </c>
      <c r="BN40" s="230">
        <v>-2001000</v>
      </c>
      <c r="BO40" s="229">
        <v>-0.13830000000000001</v>
      </c>
      <c r="BP40" s="230">
        <v>40186500</v>
      </c>
      <c r="BQ40" s="230">
        <v>46751625</v>
      </c>
      <c r="BR40" s="230">
        <v>-6565125</v>
      </c>
      <c r="BS40" s="229">
        <v>-0.1404</v>
      </c>
      <c r="BT40" s="230">
        <v>7362810</v>
      </c>
      <c r="BU40" s="230">
        <v>10418736</v>
      </c>
      <c r="BV40" s="230">
        <v>-3055926</v>
      </c>
      <c r="BW40" s="229">
        <v>-0.29330000000000001</v>
      </c>
      <c r="BX40" s="230">
        <v>8020125</v>
      </c>
      <c r="BY40" s="230">
        <v>7386375</v>
      </c>
      <c r="BZ40" s="230">
        <v>633750</v>
      </c>
      <c r="CA40" s="229">
        <v>8.5800000000000001E-2</v>
      </c>
      <c r="CB40" s="230">
        <v>7491000</v>
      </c>
      <c r="CC40" s="230">
        <v>6916875</v>
      </c>
      <c r="CD40" s="230">
        <v>574125</v>
      </c>
      <c r="CE40" s="229">
        <v>8.3000000000000004E-2</v>
      </c>
      <c r="CF40" s="230">
        <v>474750</v>
      </c>
      <c r="CG40" s="230">
        <v>430875</v>
      </c>
      <c r="CH40" s="230">
        <v>43875</v>
      </c>
      <c r="CI40" s="229">
        <v>0.1018</v>
      </c>
      <c r="CJ40" s="230">
        <v>54375</v>
      </c>
      <c r="CK40" s="230">
        <v>38625</v>
      </c>
      <c r="CL40" s="230">
        <v>15750</v>
      </c>
      <c r="CM40" s="229">
        <v>0.4078</v>
      </c>
      <c r="CN40" s="230">
        <v>5812125</v>
      </c>
      <c r="CO40" s="230">
        <v>4970250</v>
      </c>
      <c r="CP40" s="230">
        <v>841875</v>
      </c>
      <c r="CQ40" s="229">
        <v>0.1694</v>
      </c>
      <c r="CR40" s="230">
        <v>6286125</v>
      </c>
      <c r="CS40" s="230">
        <v>5213250</v>
      </c>
      <c r="CT40" s="230">
        <v>1072875</v>
      </c>
      <c r="CU40" s="229">
        <v>0.20580000000000001</v>
      </c>
      <c r="CV40" s="230">
        <v>20118375</v>
      </c>
      <c r="CW40" s="230">
        <v>17569875</v>
      </c>
      <c r="CX40" s="230">
        <v>2548500</v>
      </c>
      <c r="CY40" s="229">
        <v>0.14499999999999999</v>
      </c>
      <c r="CZ40" s="228">
        <v>47.85</v>
      </c>
      <c r="DA40" s="228">
        <v>46.47</v>
      </c>
      <c r="DB40" s="228">
        <v>1.38</v>
      </c>
      <c r="DC40" s="228">
        <v>1.38</v>
      </c>
      <c r="DD40" s="228">
        <v>59.71</v>
      </c>
      <c r="DE40" s="228">
        <v>59.73</v>
      </c>
      <c r="DF40" s="228">
        <v>-11.86</v>
      </c>
      <c r="DG40" s="228">
        <v>-0.02</v>
      </c>
      <c r="DH40" s="228">
        <v>45.63</v>
      </c>
      <c r="DI40" s="228">
        <v>44.79</v>
      </c>
      <c r="DJ40" s="228">
        <v>0.84</v>
      </c>
      <c r="DK40" s="228">
        <v>0.84</v>
      </c>
      <c r="DL40" s="228">
        <v>51.98</v>
      </c>
      <c r="DM40" s="228">
        <v>49.55</v>
      </c>
      <c r="DN40" s="228">
        <v>2.4300000000000002</v>
      </c>
      <c r="DO40" s="228">
        <v>2.4300000000000002</v>
      </c>
      <c r="DP40" s="228">
        <v>1.08</v>
      </c>
      <c r="DQ40" s="228">
        <v>1.05</v>
      </c>
      <c r="DR40" s="228">
        <v>0.03</v>
      </c>
      <c r="DS40" s="229">
        <v>2.86E-2</v>
      </c>
      <c r="DT40" s="231">
        <v>3300</v>
      </c>
      <c r="DU40" s="231">
        <v>2800</v>
      </c>
      <c r="DV40" s="228">
        <v>0.54</v>
      </c>
      <c r="DW40" s="228">
        <v>0.54</v>
      </c>
      <c r="DX40" s="228">
        <v>0</v>
      </c>
      <c r="DY40" s="229">
        <v>0</v>
      </c>
      <c r="DZ40" s="229">
        <v>6.6000000000000003E-2</v>
      </c>
      <c r="EA40" s="230">
        <v>469500</v>
      </c>
      <c r="EB40" s="229">
        <v>-8.0000000000000004E-4</v>
      </c>
      <c r="EC40" s="229">
        <v>6.6000000000000003E-2</v>
      </c>
      <c r="ED40" s="228">
        <v>-2.56</v>
      </c>
      <c r="EE40" s="229">
        <v>-8.0000000000000004E-4</v>
      </c>
      <c r="EF40" s="230">
        <v>1672993</v>
      </c>
      <c r="EG40" s="230">
        <v>3272340</v>
      </c>
      <c r="EH40" s="229">
        <v>-0.48870000000000002</v>
      </c>
      <c r="EI40" s="229">
        <v>0.22720000000000001</v>
      </c>
      <c r="EJ40" s="231">
        <v>800620.24</v>
      </c>
      <c r="EK40" s="231">
        <v>387810.91</v>
      </c>
      <c r="EL40" s="231">
        <v>145282.9</v>
      </c>
      <c r="EM40" s="231">
        <v>9792</v>
      </c>
      <c r="EN40" s="231">
        <v>1333714.05</v>
      </c>
      <c r="EO40" s="231">
        <v>1502939.01</v>
      </c>
      <c r="EP40" s="231">
        <v>-169224.95999999999</v>
      </c>
      <c r="EQ40" s="229">
        <v>-0.11260000000000001</v>
      </c>
      <c r="ER40" s="231">
        <v>184215</v>
      </c>
      <c r="ES40" s="231">
        <v>179777</v>
      </c>
      <c r="ET40" s="231">
        <v>262603</v>
      </c>
      <c r="EU40" s="231">
        <v>61182611</v>
      </c>
      <c r="EV40" s="231">
        <v>626595</v>
      </c>
      <c r="EW40" s="231">
        <v>535359</v>
      </c>
      <c r="EX40" s="231">
        <v>91236</v>
      </c>
      <c r="EY40" s="229">
        <v>0.1704</v>
      </c>
      <c r="EZ40" s="229">
        <v>0.32879999999999998</v>
      </c>
      <c r="FA40" s="227" t="s">
        <v>555</v>
      </c>
      <c r="FB40" s="161">
        <f t="shared" si="0"/>
        <v>529125</v>
      </c>
    </row>
    <row r="41" spans="1:158" ht="17.25" thickBot="1" x14ac:dyDescent="0.3">
      <c r="A41" s="226">
        <v>46121</v>
      </c>
      <c r="B41" s="227" t="s">
        <v>175</v>
      </c>
      <c r="C41" s="227" t="s">
        <v>610</v>
      </c>
      <c r="D41" s="228">
        <v>750</v>
      </c>
      <c r="E41" s="228">
        <v>698.1</v>
      </c>
      <c r="F41" s="228">
        <v>707.25</v>
      </c>
      <c r="G41" s="228">
        <v>-9.15</v>
      </c>
      <c r="H41" s="229">
        <v>-1.29E-2</v>
      </c>
      <c r="I41" s="228">
        <v>699.05</v>
      </c>
      <c r="J41" s="228">
        <v>704.85</v>
      </c>
      <c r="K41" s="228">
        <v>-5.8</v>
      </c>
      <c r="L41" s="229">
        <v>-8.2000000000000007E-3</v>
      </c>
      <c r="M41" s="228">
        <v>698.1</v>
      </c>
      <c r="N41" s="228">
        <v>707.25</v>
      </c>
      <c r="O41" s="228">
        <v>-9.15</v>
      </c>
      <c r="P41" s="229">
        <v>-1.29E-2</v>
      </c>
      <c r="Q41" s="228">
        <v>694.2</v>
      </c>
      <c r="R41" s="228">
        <v>706.25</v>
      </c>
      <c r="S41" s="228">
        <v>-12.05</v>
      </c>
      <c r="T41" s="229">
        <v>-1.7100000000000001E-2</v>
      </c>
      <c r="U41" s="228">
        <v>692.45</v>
      </c>
      <c r="V41" s="228">
        <v>704</v>
      </c>
      <c r="W41" s="228">
        <v>-11.55</v>
      </c>
      <c r="X41" s="229">
        <v>-1.6400000000000001E-2</v>
      </c>
      <c r="Y41" s="228">
        <v>-0.95</v>
      </c>
      <c r="Z41" s="228">
        <v>2.4</v>
      </c>
      <c r="AA41" s="228">
        <v>-3.35</v>
      </c>
      <c r="AB41" s="229">
        <v>-1.4E-3</v>
      </c>
      <c r="AC41" s="228">
        <v>-0.95</v>
      </c>
      <c r="AD41" s="228">
        <v>2.4</v>
      </c>
      <c r="AE41" s="228">
        <v>-3.35</v>
      </c>
      <c r="AF41" s="229">
        <v>-1.4E-3</v>
      </c>
      <c r="AG41" s="228">
        <v>-4.8499999999999996</v>
      </c>
      <c r="AH41" s="228">
        <v>1.4</v>
      </c>
      <c r="AI41" s="228">
        <v>-6.25</v>
      </c>
      <c r="AJ41" s="229">
        <v>-6.8999999999999999E-3</v>
      </c>
      <c r="AK41" s="228">
        <v>-6.6</v>
      </c>
      <c r="AL41" s="228">
        <v>-0.85</v>
      </c>
      <c r="AM41" s="228">
        <v>-5.75</v>
      </c>
      <c r="AN41" s="229">
        <v>-9.4000000000000004E-3</v>
      </c>
      <c r="AO41" s="228">
        <v>702.21</v>
      </c>
      <c r="AP41" s="228">
        <v>696.82</v>
      </c>
      <c r="AQ41" s="228">
        <v>0</v>
      </c>
      <c r="AR41" s="230">
        <v>2208750</v>
      </c>
      <c r="AS41" s="230">
        <v>2351250</v>
      </c>
      <c r="AT41" s="230">
        <v>-142500</v>
      </c>
      <c r="AU41" s="229">
        <v>-6.0600000000000001E-2</v>
      </c>
      <c r="AV41" s="230">
        <v>1805250</v>
      </c>
      <c r="AW41" s="230">
        <v>2208750</v>
      </c>
      <c r="AX41" s="230">
        <v>-403500</v>
      </c>
      <c r="AY41" s="229">
        <v>-0.1827</v>
      </c>
      <c r="AZ41" s="230">
        <v>384000</v>
      </c>
      <c r="BA41" s="230">
        <v>126000</v>
      </c>
      <c r="BB41" s="230">
        <v>258000</v>
      </c>
      <c r="BC41" s="229">
        <v>2.0476000000000001</v>
      </c>
      <c r="BD41" s="230">
        <v>19500</v>
      </c>
      <c r="BE41" s="230">
        <v>16500</v>
      </c>
      <c r="BF41" s="230">
        <v>3000</v>
      </c>
      <c r="BG41" s="229">
        <v>0.18179999999999999</v>
      </c>
      <c r="BH41" s="230">
        <v>4136250</v>
      </c>
      <c r="BI41" s="230">
        <v>3232500</v>
      </c>
      <c r="BJ41" s="230">
        <v>903750</v>
      </c>
      <c r="BK41" s="229">
        <v>0.27960000000000002</v>
      </c>
      <c r="BL41" s="230">
        <v>1896000</v>
      </c>
      <c r="BM41" s="230">
        <v>1720500</v>
      </c>
      <c r="BN41" s="230">
        <v>175500</v>
      </c>
      <c r="BO41" s="229">
        <v>0.10199999999999999</v>
      </c>
      <c r="BP41" s="230">
        <v>8241000</v>
      </c>
      <c r="BQ41" s="230">
        <v>7304250</v>
      </c>
      <c r="BR41" s="230">
        <v>936750</v>
      </c>
      <c r="BS41" s="229">
        <v>0.12820000000000001</v>
      </c>
      <c r="BT41" s="230">
        <v>1570924</v>
      </c>
      <c r="BU41" s="230">
        <v>1457706</v>
      </c>
      <c r="BV41" s="230">
        <v>113218</v>
      </c>
      <c r="BW41" s="229">
        <v>7.7700000000000005E-2</v>
      </c>
      <c r="BX41" s="230">
        <v>6751500</v>
      </c>
      <c r="BY41" s="230">
        <v>6483000</v>
      </c>
      <c r="BZ41" s="230">
        <v>268500</v>
      </c>
      <c r="CA41" s="229">
        <v>4.1399999999999999E-2</v>
      </c>
      <c r="CB41" s="230">
        <v>6214500</v>
      </c>
      <c r="CC41" s="230">
        <v>6168000</v>
      </c>
      <c r="CD41" s="230">
        <v>46500</v>
      </c>
      <c r="CE41" s="229">
        <v>7.4999999999999997E-3</v>
      </c>
      <c r="CF41" s="230">
        <v>503250</v>
      </c>
      <c r="CG41" s="230">
        <v>291750</v>
      </c>
      <c r="CH41" s="230">
        <v>211500</v>
      </c>
      <c r="CI41" s="229">
        <v>0.72489999999999999</v>
      </c>
      <c r="CJ41" s="230">
        <v>33750</v>
      </c>
      <c r="CK41" s="230">
        <v>23250</v>
      </c>
      <c r="CL41" s="230">
        <v>10500</v>
      </c>
      <c r="CM41" s="229">
        <v>0.4516</v>
      </c>
      <c r="CN41" s="230">
        <v>2114250</v>
      </c>
      <c r="CO41" s="230">
        <v>1905750</v>
      </c>
      <c r="CP41" s="230">
        <v>208500</v>
      </c>
      <c r="CQ41" s="229">
        <v>0.1094</v>
      </c>
      <c r="CR41" s="230">
        <v>1663500</v>
      </c>
      <c r="CS41" s="230">
        <v>1314000</v>
      </c>
      <c r="CT41" s="230">
        <v>349500</v>
      </c>
      <c r="CU41" s="229">
        <v>0.26600000000000001</v>
      </c>
      <c r="CV41" s="230">
        <v>10529250</v>
      </c>
      <c r="CW41" s="230">
        <v>9702750</v>
      </c>
      <c r="CX41" s="230">
        <v>826500</v>
      </c>
      <c r="CY41" s="229">
        <v>8.5199999999999998E-2</v>
      </c>
      <c r="CZ41" s="228">
        <v>34.51</v>
      </c>
      <c r="DA41" s="228">
        <v>34.950000000000003</v>
      </c>
      <c r="DB41" s="228">
        <v>-0.44</v>
      </c>
      <c r="DC41" s="228">
        <v>-0.44</v>
      </c>
      <c r="DD41" s="228">
        <v>40.86</v>
      </c>
      <c r="DE41" s="228">
        <v>40.93</v>
      </c>
      <c r="DF41" s="228">
        <v>-6.35</v>
      </c>
      <c r="DG41" s="228">
        <v>-7.0000000000000007E-2</v>
      </c>
      <c r="DH41" s="228">
        <v>33.840000000000003</v>
      </c>
      <c r="DI41" s="228">
        <v>33.729999999999997</v>
      </c>
      <c r="DJ41" s="228">
        <v>0.11</v>
      </c>
      <c r="DK41" s="228">
        <v>0.11</v>
      </c>
      <c r="DL41" s="228">
        <v>35.97</v>
      </c>
      <c r="DM41" s="228">
        <v>37.24</v>
      </c>
      <c r="DN41" s="228">
        <v>-1.27</v>
      </c>
      <c r="DO41" s="228">
        <v>-1.27</v>
      </c>
      <c r="DP41" s="228">
        <v>0.79</v>
      </c>
      <c r="DQ41" s="228">
        <v>0.69</v>
      </c>
      <c r="DR41" s="228">
        <v>0.1</v>
      </c>
      <c r="DS41" s="229">
        <v>0.1449</v>
      </c>
      <c r="DT41" s="228">
        <v>710</v>
      </c>
      <c r="DU41" s="228">
        <v>700</v>
      </c>
      <c r="DV41" s="228">
        <v>0.46</v>
      </c>
      <c r="DW41" s="228">
        <v>0.53</v>
      </c>
      <c r="DX41" s="228">
        <v>-7.0000000000000007E-2</v>
      </c>
      <c r="DY41" s="229">
        <v>-0.1321</v>
      </c>
      <c r="DZ41" s="229">
        <v>7.9500000000000001E-2</v>
      </c>
      <c r="EA41" s="230">
        <v>315000</v>
      </c>
      <c r="EB41" s="229">
        <v>-5.5999999999999999E-3</v>
      </c>
      <c r="EC41" s="229">
        <v>7.9500000000000001E-2</v>
      </c>
      <c r="ED41" s="228">
        <v>-5.39</v>
      </c>
      <c r="EE41" s="229">
        <v>-7.7000000000000002E-3</v>
      </c>
      <c r="EF41" s="230">
        <v>604070</v>
      </c>
      <c r="EG41" s="230">
        <v>680917</v>
      </c>
      <c r="EH41" s="229">
        <v>-0.1129</v>
      </c>
      <c r="EI41" s="229">
        <v>0.38450000000000001</v>
      </c>
      <c r="EJ41" s="231">
        <v>30856.89</v>
      </c>
      <c r="EK41" s="231">
        <v>13102.51</v>
      </c>
      <c r="EL41" s="231">
        <v>15488.9</v>
      </c>
      <c r="EM41" s="231">
        <v>2347</v>
      </c>
      <c r="EN41" s="231">
        <v>59448.3</v>
      </c>
      <c r="EO41" s="231">
        <v>52274.69</v>
      </c>
      <c r="EP41" s="231">
        <v>7173.61</v>
      </c>
      <c r="EQ41" s="229">
        <v>0.13719999999999999</v>
      </c>
      <c r="ER41" s="231">
        <v>15074</v>
      </c>
      <c r="ES41" s="231">
        <v>11136</v>
      </c>
      <c r="ET41" s="231">
        <v>47111</v>
      </c>
      <c r="EU41" s="231">
        <v>37147595</v>
      </c>
      <c r="EV41" s="231">
        <v>73321</v>
      </c>
      <c r="EW41" s="231">
        <v>68232</v>
      </c>
      <c r="EX41" s="231">
        <v>5089</v>
      </c>
      <c r="EY41" s="229">
        <v>7.46E-2</v>
      </c>
      <c r="EZ41" s="229">
        <v>0.28339999999999999</v>
      </c>
      <c r="FA41" s="227" t="s">
        <v>566</v>
      </c>
      <c r="FB41" s="161">
        <f t="shared" si="0"/>
        <v>537000</v>
      </c>
    </row>
    <row r="42" spans="1:158" ht="17.25" thickBot="1" x14ac:dyDescent="0.3">
      <c r="A42" s="226">
        <v>46121</v>
      </c>
      <c r="B42" s="227" t="s">
        <v>172</v>
      </c>
      <c r="C42" s="227" t="s">
        <v>196</v>
      </c>
      <c r="D42" s="228">
        <v>6750</v>
      </c>
      <c r="E42" s="228">
        <v>138.13999999999999</v>
      </c>
      <c r="F42" s="228">
        <v>139.83000000000001</v>
      </c>
      <c r="G42" s="228">
        <v>-1.69</v>
      </c>
      <c r="H42" s="229">
        <v>-1.21E-2</v>
      </c>
      <c r="I42" s="228">
        <v>137.91</v>
      </c>
      <c r="J42" s="228">
        <v>139.19</v>
      </c>
      <c r="K42" s="228">
        <v>-1.28</v>
      </c>
      <c r="L42" s="229">
        <v>-9.1999999999999998E-3</v>
      </c>
      <c r="M42" s="228">
        <v>138.13999999999999</v>
      </c>
      <c r="N42" s="228">
        <v>139.83000000000001</v>
      </c>
      <c r="O42" s="228">
        <v>-1.69</v>
      </c>
      <c r="P42" s="229">
        <v>-1.21E-2</v>
      </c>
      <c r="Q42" s="228">
        <v>139.02000000000001</v>
      </c>
      <c r="R42" s="228">
        <v>140.49</v>
      </c>
      <c r="S42" s="228">
        <v>-1.47</v>
      </c>
      <c r="T42" s="229">
        <v>-1.0500000000000001E-2</v>
      </c>
      <c r="U42" s="228">
        <v>139.91999999999999</v>
      </c>
      <c r="V42" s="228">
        <v>141.30000000000001</v>
      </c>
      <c r="W42" s="228">
        <v>-1.38</v>
      </c>
      <c r="X42" s="229">
        <v>-9.7999999999999997E-3</v>
      </c>
      <c r="Y42" s="228">
        <v>0.23</v>
      </c>
      <c r="Z42" s="228">
        <v>0.64</v>
      </c>
      <c r="AA42" s="228">
        <v>-0.41</v>
      </c>
      <c r="AB42" s="229">
        <v>1.6999999999999999E-3</v>
      </c>
      <c r="AC42" s="228">
        <v>0.23</v>
      </c>
      <c r="AD42" s="228">
        <v>0.64</v>
      </c>
      <c r="AE42" s="228">
        <v>-0.41</v>
      </c>
      <c r="AF42" s="229">
        <v>1.6999999999999999E-3</v>
      </c>
      <c r="AG42" s="228">
        <v>1.1100000000000001</v>
      </c>
      <c r="AH42" s="228">
        <v>1.3</v>
      </c>
      <c r="AI42" s="228">
        <v>-0.19</v>
      </c>
      <c r="AJ42" s="229">
        <v>8.0000000000000002E-3</v>
      </c>
      <c r="AK42" s="228">
        <v>2.0099999999999998</v>
      </c>
      <c r="AL42" s="228">
        <v>2.11</v>
      </c>
      <c r="AM42" s="228">
        <v>-0.1</v>
      </c>
      <c r="AN42" s="229">
        <v>1.46E-2</v>
      </c>
      <c r="AO42" s="228">
        <v>139.04</v>
      </c>
      <c r="AP42" s="228">
        <v>139.99</v>
      </c>
      <c r="AQ42" s="228">
        <v>0</v>
      </c>
      <c r="AR42" s="230">
        <v>38853000</v>
      </c>
      <c r="AS42" s="230">
        <v>66804750</v>
      </c>
      <c r="AT42" s="230">
        <v>-27951750</v>
      </c>
      <c r="AU42" s="229">
        <v>-0.41839999999999999</v>
      </c>
      <c r="AV42" s="230">
        <v>34425000</v>
      </c>
      <c r="AW42" s="230">
        <v>61634250</v>
      </c>
      <c r="AX42" s="230">
        <v>-27209250</v>
      </c>
      <c r="AY42" s="229">
        <v>-0.4415</v>
      </c>
      <c r="AZ42" s="230">
        <v>3820500</v>
      </c>
      <c r="BA42" s="230">
        <v>4414500</v>
      </c>
      <c r="BB42" s="230">
        <v>-594000</v>
      </c>
      <c r="BC42" s="229">
        <v>-0.1346</v>
      </c>
      <c r="BD42" s="230">
        <v>607500</v>
      </c>
      <c r="BE42" s="230">
        <v>756000</v>
      </c>
      <c r="BF42" s="230">
        <v>-148500</v>
      </c>
      <c r="BG42" s="229">
        <v>-0.19639999999999999</v>
      </c>
      <c r="BH42" s="230">
        <v>68141250</v>
      </c>
      <c r="BI42" s="230">
        <v>125651250</v>
      </c>
      <c r="BJ42" s="230">
        <v>-57510000</v>
      </c>
      <c r="BK42" s="229">
        <v>-0.4577</v>
      </c>
      <c r="BL42" s="230">
        <v>40594500</v>
      </c>
      <c r="BM42" s="230">
        <v>77935500</v>
      </c>
      <c r="BN42" s="230">
        <v>-37341000</v>
      </c>
      <c r="BO42" s="229">
        <v>-0.47910000000000003</v>
      </c>
      <c r="BP42" s="230">
        <v>147588750</v>
      </c>
      <c r="BQ42" s="230">
        <v>270391500</v>
      </c>
      <c r="BR42" s="230">
        <v>-122802750</v>
      </c>
      <c r="BS42" s="229">
        <v>-0.45419999999999999</v>
      </c>
      <c r="BT42" s="230">
        <v>23782106</v>
      </c>
      <c r="BU42" s="230">
        <v>35344628</v>
      </c>
      <c r="BV42" s="230">
        <v>-11562522</v>
      </c>
      <c r="BW42" s="229">
        <v>-0.3271</v>
      </c>
      <c r="BX42" s="230">
        <v>204052500</v>
      </c>
      <c r="BY42" s="230">
        <v>202331250</v>
      </c>
      <c r="BZ42" s="230">
        <v>1721250</v>
      </c>
      <c r="CA42" s="229">
        <v>8.5000000000000006E-3</v>
      </c>
      <c r="CB42" s="230">
        <v>195129000</v>
      </c>
      <c r="CC42" s="230">
        <v>194751000</v>
      </c>
      <c r="CD42" s="230">
        <v>378000</v>
      </c>
      <c r="CE42" s="229">
        <v>1.9E-3</v>
      </c>
      <c r="CF42" s="230">
        <v>7951500</v>
      </c>
      <c r="CG42" s="230">
        <v>6783750</v>
      </c>
      <c r="CH42" s="230">
        <v>1167750</v>
      </c>
      <c r="CI42" s="229">
        <v>0.1721</v>
      </c>
      <c r="CJ42" s="230">
        <v>972000</v>
      </c>
      <c r="CK42" s="230">
        <v>796500</v>
      </c>
      <c r="CL42" s="230">
        <v>175500</v>
      </c>
      <c r="CM42" s="229">
        <v>0.2203</v>
      </c>
      <c r="CN42" s="230">
        <v>65218500</v>
      </c>
      <c r="CO42" s="230">
        <v>59076000</v>
      </c>
      <c r="CP42" s="230">
        <v>6142500</v>
      </c>
      <c r="CQ42" s="229">
        <v>0.104</v>
      </c>
      <c r="CR42" s="230">
        <v>58846500</v>
      </c>
      <c r="CS42" s="230">
        <v>55802250</v>
      </c>
      <c r="CT42" s="230">
        <v>3044250</v>
      </c>
      <c r="CU42" s="229">
        <v>5.4600000000000003E-2</v>
      </c>
      <c r="CV42" s="230">
        <v>328117500</v>
      </c>
      <c r="CW42" s="230">
        <v>317209500</v>
      </c>
      <c r="CX42" s="230">
        <v>10908000</v>
      </c>
      <c r="CY42" s="229">
        <v>3.44E-2</v>
      </c>
      <c r="CZ42" s="228">
        <v>37.28</v>
      </c>
      <c r="DA42" s="228">
        <v>37.76</v>
      </c>
      <c r="DB42" s="228">
        <v>-0.48</v>
      </c>
      <c r="DC42" s="228">
        <v>-0.48</v>
      </c>
      <c r="DD42" s="228">
        <v>39.42</v>
      </c>
      <c r="DE42" s="228">
        <v>39.479999999999997</v>
      </c>
      <c r="DF42" s="228">
        <v>-2.14</v>
      </c>
      <c r="DG42" s="228">
        <v>-0.06</v>
      </c>
      <c r="DH42" s="228">
        <v>36.61</v>
      </c>
      <c r="DI42" s="228">
        <v>36.29</v>
      </c>
      <c r="DJ42" s="228">
        <v>0.32</v>
      </c>
      <c r="DK42" s="228">
        <v>0.32</v>
      </c>
      <c r="DL42" s="228">
        <v>38.39</v>
      </c>
      <c r="DM42" s="228">
        <v>40.130000000000003</v>
      </c>
      <c r="DN42" s="228">
        <v>-1.74</v>
      </c>
      <c r="DO42" s="228">
        <v>-1.74</v>
      </c>
      <c r="DP42" s="228">
        <v>0.9</v>
      </c>
      <c r="DQ42" s="228">
        <v>0.94</v>
      </c>
      <c r="DR42" s="228">
        <v>-0.04</v>
      </c>
      <c r="DS42" s="229">
        <v>-4.2599999999999999E-2</v>
      </c>
      <c r="DT42" s="228">
        <v>140</v>
      </c>
      <c r="DU42" s="228">
        <v>140</v>
      </c>
      <c r="DV42" s="228">
        <v>0.6</v>
      </c>
      <c r="DW42" s="228">
        <v>0.62</v>
      </c>
      <c r="DX42" s="228">
        <v>-0.02</v>
      </c>
      <c r="DY42" s="229">
        <v>-3.2300000000000002E-2</v>
      </c>
      <c r="DZ42" s="229">
        <v>4.3700000000000003E-2</v>
      </c>
      <c r="EA42" s="230">
        <v>7580250</v>
      </c>
      <c r="EB42" s="229">
        <v>6.4000000000000003E-3</v>
      </c>
      <c r="EC42" s="229">
        <v>4.3700000000000003E-2</v>
      </c>
      <c r="ED42" s="228">
        <v>0.95</v>
      </c>
      <c r="EE42" s="229">
        <v>6.7999999999999996E-3</v>
      </c>
      <c r="EF42" s="230">
        <v>8599998</v>
      </c>
      <c r="EG42" s="230">
        <v>12509969</v>
      </c>
      <c r="EH42" s="229">
        <v>-0.3125</v>
      </c>
      <c r="EI42" s="229">
        <v>0.36159999999999998</v>
      </c>
      <c r="EJ42" s="231">
        <v>100054.98</v>
      </c>
      <c r="EK42" s="231">
        <v>56014.75</v>
      </c>
      <c r="EL42" s="231">
        <v>54069</v>
      </c>
      <c r="EM42" s="231">
        <v>6667</v>
      </c>
      <c r="EN42" s="231">
        <v>210138.73</v>
      </c>
      <c r="EO42" s="231">
        <v>380670.41</v>
      </c>
      <c r="EP42" s="231">
        <v>-170531.68</v>
      </c>
      <c r="EQ42" s="229">
        <v>-0.44800000000000001</v>
      </c>
      <c r="ER42" s="231">
        <v>92230</v>
      </c>
      <c r="ES42" s="231">
        <v>79236</v>
      </c>
      <c r="ET42" s="231">
        <v>281965</v>
      </c>
      <c r="EU42" s="231">
        <v>504315430</v>
      </c>
      <c r="EV42" s="231">
        <v>453431</v>
      </c>
      <c r="EW42" s="231">
        <v>441311</v>
      </c>
      <c r="EX42" s="231">
        <v>12120</v>
      </c>
      <c r="EY42" s="229">
        <v>2.75E-2</v>
      </c>
      <c r="EZ42" s="229">
        <v>0.65059999999999996</v>
      </c>
      <c r="FA42" s="227" t="s">
        <v>566</v>
      </c>
      <c r="FB42" s="161">
        <f t="shared" si="0"/>
        <v>8923500</v>
      </c>
    </row>
    <row r="43" spans="1:158" ht="17.25" thickBot="1" x14ac:dyDescent="0.3">
      <c r="A43" s="226">
        <v>46121</v>
      </c>
      <c r="B43" s="227" t="s">
        <v>175</v>
      </c>
      <c r="C43" s="227" t="s">
        <v>596</v>
      </c>
      <c r="D43" s="228">
        <v>475</v>
      </c>
      <c r="E43" s="231">
        <v>1277.5999999999999</v>
      </c>
      <c r="F43" s="231">
        <v>1278.8</v>
      </c>
      <c r="G43" s="228">
        <v>-1.2</v>
      </c>
      <c r="H43" s="229">
        <v>-8.9999999999999998E-4</v>
      </c>
      <c r="I43" s="231">
        <v>1279.3</v>
      </c>
      <c r="J43" s="231">
        <v>1287.4000000000001</v>
      </c>
      <c r="K43" s="228">
        <v>-8.1</v>
      </c>
      <c r="L43" s="229">
        <v>-6.3E-3</v>
      </c>
      <c r="M43" s="231">
        <v>1277.5999999999999</v>
      </c>
      <c r="N43" s="231">
        <v>1278.8</v>
      </c>
      <c r="O43" s="228">
        <v>-1.2</v>
      </c>
      <c r="P43" s="229">
        <v>-8.9999999999999998E-4</v>
      </c>
      <c r="Q43" s="231">
        <v>1269.5999999999999</v>
      </c>
      <c r="R43" s="231">
        <v>1271.9000000000001</v>
      </c>
      <c r="S43" s="228">
        <v>-2.2999999999999998</v>
      </c>
      <c r="T43" s="229">
        <v>-1.8E-3</v>
      </c>
      <c r="U43" s="231">
        <v>1263</v>
      </c>
      <c r="V43" s="231">
        <v>1268.5</v>
      </c>
      <c r="W43" s="228">
        <v>-5.5</v>
      </c>
      <c r="X43" s="229">
        <v>-4.3E-3</v>
      </c>
      <c r="Y43" s="228">
        <v>-1.7</v>
      </c>
      <c r="Z43" s="228">
        <v>-8.6</v>
      </c>
      <c r="AA43" s="228">
        <v>6.9</v>
      </c>
      <c r="AB43" s="229">
        <v>-1.2999999999999999E-3</v>
      </c>
      <c r="AC43" s="228">
        <v>-1.7</v>
      </c>
      <c r="AD43" s="228">
        <v>-8.6</v>
      </c>
      <c r="AE43" s="228">
        <v>6.9</v>
      </c>
      <c r="AF43" s="229">
        <v>-1.2999999999999999E-3</v>
      </c>
      <c r="AG43" s="228">
        <v>-9.6999999999999993</v>
      </c>
      <c r="AH43" s="228">
        <v>-15.5</v>
      </c>
      <c r="AI43" s="228">
        <v>5.8</v>
      </c>
      <c r="AJ43" s="229">
        <v>-7.6E-3</v>
      </c>
      <c r="AK43" s="228">
        <v>-16.3</v>
      </c>
      <c r="AL43" s="228">
        <v>-18.899999999999999</v>
      </c>
      <c r="AM43" s="228">
        <v>2.6</v>
      </c>
      <c r="AN43" s="229">
        <v>-1.2699999999999999E-2</v>
      </c>
      <c r="AO43" s="231">
        <v>1270.79</v>
      </c>
      <c r="AP43" s="231">
        <v>1257.8499999999999</v>
      </c>
      <c r="AQ43" s="228">
        <v>0</v>
      </c>
      <c r="AR43" s="230">
        <v>3781000</v>
      </c>
      <c r="AS43" s="230">
        <v>4768050</v>
      </c>
      <c r="AT43" s="230">
        <v>-987050</v>
      </c>
      <c r="AU43" s="229">
        <v>-0.20699999999999999</v>
      </c>
      <c r="AV43" s="230">
        <v>2680900</v>
      </c>
      <c r="AW43" s="230">
        <v>3434250</v>
      </c>
      <c r="AX43" s="230">
        <v>-753350</v>
      </c>
      <c r="AY43" s="229">
        <v>-0.21940000000000001</v>
      </c>
      <c r="AZ43" s="230">
        <v>949050</v>
      </c>
      <c r="BA43" s="230">
        <v>1195575</v>
      </c>
      <c r="BB43" s="230">
        <v>-246525</v>
      </c>
      <c r="BC43" s="229">
        <v>-0.20619999999999999</v>
      </c>
      <c r="BD43" s="230">
        <v>151050</v>
      </c>
      <c r="BE43" s="230">
        <v>138225</v>
      </c>
      <c r="BF43" s="230">
        <v>12825</v>
      </c>
      <c r="BG43" s="229">
        <v>9.2799999999999994E-2</v>
      </c>
      <c r="BH43" s="230">
        <v>9833450</v>
      </c>
      <c r="BI43" s="230">
        <v>12690575</v>
      </c>
      <c r="BJ43" s="230">
        <v>-2857125</v>
      </c>
      <c r="BK43" s="229">
        <v>-0.22509999999999999</v>
      </c>
      <c r="BL43" s="230">
        <v>3718300</v>
      </c>
      <c r="BM43" s="230">
        <v>5397900</v>
      </c>
      <c r="BN43" s="230">
        <v>-1679600</v>
      </c>
      <c r="BO43" s="229">
        <v>-0.31119999999999998</v>
      </c>
      <c r="BP43" s="230">
        <v>17332750</v>
      </c>
      <c r="BQ43" s="230">
        <v>22856525</v>
      </c>
      <c r="BR43" s="230">
        <v>-5523775</v>
      </c>
      <c r="BS43" s="229">
        <v>-0.2417</v>
      </c>
      <c r="BT43" s="230">
        <v>2724972</v>
      </c>
      <c r="BU43" s="230">
        <v>4449476</v>
      </c>
      <c r="BV43" s="230">
        <v>-1724504</v>
      </c>
      <c r="BW43" s="229">
        <v>-0.3876</v>
      </c>
      <c r="BX43" s="230">
        <v>12035550</v>
      </c>
      <c r="BY43" s="230">
        <v>11626100</v>
      </c>
      <c r="BZ43" s="230">
        <v>409450</v>
      </c>
      <c r="CA43" s="229">
        <v>3.5200000000000002E-2</v>
      </c>
      <c r="CB43" s="230">
        <v>9771225</v>
      </c>
      <c r="CC43" s="230">
        <v>9771225</v>
      </c>
      <c r="CD43" s="228">
        <v>0</v>
      </c>
      <c r="CE43" s="229">
        <v>0</v>
      </c>
      <c r="CF43" s="230">
        <v>2015425</v>
      </c>
      <c r="CG43" s="230">
        <v>1664875</v>
      </c>
      <c r="CH43" s="230">
        <v>350550</v>
      </c>
      <c r="CI43" s="229">
        <v>0.21060000000000001</v>
      </c>
      <c r="CJ43" s="230">
        <v>248900</v>
      </c>
      <c r="CK43" s="230">
        <v>190000</v>
      </c>
      <c r="CL43" s="230">
        <v>58900</v>
      </c>
      <c r="CM43" s="229">
        <v>0.31</v>
      </c>
      <c r="CN43" s="230">
        <v>4348150</v>
      </c>
      <c r="CO43" s="230">
        <v>4091175</v>
      </c>
      <c r="CP43" s="230">
        <v>256975</v>
      </c>
      <c r="CQ43" s="229">
        <v>6.2799999999999995E-2</v>
      </c>
      <c r="CR43" s="230">
        <v>3499325</v>
      </c>
      <c r="CS43" s="230">
        <v>3400050</v>
      </c>
      <c r="CT43" s="230">
        <v>99275</v>
      </c>
      <c r="CU43" s="229">
        <v>2.92E-2</v>
      </c>
      <c r="CV43" s="230">
        <v>19883025</v>
      </c>
      <c r="CW43" s="230">
        <v>19117325</v>
      </c>
      <c r="CX43" s="230">
        <v>765700</v>
      </c>
      <c r="CY43" s="229">
        <v>4.0099999999999997E-2</v>
      </c>
      <c r="CZ43" s="228">
        <v>37.82</v>
      </c>
      <c r="DA43" s="228">
        <v>37.61</v>
      </c>
      <c r="DB43" s="228">
        <v>0.21</v>
      </c>
      <c r="DC43" s="228">
        <v>0.21</v>
      </c>
      <c r="DD43" s="228">
        <v>46.85</v>
      </c>
      <c r="DE43" s="228">
        <v>46.97</v>
      </c>
      <c r="DF43" s="228">
        <v>-9.0299999999999994</v>
      </c>
      <c r="DG43" s="228">
        <v>-0.12</v>
      </c>
      <c r="DH43" s="228">
        <v>36.9</v>
      </c>
      <c r="DI43" s="228">
        <v>36.17</v>
      </c>
      <c r="DJ43" s="228">
        <v>0.73</v>
      </c>
      <c r="DK43" s="228">
        <v>0.73</v>
      </c>
      <c r="DL43" s="228">
        <v>40.25</v>
      </c>
      <c r="DM43" s="228">
        <v>40.97</v>
      </c>
      <c r="DN43" s="228">
        <v>-0.72</v>
      </c>
      <c r="DO43" s="228">
        <v>-0.72</v>
      </c>
      <c r="DP43" s="228">
        <v>0.8</v>
      </c>
      <c r="DQ43" s="228">
        <v>0.83</v>
      </c>
      <c r="DR43" s="228">
        <v>-0.03</v>
      </c>
      <c r="DS43" s="229">
        <v>-3.61E-2</v>
      </c>
      <c r="DT43" s="231">
        <v>1300</v>
      </c>
      <c r="DU43" s="231">
        <v>1200</v>
      </c>
      <c r="DV43" s="228">
        <v>0.38</v>
      </c>
      <c r="DW43" s="228">
        <v>0.43</v>
      </c>
      <c r="DX43" s="228">
        <v>-0.05</v>
      </c>
      <c r="DY43" s="229">
        <v>-0.1163</v>
      </c>
      <c r="DZ43" s="229">
        <v>0.18809999999999999</v>
      </c>
      <c r="EA43" s="230">
        <v>1854875</v>
      </c>
      <c r="EB43" s="229">
        <v>-6.3E-3</v>
      </c>
      <c r="EC43" s="229">
        <v>0.18809999999999999</v>
      </c>
      <c r="ED43" s="228">
        <v>-12.94</v>
      </c>
      <c r="EE43" s="229">
        <v>-1.0200000000000001E-2</v>
      </c>
      <c r="EF43" s="230">
        <v>697936</v>
      </c>
      <c r="EG43" s="230">
        <v>1684760</v>
      </c>
      <c r="EH43" s="229">
        <v>-0.5857</v>
      </c>
      <c r="EI43" s="229">
        <v>0.25609999999999999</v>
      </c>
      <c r="EJ43" s="231">
        <v>133479.79</v>
      </c>
      <c r="EK43" s="231">
        <v>47280.82</v>
      </c>
      <c r="EL43" s="231">
        <v>47901.45</v>
      </c>
      <c r="EM43" s="231">
        <v>5315</v>
      </c>
      <c r="EN43" s="231">
        <v>228662.06</v>
      </c>
      <c r="EO43" s="231">
        <v>297053.24</v>
      </c>
      <c r="EP43" s="231">
        <v>-68391.179999999993</v>
      </c>
      <c r="EQ43" s="229">
        <v>-0.23019999999999999</v>
      </c>
      <c r="ER43" s="231">
        <v>55835</v>
      </c>
      <c r="ES43" s="231">
        <v>42582</v>
      </c>
      <c r="ET43" s="231">
        <v>153569</v>
      </c>
      <c r="EU43" s="231">
        <v>26647500</v>
      </c>
      <c r="EV43" s="231">
        <v>251986</v>
      </c>
      <c r="EW43" s="231">
        <v>241857</v>
      </c>
      <c r="EX43" s="231">
        <v>10129</v>
      </c>
      <c r="EY43" s="229">
        <v>4.19E-2</v>
      </c>
      <c r="EZ43" s="229">
        <v>0.74609999999999999</v>
      </c>
      <c r="FA43" s="227" t="s">
        <v>566</v>
      </c>
      <c r="FB43" s="161">
        <f t="shared" si="0"/>
        <v>2264325</v>
      </c>
    </row>
    <row r="44" spans="1:158" ht="17.25" thickBot="1" x14ac:dyDescent="0.3">
      <c r="A44" s="226">
        <v>46121</v>
      </c>
      <c r="B44" s="227" t="s">
        <v>161</v>
      </c>
      <c r="C44" s="227" t="s">
        <v>611</v>
      </c>
      <c r="D44" s="228">
        <v>850</v>
      </c>
      <c r="E44" s="228">
        <v>723.9</v>
      </c>
      <c r="F44" s="228">
        <v>727.95</v>
      </c>
      <c r="G44" s="228">
        <v>-4.05</v>
      </c>
      <c r="H44" s="229">
        <v>-5.5999999999999999E-3</v>
      </c>
      <c r="I44" s="228">
        <v>720.6</v>
      </c>
      <c r="J44" s="228">
        <v>726.3</v>
      </c>
      <c r="K44" s="228">
        <v>-5.7</v>
      </c>
      <c r="L44" s="229">
        <v>-7.7999999999999996E-3</v>
      </c>
      <c r="M44" s="228">
        <v>723.9</v>
      </c>
      <c r="N44" s="228">
        <v>727.95</v>
      </c>
      <c r="O44" s="228">
        <v>-4.05</v>
      </c>
      <c r="P44" s="229">
        <v>-5.5999999999999999E-3</v>
      </c>
      <c r="Q44" s="228">
        <v>727</v>
      </c>
      <c r="R44" s="228">
        <v>733.05</v>
      </c>
      <c r="S44" s="228">
        <v>-6.05</v>
      </c>
      <c r="T44" s="229">
        <v>-8.3000000000000001E-3</v>
      </c>
      <c r="U44" s="228">
        <v>730</v>
      </c>
      <c r="V44" s="228">
        <v>735.3</v>
      </c>
      <c r="W44" s="228">
        <v>-5.3</v>
      </c>
      <c r="X44" s="229">
        <v>-7.1999999999999998E-3</v>
      </c>
      <c r="Y44" s="228">
        <v>3.3</v>
      </c>
      <c r="Z44" s="228">
        <v>1.65</v>
      </c>
      <c r="AA44" s="228">
        <v>1.65</v>
      </c>
      <c r="AB44" s="229">
        <v>4.5999999999999999E-3</v>
      </c>
      <c r="AC44" s="228">
        <v>3.3</v>
      </c>
      <c r="AD44" s="228">
        <v>1.65</v>
      </c>
      <c r="AE44" s="228">
        <v>1.65</v>
      </c>
      <c r="AF44" s="229">
        <v>4.5999999999999999E-3</v>
      </c>
      <c r="AG44" s="228">
        <v>6.4</v>
      </c>
      <c r="AH44" s="228">
        <v>6.75</v>
      </c>
      <c r="AI44" s="228">
        <v>-0.35</v>
      </c>
      <c r="AJ44" s="229">
        <v>8.8999999999999999E-3</v>
      </c>
      <c r="AK44" s="228">
        <v>9.4</v>
      </c>
      <c r="AL44" s="228">
        <v>9</v>
      </c>
      <c r="AM44" s="228">
        <v>0.4</v>
      </c>
      <c r="AN44" s="229">
        <v>1.2999999999999999E-2</v>
      </c>
      <c r="AO44" s="228">
        <v>726.56</v>
      </c>
      <c r="AP44" s="228">
        <v>731.17</v>
      </c>
      <c r="AQ44" s="228">
        <v>0</v>
      </c>
      <c r="AR44" s="230">
        <v>2764200</v>
      </c>
      <c r="AS44" s="230">
        <v>3386400</v>
      </c>
      <c r="AT44" s="230">
        <v>-622200</v>
      </c>
      <c r="AU44" s="229">
        <v>-0.1837</v>
      </c>
      <c r="AV44" s="230">
        <v>2697050</v>
      </c>
      <c r="AW44" s="230">
        <v>3271650</v>
      </c>
      <c r="AX44" s="230">
        <v>-574600</v>
      </c>
      <c r="AY44" s="229">
        <v>-0.17560000000000001</v>
      </c>
      <c r="AZ44" s="230">
        <v>56950</v>
      </c>
      <c r="BA44" s="230">
        <v>99450</v>
      </c>
      <c r="BB44" s="230">
        <v>-42500</v>
      </c>
      <c r="BC44" s="229">
        <v>-0.4274</v>
      </c>
      <c r="BD44" s="230">
        <v>10200</v>
      </c>
      <c r="BE44" s="230">
        <v>15300</v>
      </c>
      <c r="BF44" s="230">
        <v>-5100</v>
      </c>
      <c r="BG44" s="229">
        <v>-0.33329999999999999</v>
      </c>
      <c r="BH44" s="230">
        <v>3379600</v>
      </c>
      <c r="BI44" s="230">
        <v>5426400</v>
      </c>
      <c r="BJ44" s="230">
        <v>-2046800</v>
      </c>
      <c r="BK44" s="229">
        <v>-0.37719999999999998</v>
      </c>
      <c r="BL44" s="230">
        <v>1989000</v>
      </c>
      <c r="BM44" s="230">
        <v>3557250</v>
      </c>
      <c r="BN44" s="230">
        <v>-1568250</v>
      </c>
      <c r="BO44" s="229">
        <v>-0.44090000000000001</v>
      </c>
      <c r="BP44" s="230">
        <v>8132800</v>
      </c>
      <c r="BQ44" s="230">
        <v>12370050</v>
      </c>
      <c r="BR44" s="230">
        <v>-4237250</v>
      </c>
      <c r="BS44" s="229">
        <v>-0.34250000000000003</v>
      </c>
      <c r="BT44" s="230">
        <v>2779559</v>
      </c>
      <c r="BU44" s="230">
        <v>3050971</v>
      </c>
      <c r="BV44" s="230">
        <v>-271412</v>
      </c>
      <c r="BW44" s="229">
        <v>-8.8999999999999996E-2</v>
      </c>
      <c r="BX44" s="230">
        <v>19063800</v>
      </c>
      <c r="BY44" s="230">
        <v>18790950</v>
      </c>
      <c r="BZ44" s="230">
        <v>272850</v>
      </c>
      <c r="CA44" s="229">
        <v>1.4500000000000001E-2</v>
      </c>
      <c r="CB44" s="230">
        <v>18876800</v>
      </c>
      <c r="CC44" s="230">
        <v>18615850</v>
      </c>
      <c r="CD44" s="230">
        <v>260950</v>
      </c>
      <c r="CE44" s="229">
        <v>1.4E-2</v>
      </c>
      <c r="CF44" s="230">
        <v>167450</v>
      </c>
      <c r="CG44" s="230">
        <v>158100</v>
      </c>
      <c r="CH44" s="230">
        <v>9350</v>
      </c>
      <c r="CI44" s="229">
        <v>5.91E-2</v>
      </c>
      <c r="CJ44" s="230">
        <v>19550</v>
      </c>
      <c r="CK44" s="230">
        <v>17000</v>
      </c>
      <c r="CL44" s="230">
        <v>2550</v>
      </c>
      <c r="CM44" s="229">
        <v>0.15</v>
      </c>
      <c r="CN44" s="230">
        <v>2780350</v>
      </c>
      <c r="CO44" s="230">
        <v>2464150</v>
      </c>
      <c r="CP44" s="230">
        <v>316200</v>
      </c>
      <c r="CQ44" s="229">
        <v>0.1283</v>
      </c>
      <c r="CR44" s="230">
        <v>1967750</v>
      </c>
      <c r="CS44" s="230">
        <v>1847050</v>
      </c>
      <c r="CT44" s="230">
        <v>120700</v>
      </c>
      <c r="CU44" s="229">
        <v>6.5299999999999997E-2</v>
      </c>
      <c r="CV44" s="230">
        <v>23811900</v>
      </c>
      <c r="CW44" s="230">
        <v>23102150</v>
      </c>
      <c r="CX44" s="230">
        <v>709750</v>
      </c>
      <c r="CY44" s="229">
        <v>3.0700000000000002E-2</v>
      </c>
      <c r="CZ44" s="228">
        <v>37.25</v>
      </c>
      <c r="DA44" s="228">
        <v>37.56</v>
      </c>
      <c r="DB44" s="228">
        <v>-0.31</v>
      </c>
      <c r="DC44" s="228">
        <v>-0.31</v>
      </c>
      <c r="DD44" s="228">
        <v>42.31</v>
      </c>
      <c r="DE44" s="228">
        <v>42.41</v>
      </c>
      <c r="DF44" s="228">
        <v>-5.0599999999999996</v>
      </c>
      <c r="DG44" s="228">
        <v>-0.1</v>
      </c>
      <c r="DH44" s="228">
        <v>36.69</v>
      </c>
      <c r="DI44" s="228">
        <v>37.39</v>
      </c>
      <c r="DJ44" s="228">
        <v>-0.7</v>
      </c>
      <c r="DK44" s="228">
        <v>-0.7</v>
      </c>
      <c r="DL44" s="228">
        <v>38.200000000000003</v>
      </c>
      <c r="DM44" s="228">
        <v>37.83</v>
      </c>
      <c r="DN44" s="228">
        <v>0.37</v>
      </c>
      <c r="DO44" s="228">
        <v>0.37</v>
      </c>
      <c r="DP44" s="228">
        <v>0.71</v>
      </c>
      <c r="DQ44" s="228">
        <v>0.75</v>
      </c>
      <c r="DR44" s="228">
        <v>-0.04</v>
      </c>
      <c r="DS44" s="229">
        <v>-5.33E-2</v>
      </c>
      <c r="DT44" s="228">
        <v>800</v>
      </c>
      <c r="DU44" s="228">
        <v>700</v>
      </c>
      <c r="DV44" s="228">
        <v>0.59</v>
      </c>
      <c r="DW44" s="228">
        <v>0.66</v>
      </c>
      <c r="DX44" s="228">
        <v>-7.0000000000000007E-2</v>
      </c>
      <c r="DY44" s="229">
        <v>-0.1061</v>
      </c>
      <c r="DZ44" s="229">
        <v>9.7999999999999997E-3</v>
      </c>
      <c r="EA44" s="230">
        <v>175100</v>
      </c>
      <c r="EB44" s="229">
        <v>4.3E-3</v>
      </c>
      <c r="EC44" s="229">
        <v>9.7999999999999997E-3</v>
      </c>
      <c r="ED44" s="228">
        <v>4.6100000000000003</v>
      </c>
      <c r="EE44" s="229">
        <v>6.3E-3</v>
      </c>
      <c r="EF44" s="230">
        <v>1185919</v>
      </c>
      <c r="EG44" s="230">
        <v>1271500</v>
      </c>
      <c r="EH44" s="229">
        <v>-6.7299999999999999E-2</v>
      </c>
      <c r="EI44" s="229">
        <v>0.42670000000000002</v>
      </c>
      <c r="EJ44" s="231">
        <v>25954.51</v>
      </c>
      <c r="EK44" s="231">
        <v>14292.22</v>
      </c>
      <c r="EL44" s="231">
        <v>20087.28</v>
      </c>
      <c r="EM44" s="231">
        <v>2428</v>
      </c>
      <c r="EN44" s="231">
        <v>60334.01</v>
      </c>
      <c r="EO44" s="231">
        <v>91839.65</v>
      </c>
      <c r="EP44" s="231">
        <v>-31505.64</v>
      </c>
      <c r="EQ44" s="229">
        <v>-0.34310000000000002</v>
      </c>
      <c r="ER44" s="231">
        <v>20494</v>
      </c>
      <c r="ES44" s="231">
        <v>13369</v>
      </c>
      <c r="ET44" s="231">
        <v>138009</v>
      </c>
      <c r="EU44" s="231">
        <v>103080397</v>
      </c>
      <c r="EV44" s="231">
        <v>171872</v>
      </c>
      <c r="EW44" s="231">
        <v>167374</v>
      </c>
      <c r="EX44" s="231">
        <v>4498</v>
      </c>
      <c r="EY44" s="229">
        <v>2.69E-2</v>
      </c>
      <c r="EZ44" s="229">
        <v>0.23100000000000001</v>
      </c>
      <c r="FA44" s="227" t="s">
        <v>566</v>
      </c>
      <c r="FB44" s="161">
        <f t="shared" si="0"/>
        <v>187000</v>
      </c>
    </row>
    <row r="45" spans="1:158" ht="17.25" thickBot="1" x14ac:dyDescent="0.3">
      <c r="A45" s="226">
        <v>46121</v>
      </c>
      <c r="B45" s="227" t="s">
        <v>175</v>
      </c>
      <c r="C45" s="227" t="s">
        <v>198</v>
      </c>
      <c r="D45" s="228">
        <v>625</v>
      </c>
      <c r="E45" s="231">
        <v>1535.8</v>
      </c>
      <c r="F45" s="231">
        <v>1558.1</v>
      </c>
      <c r="G45" s="228">
        <v>-22.3</v>
      </c>
      <c r="H45" s="229">
        <v>-1.43E-2</v>
      </c>
      <c r="I45" s="231">
        <v>1533.1</v>
      </c>
      <c r="J45" s="231">
        <v>1554.3</v>
      </c>
      <c r="K45" s="228">
        <v>-21.2</v>
      </c>
      <c r="L45" s="229">
        <v>-1.3599999999999999E-2</v>
      </c>
      <c r="M45" s="231">
        <v>1535.8</v>
      </c>
      <c r="N45" s="231">
        <v>1558.1</v>
      </c>
      <c r="O45" s="228">
        <v>-22.3</v>
      </c>
      <c r="P45" s="229">
        <v>-1.43E-2</v>
      </c>
      <c r="Q45" s="231">
        <v>1544.5</v>
      </c>
      <c r="R45" s="231">
        <v>1568.9</v>
      </c>
      <c r="S45" s="228">
        <v>-24.4</v>
      </c>
      <c r="T45" s="229">
        <v>-1.5599999999999999E-2</v>
      </c>
      <c r="U45" s="231">
        <v>1545</v>
      </c>
      <c r="V45" s="231">
        <v>1574.2</v>
      </c>
      <c r="W45" s="228">
        <v>-29.2</v>
      </c>
      <c r="X45" s="229">
        <v>-1.8499999999999999E-2</v>
      </c>
      <c r="Y45" s="228">
        <v>2.7</v>
      </c>
      <c r="Z45" s="228">
        <v>3.8</v>
      </c>
      <c r="AA45" s="228">
        <v>-1.1000000000000001</v>
      </c>
      <c r="AB45" s="229">
        <v>1.8E-3</v>
      </c>
      <c r="AC45" s="228">
        <v>2.7</v>
      </c>
      <c r="AD45" s="228">
        <v>3.8</v>
      </c>
      <c r="AE45" s="228">
        <v>-1.1000000000000001</v>
      </c>
      <c r="AF45" s="229">
        <v>1.8E-3</v>
      </c>
      <c r="AG45" s="228">
        <v>11.4</v>
      </c>
      <c r="AH45" s="228">
        <v>14.6</v>
      </c>
      <c r="AI45" s="228">
        <v>-3.2</v>
      </c>
      <c r="AJ45" s="229">
        <v>7.4000000000000003E-3</v>
      </c>
      <c r="AK45" s="228">
        <v>11.9</v>
      </c>
      <c r="AL45" s="228">
        <v>19.899999999999999</v>
      </c>
      <c r="AM45" s="228">
        <v>-8</v>
      </c>
      <c r="AN45" s="229">
        <v>7.7999999999999996E-3</v>
      </c>
      <c r="AO45" s="231">
        <v>1535.77</v>
      </c>
      <c r="AP45" s="231">
        <v>1544.18</v>
      </c>
      <c r="AQ45" s="228">
        <v>0</v>
      </c>
      <c r="AR45" s="230">
        <v>2672500</v>
      </c>
      <c r="AS45" s="230">
        <v>4527500</v>
      </c>
      <c r="AT45" s="230">
        <v>-1855000</v>
      </c>
      <c r="AU45" s="229">
        <v>-0.40970000000000001</v>
      </c>
      <c r="AV45" s="230">
        <v>2563125</v>
      </c>
      <c r="AW45" s="230">
        <v>4373750</v>
      </c>
      <c r="AX45" s="230">
        <v>-1810625</v>
      </c>
      <c r="AY45" s="229">
        <v>-0.41399999999999998</v>
      </c>
      <c r="AZ45" s="230">
        <v>102500</v>
      </c>
      <c r="BA45" s="230">
        <v>143125</v>
      </c>
      <c r="BB45" s="230">
        <v>-40625</v>
      </c>
      <c r="BC45" s="229">
        <v>-0.2838</v>
      </c>
      <c r="BD45" s="230">
        <v>6875</v>
      </c>
      <c r="BE45" s="230">
        <v>10625</v>
      </c>
      <c r="BF45" s="230">
        <v>-3750</v>
      </c>
      <c r="BG45" s="229">
        <v>-0.35289999999999999</v>
      </c>
      <c r="BH45" s="230">
        <v>4200625</v>
      </c>
      <c r="BI45" s="230">
        <v>9905000</v>
      </c>
      <c r="BJ45" s="230">
        <v>-5704375</v>
      </c>
      <c r="BK45" s="229">
        <v>-0.57589999999999997</v>
      </c>
      <c r="BL45" s="230">
        <v>4220625</v>
      </c>
      <c r="BM45" s="230">
        <v>6153125</v>
      </c>
      <c r="BN45" s="230">
        <v>-1932500</v>
      </c>
      <c r="BO45" s="229">
        <v>-0.31409999999999999</v>
      </c>
      <c r="BP45" s="230">
        <v>11093750</v>
      </c>
      <c r="BQ45" s="230">
        <v>20585625</v>
      </c>
      <c r="BR45" s="230">
        <v>-9491875</v>
      </c>
      <c r="BS45" s="229">
        <v>-0.46110000000000001</v>
      </c>
      <c r="BT45" s="230">
        <v>2761875</v>
      </c>
      <c r="BU45" s="230">
        <v>4448774</v>
      </c>
      <c r="BV45" s="230">
        <v>-1686899</v>
      </c>
      <c r="BW45" s="229">
        <v>-0.37919999999999998</v>
      </c>
      <c r="BX45" s="230">
        <v>19386875</v>
      </c>
      <c r="BY45" s="230">
        <v>20115625</v>
      </c>
      <c r="BZ45" s="230">
        <v>-728750</v>
      </c>
      <c r="CA45" s="229">
        <v>-3.6200000000000003E-2</v>
      </c>
      <c r="CB45" s="230">
        <v>18896250</v>
      </c>
      <c r="CC45" s="230">
        <v>19636250</v>
      </c>
      <c r="CD45" s="230">
        <v>-740000</v>
      </c>
      <c r="CE45" s="229">
        <v>-3.7699999999999997E-2</v>
      </c>
      <c r="CF45" s="230">
        <v>473750</v>
      </c>
      <c r="CG45" s="230">
        <v>466875</v>
      </c>
      <c r="CH45" s="230">
        <v>6875</v>
      </c>
      <c r="CI45" s="229">
        <v>1.47E-2</v>
      </c>
      <c r="CJ45" s="230">
        <v>16875</v>
      </c>
      <c r="CK45" s="230">
        <v>12500</v>
      </c>
      <c r="CL45" s="230">
        <v>4375</v>
      </c>
      <c r="CM45" s="229">
        <v>0.35</v>
      </c>
      <c r="CN45" s="230">
        <v>3479375</v>
      </c>
      <c r="CO45" s="230">
        <v>3173750</v>
      </c>
      <c r="CP45" s="230">
        <v>305625</v>
      </c>
      <c r="CQ45" s="229">
        <v>9.6299999999999997E-2</v>
      </c>
      <c r="CR45" s="230">
        <v>2958750</v>
      </c>
      <c r="CS45" s="230">
        <v>2622500</v>
      </c>
      <c r="CT45" s="230">
        <v>336250</v>
      </c>
      <c r="CU45" s="229">
        <v>0.12820000000000001</v>
      </c>
      <c r="CV45" s="230">
        <v>25825000</v>
      </c>
      <c r="CW45" s="230">
        <v>25911875</v>
      </c>
      <c r="CX45" s="230">
        <v>-86875</v>
      </c>
      <c r="CY45" s="229">
        <v>-3.3999999999999998E-3</v>
      </c>
      <c r="CZ45" s="228">
        <v>35.270000000000003</v>
      </c>
      <c r="DA45" s="228">
        <v>35.69</v>
      </c>
      <c r="DB45" s="228">
        <v>-0.42</v>
      </c>
      <c r="DC45" s="228">
        <v>-0.42</v>
      </c>
      <c r="DD45" s="228">
        <v>40.58</v>
      </c>
      <c r="DE45" s="228">
        <v>40.64</v>
      </c>
      <c r="DF45" s="228">
        <v>-5.31</v>
      </c>
      <c r="DG45" s="228">
        <v>-0.06</v>
      </c>
      <c r="DH45" s="228">
        <v>33.85</v>
      </c>
      <c r="DI45" s="228">
        <v>33.770000000000003</v>
      </c>
      <c r="DJ45" s="228">
        <v>0.08</v>
      </c>
      <c r="DK45" s="228">
        <v>0.08</v>
      </c>
      <c r="DL45" s="228">
        <v>36.68</v>
      </c>
      <c r="DM45" s="228">
        <v>38.79</v>
      </c>
      <c r="DN45" s="228">
        <v>-2.11</v>
      </c>
      <c r="DO45" s="228">
        <v>-2.11</v>
      </c>
      <c r="DP45" s="228">
        <v>0.85</v>
      </c>
      <c r="DQ45" s="228">
        <v>0.83</v>
      </c>
      <c r="DR45" s="228">
        <v>0.02</v>
      </c>
      <c r="DS45" s="229">
        <v>2.41E-2</v>
      </c>
      <c r="DT45" s="231">
        <v>1600</v>
      </c>
      <c r="DU45" s="231">
        <v>1400</v>
      </c>
      <c r="DV45" s="228">
        <v>1</v>
      </c>
      <c r="DW45" s="228">
        <v>0.62</v>
      </c>
      <c r="DX45" s="228">
        <v>0.38</v>
      </c>
      <c r="DY45" s="229">
        <v>0.6129</v>
      </c>
      <c r="DZ45" s="229">
        <v>2.53E-2</v>
      </c>
      <c r="EA45" s="230">
        <v>479375</v>
      </c>
      <c r="EB45" s="229">
        <v>5.7000000000000002E-3</v>
      </c>
      <c r="EC45" s="229">
        <v>2.53E-2</v>
      </c>
      <c r="ED45" s="228">
        <v>8.41</v>
      </c>
      <c r="EE45" s="229">
        <v>5.4999999999999997E-3</v>
      </c>
      <c r="EF45" s="230">
        <v>1838257</v>
      </c>
      <c r="EG45" s="230">
        <v>2531571</v>
      </c>
      <c r="EH45" s="229">
        <v>-0.27389999999999998</v>
      </c>
      <c r="EI45" s="229">
        <v>0.66559999999999997</v>
      </c>
      <c r="EJ45" s="231">
        <v>67852.460000000006</v>
      </c>
      <c r="EK45" s="231">
        <v>63844.19</v>
      </c>
      <c r="EL45" s="231">
        <v>41052.71</v>
      </c>
      <c r="EM45" s="231">
        <v>4931</v>
      </c>
      <c r="EN45" s="231">
        <v>172749.36</v>
      </c>
      <c r="EO45" s="231">
        <v>320630.02</v>
      </c>
      <c r="EP45" s="231">
        <v>-147880.66</v>
      </c>
      <c r="EQ45" s="229">
        <v>-0.4612</v>
      </c>
      <c r="ER45" s="231">
        <v>53237</v>
      </c>
      <c r="ES45" s="231">
        <v>42891</v>
      </c>
      <c r="ET45" s="231">
        <v>297786</v>
      </c>
      <c r="EU45" s="231">
        <v>63646863</v>
      </c>
      <c r="EV45" s="231">
        <v>393914</v>
      </c>
      <c r="EW45" s="231">
        <v>399559</v>
      </c>
      <c r="EX45" s="231">
        <v>-5645</v>
      </c>
      <c r="EY45" s="229">
        <v>-1.41E-2</v>
      </c>
      <c r="EZ45" s="229">
        <v>0.40579999999999999</v>
      </c>
      <c r="FA45" s="227" t="s">
        <v>567</v>
      </c>
      <c r="FB45" s="161">
        <f t="shared" si="0"/>
        <v>490625</v>
      </c>
    </row>
    <row r="46" spans="1:158" ht="17.25" thickBot="1" x14ac:dyDescent="0.3">
      <c r="A46" s="226">
        <v>46121</v>
      </c>
      <c r="B46" s="227" t="s">
        <v>170</v>
      </c>
      <c r="C46" s="227" t="s">
        <v>199</v>
      </c>
      <c r="D46" s="228">
        <v>375</v>
      </c>
      <c r="E46" s="231">
        <v>1227.2</v>
      </c>
      <c r="F46" s="231">
        <v>1221.8</v>
      </c>
      <c r="G46" s="228">
        <v>5.4</v>
      </c>
      <c r="H46" s="229">
        <v>4.4000000000000003E-3</v>
      </c>
      <c r="I46" s="231">
        <v>1224.4000000000001</v>
      </c>
      <c r="J46" s="231">
        <v>1215.9000000000001</v>
      </c>
      <c r="K46" s="228">
        <v>8.5</v>
      </c>
      <c r="L46" s="229">
        <v>7.0000000000000001E-3</v>
      </c>
      <c r="M46" s="231">
        <v>1227.2</v>
      </c>
      <c r="N46" s="231">
        <v>1221.8</v>
      </c>
      <c r="O46" s="228">
        <v>5.4</v>
      </c>
      <c r="P46" s="229">
        <v>4.4000000000000003E-3</v>
      </c>
      <c r="Q46" s="231">
        <v>1235</v>
      </c>
      <c r="R46" s="231">
        <v>1229</v>
      </c>
      <c r="S46" s="228">
        <v>6</v>
      </c>
      <c r="T46" s="229">
        <v>4.8999999999999998E-3</v>
      </c>
      <c r="U46" s="231">
        <v>1238.2</v>
      </c>
      <c r="V46" s="231">
        <v>1234.5999999999999</v>
      </c>
      <c r="W46" s="228">
        <v>3.6</v>
      </c>
      <c r="X46" s="229">
        <v>2.8999999999999998E-3</v>
      </c>
      <c r="Y46" s="228">
        <v>2.8</v>
      </c>
      <c r="Z46" s="228">
        <v>5.9</v>
      </c>
      <c r="AA46" s="228">
        <v>-3.1</v>
      </c>
      <c r="AB46" s="229">
        <v>2.3E-3</v>
      </c>
      <c r="AC46" s="228">
        <v>2.8</v>
      </c>
      <c r="AD46" s="228">
        <v>5.9</v>
      </c>
      <c r="AE46" s="228">
        <v>-3.1</v>
      </c>
      <c r="AF46" s="229">
        <v>2.3E-3</v>
      </c>
      <c r="AG46" s="228">
        <v>10.6</v>
      </c>
      <c r="AH46" s="228">
        <v>13.1</v>
      </c>
      <c r="AI46" s="228">
        <v>-2.5</v>
      </c>
      <c r="AJ46" s="229">
        <v>8.6999999999999994E-3</v>
      </c>
      <c r="AK46" s="228">
        <v>13.8</v>
      </c>
      <c r="AL46" s="228">
        <v>18.7</v>
      </c>
      <c r="AM46" s="228">
        <v>-4.9000000000000004</v>
      </c>
      <c r="AN46" s="229">
        <v>1.1299999999999999E-2</v>
      </c>
      <c r="AO46" s="231">
        <v>1228.23</v>
      </c>
      <c r="AP46" s="231">
        <v>1235.67</v>
      </c>
      <c r="AQ46" s="228">
        <v>0</v>
      </c>
      <c r="AR46" s="230">
        <v>1133250</v>
      </c>
      <c r="AS46" s="230">
        <v>1798125</v>
      </c>
      <c r="AT46" s="230">
        <v>-664875</v>
      </c>
      <c r="AU46" s="229">
        <v>-0.36980000000000002</v>
      </c>
      <c r="AV46" s="230">
        <v>1051125</v>
      </c>
      <c r="AW46" s="230">
        <v>1522875</v>
      </c>
      <c r="AX46" s="230">
        <v>-471750</v>
      </c>
      <c r="AY46" s="229">
        <v>-0.30980000000000002</v>
      </c>
      <c r="AZ46" s="230">
        <v>70500</v>
      </c>
      <c r="BA46" s="230">
        <v>251250</v>
      </c>
      <c r="BB46" s="230">
        <v>-180750</v>
      </c>
      <c r="BC46" s="229">
        <v>-0.71940000000000004</v>
      </c>
      <c r="BD46" s="230">
        <v>11625</v>
      </c>
      <c r="BE46" s="230">
        <v>24000</v>
      </c>
      <c r="BF46" s="230">
        <v>-12375</v>
      </c>
      <c r="BG46" s="229">
        <v>-0.51559999999999995</v>
      </c>
      <c r="BH46" s="230">
        <v>5436375</v>
      </c>
      <c r="BI46" s="230">
        <v>6641250</v>
      </c>
      <c r="BJ46" s="230">
        <v>-1204875</v>
      </c>
      <c r="BK46" s="229">
        <v>-0.18140000000000001</v>
      </c>
      <c r="BL46" s="230">
        <v>1417875</v>
      </c>
      <c r="BM46" s="230">
        <v>1878750</v>
      </c>
      <c r="BN46" s="230">
        <v>-460875</v>
      </c>
      <c r="BO46" s="229">
        <v>-0.24529999999999999</v>
      </c>
      <c r="BP46" s="230">
        <v>7987500</v>
      </c>
      <c r="BQ46" s="230">
        <v>10318125</v>
      </c>
      <c r="BR46" s="230">
        <v>-2330625</v>
      </c>
      <c r="BS46" s="229">
        <v>-0.22589999999999999</v>
      </c>
      <c r="BT46" s="230">
        <v>2591554</v>
      </c>
      <c r="BU46" s="230">
        <v>2608638</v>
      </c>
      <c r="BV46" s="230">
        <v>-17084</v>
      </c>
      <c r="BW46" s="229">
        <v>-6.4999999999999997E-3</v>
      </c>
      <c r="BX46" s="230">
        <v>14906250</v>
      </c>
      <c r="BY46" s="230">
        <v>14947125</v>
      </c>
      <c r="BZ46" s="230">
        <v>-40875</v>
      </c>
      <c r="CA46" s="229">
        <v>-2.7000000000000001E-3</v>
      </c>
      <c r="CB46" s="230">
        <v>13645125</v>
      </c>
      <c r="CC46" s="230">
        <v>13708125</v>
      </c>
      <c r="CD46" s="230">
        <v>-63000</v>
      </c>
      <c r="CE46" s="229">
        <v>-4.5999999999999999E-3</v>
      </c>
      <c r="CF46" s="230">
        <v>1176750</v>
      </c>
      <c r="CG46" s="230">
        <v>1156125</v>
      </c>
      <c r="CH46" s="230">
        <v>20625</v>
      </c>
      <c r="CI46" s="229">
        <v>1.78E-2</v>
      </c>
      <c r="CJ46" s="230">
        <v>84375</v>
      </c>
      <c r="CK46" s="230">
        <v>82875</v>
      </c>
      <c r="CL46" s="230">
        <v>1500</v>
      </c>
      <c r="CM46" s="229">
        <v>1.8100000000000002E-2</v>
      </c>
      <c r="CN46" s="230">
        <v>4484625</v>
      </c>
      <c r="CO46" s="230">
        <v>4174125</v>
      </c>
      <c r="CP46" s="230">
        <v>310500</v>
      </c>
      <c r="CQ46" s="229">
        <v>7.4399999999999994E-2</v>
      </c>
      <c r="CR46" s="230">
        <v>3490125</v>
      </c>
      <c r="CS46" s="230">
        <v>3431625</v>
      </c>
      <c r="CT46" s="230">
        <v>58500</v>
      </c>
      <c r="CU46" s="229">
        <v>1.7000000000000001E-2</v>
      </c>
      <c r="CV46" s="230">
        <v>22881000</v>
      </c>
      <c r="CW46" s="230">
        <v>22552875</v>
      </c>
      <c r="CX46" s="230">
        <v>328125</v>
      </c>
      <c r="CY46" s="229">
        <v>1.4500000000000001E-2</v>
      </c>
      <c r="CZ46" s="228">
        <v>25.1</v>
      </c>
      <c r="DA46" s="228">
        <v>25.68</v>
      </c>
      <c r="DB46" s="228">
        <v>-0.57999999999999996</v>
      </c>
      <c r="DC46" s="228">
        <v>-0.57999999999999996</v>
      </c>
      <c r="DD46" s="228">
        <v>25.15</v>
      </c>
      <c r="DE46" s="228">
        <v>25.2</v>
      </c>
      <c r="DF46" s="228">
        <v>-0.05</v>
      </c>
      <c r="DG46" s="228">
        <v>-0.05</v>
      </c>
      <c r="DH46" s="228">
        <v>24.85</v>
      </c>
      <c r="DI46" s="228">
        <v>25.39</v>
      </c>
      <c r="DJ46" s="228">
        <v>-0.54</v>
      </c>
      <c r="DK46" s="228">
        <v>-0.54</v>
      </c>
      <c r="DL46" s="228">
        <v>26.05</v>
      </c>
      <c r="DM46" s="228">
        <v>26.71</v>
      </c>
      <c r="DN46" s="228">
        <v>-0.66</v>
      </c>
      <c r="DO46" s="228">
        <v>-0.66</v>
      </c>
      <c r="DP46" s="228">
        <v>0.78</v>
      </c>
      <c r="DQ46" s="228">
        <v>0.82</v>
      </c>
      <c r="DR46" s="228">
        <v>-0.04</v>
      </c>
      <c r="DS46" s="229">
        <v>-4.8800000000000003E-2</v>
      </c>
      <c r="DT46" s="231">
        <v>1300</v>
      </c>
      <c r="DU46" s="231">
        <v>1160</v>
      </c>
      <c r="DV46" s="228">
        <v>0.26</v>
      </c>
      <c r="DW46" s="228">
        <v>0.28000000000000003</v>
      </c>
      <c r="DX46" s="228">
        <v>-0.02</v>
      </c>
      <c r="DY46" s="229">
        <v>-7.1400000000000005E-2</v>
      </c>
      <c r="DZ46" s="229">
        <v>8.4599999999999995E-2</v>
      </c>
      <c r="EA46" s="230">
        <v>1239000</v>
      </c>
      <c r="EB46" s="229">
        <v>6.4000000000000003E-3</v>
      </c>
      <c r="EC46" s="229">
        <v>8.4599999999999995E-2</v>
      </c>
      <c r="ED46" s="228">
        <v>7.44</v>
      </c>
      <c r="EE46" s="229">
        <v>6.1000000000000004E-3</v>
      </c>
      <c r="EF46" s="230">
        <v>1702405</v>
      </c>
      <c r="EG46" s="230">
        <v>1499339</v>
      </c>
      <c r="EH46" s="229">
        <v>0.13539999999999999</v>
      </c>
      <c r="EI46" s="229">
        <v>0.65690000000000004</v>
      </c>
      <c r="EJ46" s="231">
        <v>69209.460000000006</v>
      </c>
      <c r="EK46" s="231">
        <v>17154.47</v>
      </c>
      <c r="EL46" s="231">
        <v>13925.69</v>
      </c>
      <c r="EM46" s="231">
        <v>4948</v>
      </c>
      <c r="EN46" s="231">
        <v>100289.62</v>
      </c>
      <c r="EO46" s="231">
        <v>128672.53</v>
      </c>
      <c r="EP46" s="231">
        <v>-28382.91</v>
      </c>
      <c r="EQ46" s="229">
        <v>-0.22059999999999999</v>
      </c>
      <c r="ER46" s="231">
        <v>57546</v>
      </c>
      <c r="ES46" s="231">
        <v>41056</v>
      </c>
      <c r="ET46" s="231">
        <v>183031</v>
      </c>
      <c r="EU46" s="231">
        <v>76385219</v>
      </c>
      <c r="EV46" s="231">
        <v>281632</v>
      </c>
      <c r="EW46" s="231">
        <v>276549</v>
      </c>
      <c r="EX46" s="231">
        <v>5083</v>
      </c>
      <c r="EY46" s="229">
        <v>1.84E-2</v>
      </c>
      <c r="EZ46" s="229">
        <v>0.29949999999999999</v>
      </c>
      <c r="FA46" s="227" t="s">
        <v>694</v>
      </c>
      <c r="FB46" s="161">
        <f t="shared" si="0"/>
        <v>1261125</v>
      </c>
    </row>
    <row r="47" spans="1:158" ht="17.25" thickBot="1" x14ac:dyDescent="0.3">
      <c r="A47" s="226">
        <v>46121</v>
      </c>
      <c r="B47" s="227" t="s">
        <v>227</v>
      </c>
      <c r="C47" s="227" t="s">
        <v>200</v>
      </c>
      <c r="D47" s="228">
        <v>1350</v>
      </c>
      <c r="E47" s="228">
        <v>452.9</v>
      </c>
      <c r="F47" s="228">
        <v>445.65</v>
      </c>
      <c r="G47" s="228">
        <v>7.25</v>
      </c>
      <c r="H47" s="229">
        <v>1.6299999999999999E-2</v>
      </c>
      <c r="I47" s="228">
        <v>454.1</v>
      </c>
      <c r="J47" s="228">
        <v>449.25</v>
      </c>
      <c r="K47" s="228">
        <v>4.8499999999999996</v>
      </c>
      <c r="L47" s="229">
        <v>1.0800000000000001E-2</v>
      </c>
      <c r="M47" s="228">
        <v>452.9</v>
      </c>
      <c r="N47" s="228">
        <v>445.65</v>
      </c>
      <c r="O47" s="228">
        <v>7.25</v>
      </c>
      <c r="P47" s="229">
        <v>1.6299999999999999E-2</v>
      </c>
      <c r="Q47" s="228">
        <v>452.4</v>
      </c>
      <c r="R47" s="228">
        <v>445.4</v>
      </c>
      <c r="S47" s="228">
        <v>7</v>
      </c>
      <c r="T47" s="229">
        <v>1.5699999999999999E-2</v>
      </c>
      <c r="U47" s="228">
        <v>453.6</v>
      </c>
      <c r="V47" s="228">
        <v>446.3</v>
      </c>
      <c r="W47" s="228">
        <v>7.3</v>
      </c>
      <c r="X47" s="229">
        <v>1.6400000000000001E-2</v>
      </c>
      <c r="Y47" s="228">
        <v>-1.2</v>
      </c>
      <c r="Z47" s="228">
        <v>-3.6</v>
      </c>
      <c r="AA47" s="228">
        <v>2.4</v>
      </c>
      <c r="AB47" s="229">
        <v>-2.5999999999999999E-3</v>
      </c>
      <c r="AC47" s="228">
        <v>-1.2</v>
      </c>
      <c r="AD47" s="228">
        <v>-3.6</v>
      </c>
      <c r="AE47" s="228">
        <v>2.4</v>
      </c>
      <c r="AF47" s="229">
        <v>-2.5999999999999999E-3</v>
      </c>
      <c r="AG47" s="228">
        <v>-1.7</v>
      </c>
      <c r="AH47" s="228">
        <v>-3.85</v>
      </c>
      <c r="AI47" s="228">
        <v>2.15</v>
      </c>
      <c r="AJ47" s="229">
        <v>-3.7000000000000002E-3</v>
      </c>
      <c r="AK47" s="228">
        <v>-0.5</v>
      </c>
      <c r="AL47" s="228">
        <v>-2.95</v>
      </c>
      <c r="AM47" s="228">
        <v>2.4500000000000002</v>
      </c>
      <c r="AN47" s="229">
        <v>-1.1000000000000001E-3</v>
      </c>
      <c r="AO47" s="228">
        <v>451.97</v>
      </c>
      <c r="AP47" s="228">
        <v>450.75</v>
      </c>
      <c r="AQ47" s="228">
        <v>0</v>
      </c>
      <c r="AR47" s="230">
        <v>10945800</v>
      </c>
      <c r="AS47" s="230">
        <v>18800100</v>
      </c>
      <c r="AT47" s="230">
        <v>-7854300</v>
      </c>
      <c r="AU47" s="229">
        <v>-0.4178</v>
      </c>
      <c r="AV47" s="230">
        <v>9738900</v>
      </c>
      <c r="AW47" s="230">
        <v>17194950</v>
      </c>
      <c r="AX47" s="230">
        <v>-7456050</v>
      </c>
      <c r="AY47" s="229">
        <v>-0.43359999999999999</v>
      </c>
      <c r="AZ47" s="230">
        <v>993600</v>
      </c>
      <c r="BA47" s="230">
        <v>1377000</v>
      </c>
      <c r="BB47" s="230">
        <v>-383400</v>
      </c>
      <c r="BC47" s="229">
        <v>-0.27839999999999998</v>
      </c>
      <c r="BD47" s="230">
        <v>213300</v>
      </c>
      <c r="BE47" s="230">
        <v>228150</v>
      </c>
      <c r="BF47" s="230">
        <v>-14850</v>
      </c>
      <c r="BG47" s="229">
        <v>-6.5100000000000005E-2</v>
      </c>
      <c r="BH47" s="230">
        <v>39622500</v>
      </c>
      <c r="BI47" s="230">
        <v>51065100</v>
      </c>
      <c r="BJ47" s="230">
        <v>-11442600</v>
      </c>
      <c r="BK47" s="229">
        <v>-0.22409999999999999</v>
      </c>
      <c r="BL47" s="230">
        <v>14791950</v>
      </c>
      <c r="BM47" s="230">
        <v>23326650</v>
      </c>
      <c r="BN47" s="230">
        <v>-8534700</v>
      </c>
      <c r="BO47" s="229">
        <v>-0.3659</v>
      </c>
      <c r="BP47" s="230">
        <v>65360250</v>
      </c>
      <c r="BQ47" s="230">
        <v>93191850</v>
      </c>
      <c r="BR47" s="230">
        <v>-27831600</v>
      </c>
      <c r="BS47" s="229">
        <v>-0.29859999999999998</v>
      </c>
      <c r="BT47" s="230">
        <v>9973506</v>
      </c>
      <c r="BU47" s="230">
        <v>21201541</v>
      </c>
      <c r="BV47" s="230">
        <v>-11228035</v>
      </c>
      <c r="BW47" s="229">
        <v>-0.52959999999999996</v>
      </c>
      <c r="BX47" s="230">
        <v>60069600</v>
      </c>
      <c r="BY47" s="230">
        <v>61076700</v>
      </c>
      <c r="BZ47" s="230">
        <v>-1007100</v>
      </c>
      <c r="CA47" s="229">
        <v>-1.6500000000000001E-2</v>
      </c>
      <c r="CB47" s="230">
        <v>57962250</v>
      </c>
      <c r="CC47" s="230">
        <v>59167800</v>
      </c>
      <c r="CD47" s="230">
        <v>-1205550</v>
      </c>
      <c r="CE47" s="229">
        <v>-2.0400000000000001E-2</v>
      </c>
      <c r="CF47" s="230">
        <v>1711800</v>
      </c>
      <c r="CG47" s="230">
        <v>1582200</v>
      </c>
      <c r="CH47" s="230">
        <v>129600</v>
      </c>
      <c r="CI47" s="229">
        <v>8.1900000000000001E-2</v>
      </c>
      <c r="CJ47" s="230">
        <v>395550</v>
      </c>
      <c r="CK47" s="230">
        <v>326700</v>
      </c>
      <c r="CL47" s="230">
        <v>68850</v>
      </c>
      <c r="CM47" s="229">
        <v>0.2107</v>
      </c>
      <c r="CN47" s="230">
        <v>27876150</v>
      </c>
      <c r="CO47" s="230">
        <v>29579850</v>
      </c>
      <c r="CP47" s="230">
        <v>-1703700</v>
      </c>
      <c r="CQ47" s="229">
        <v>-5.7599999999999998E-2</v>
      </c>
      <c r="CR47" s="230">
        <v>17832150</v>
      </c>
      <c r="CS47" s="230">
        <v>16225650</v>
      </c>
      <c r="CT47" s="230">
        <v>1606500</v>
      </c>
      <c r="CU47" s="229">
        <v>9.9000000000000005E-2</v>
      </c>
      <c r="CV47" s="230">
        <v>105777900</v>
      </c>
      <c r="CW47" s="230">
        <v>106882200</v>
      </c>
      <c r="CX47" s="230">
        <v>-1104300</v>
      </c>
      <c r="CY47" s="229">
        <v>-1.03E-2</v>
      </c>
      <c r="CZ47" s="228">
        <v>28.22</v>
      </c>
      <c r="DA47" s="228">
        <v>30.21</v>
      </c>
      <c r="DB47" s="228">
        <v>-1.99</v>
      </c>
      <c r="DC47" s="228">
        <v>-1.99</v>
      </c>
      <c r="DD47" s="228">
        <v>30.71</v>
      </c>
      <c r="DE47" s="228">
        <v>30.71</v>
      </c>
      <c r="DF47" s="228">
        <v>-2.4900000000000002</v>
      </c>
      <c r="DG47" s="228">
        <v>0</v>
      </c>
      <c r="DH47" s="228">
        <v>28.1</v>
      </c>
      <c r="DI47" s="228">
        <v>30.46</v>
      </c>
      <c r="DJ47" s="228">
        <v>-2.36</v>
      </c>
      <c r="DK47" s="228">
        <v>-2.36</v>
      </c>
      <c r="DL47" s="228">
        <v>28.53</v>
      </c>
      <c r="DM47" s="228">
        <v>29.66</v>
      </c>
      <c r="DN47" s="228">
        <v>-1.1299999999999999</v>
      </c>
      <c r="DO47" s="228">
        <v>-1.1299999999999999</v>
      </c>
      <c r="DP47" s="228">
        <v>0.64</v>
      </c>
      <c r="DQ47" s="228">
        <v>0.55000000000000004</v>
      </c>
      <c r="DR47" s="228">
        <v>0.09</v>
      </c>
      <c r="DS47" s="229">
        <v>0.1636</v>
      </c>
      <c r="DT47" s="228">
        <v>500</v>
      </c>
      <c r="DU47" s="228">
        <v>450</v>
      </c>
      <c r="DV47" s="228">
        <v>0.37</v>
      </c>
      <c r="DW47" s="228">
        <v>0.46</v>
      </c>
      <c r="DX47" s="228">
        <v>-0.09</v>
      </c>
      <c r="DY47" s="229">
        <v>-0.19570000000000001</v>
      </c>
      <c r="DZ47" s="229">
        <v>3.5099999999999999E-2</v>
      </c>
      <c r="EA47" s="230">
        <v>1908900</v>
      </c>
      <c r="EB47" s="229">
        <v>-1.1000000000000001E-3</v>
      </c>
      <c r="EC47" s="229">
        <v>3.5099999999999999E-2</v>
      </c>
      <c r="ED47" s="228">
        <v>-1.22</v>
      </c>
      <c r="EE47" s="229">
        <v>-2.7000000000000001E-3</v>
      </c>
      <c r="EF47" s="230">
        <v>4169022</v>
      </c>
      <c r="EG47" s="230">
        <v>11338256</v>
      </c>
      <c r="EH47" s="229">
        <v>-0.63229999999999997</v>
      </c>
      <c r="EI47" s="229">
        <v>0.41799999999999998</v>
      </c>
      <c r="EJ47" s="231">
        <v>187157.97</v>
      </c>
      <c r="EK47" s="231">
        <v>66763.59</v>
      </c>
      <c r="EL47" s="231">
        <v>49457.97</v>
      </c>
      <c r="EM47" s="231">
        <v>8614</v>
      </c>
      <c r="EN47" s="231">
        <v>303379.53000000003</v>
      </c>
      <c r="EO47" s="231">
        <v>431214.98</v>
      </c>
      <c r="EP47" s="231">
        <v>-127835.45</v>
      </c>
      <c r="EQ47" s="229">
        <v>-0.29649999999999999</v>
      </c>
      <c r="ER47" s="231">
        <v>132465</v>
      </c>
      <c r="ES47" s="231">
        <v>77013</v>
      </c>
      <c r="ET47" s="231">
        <v>272049</v>
      </c>
      <c r="EU47" s="231">
        <v>320531323</v>
      </c>
      <c r="EV47" s="231">
        <v>481528</v>
      </c>
      <c r="EW47" s="231">
        <v>482081</v>
      </c>
      <c r="EX47" s="228">
        <v>-553</v>
      </c>
      <c r="EY47" s="229">
        <v>-1.1000000000000001E-3</v>
      </c>
      <c r="EZ47" s="229">
        <v>0.33</v>
      </c>
      <c r="FA47" s="227" t="s">
        <v>694</v>
      </c>
      <c r="FB47" s="161">
        <f t="shared" si="0"/>
        <v>2107350</v>
      </c>
    </row>
    <row r="48" spans="1:158" ht="17.25" thickBot="1" x14ac:dyDescent="0.3">
      <c r="A48" s="226">
        <v>46121</v>
      </c>
      <c r="B48" s="227" t="s">
        <v>702</v>
      </c>
      <c r="C48" s="227" t="s">
        <v>697</v>
      </c>
      <c r="D48" s="228">
        <v>400</v>
      </c>
      <c r="E48" s="231">
        <v>1430.3</v>
      </c>
      <c r="F48" s="231">
        <v>1376.6</v>
      </c>
      <c r="G48" s="228">
        <v>53.7</v>
      </c>
      <c r="H48" s="229">
        <v>3.9E-2</v>
      </c>
      <c r="I48" s="231">
        <v>1423.9</v>
      </c>
      <c r="J48" s="231">
        <v>1379.8</v>
      </c>
      <c r="K48" s="228">
        <v>44.1</v>
      </c>
      <c r="L48" s="229">
        <v>3.2000000000000001E-2</v>
      </c>
      <c r="M48" s="231">
        <v>1430.3</v>
      </c>
      <c r="N48" s="231">
        <v>1376.6</v>
      </c>
      <c r="O48" s="228">
        <v>53.7</v>
      </c>
      <c r="P48" s="229">
        <v>3.9E-2</v>
      </c>
      <c r="Q48" s="231">
        <v>1430.1</v>
      </c>
      <c r="R48" s="231">
        <v>1375.6</v>
      </c>
      <c r="S48" s="228">
        <v>54.5</v>
      </c>
      <c r="T48" s="229">
        <v>3.9600000000000003E-2</v>
      </c>
      <c r="U48" s="231">
        <v>1436.5</v>
      </c>
      <c r="V48" s="231">
        <v>1380.2</v>
      </c>
      <c r="W48" s="228">
        <v>56.3</v>
      </c>
      <c r="X48" s="229">
        <v>4.0800000000000003E-2</v>
      </c>
      <c r="Y48" s="228">
        <v>6.4</v>
      </c>
      <c r="Z48" s="228">
        <v>-3.2</v>
      </c>
      <c r="AA48" s="228">
        <v>9.6</v>
      </c>
      <c r="AB48" s="229">
        <v>4.4999999999999997E-3</v>
      </c>
      <c r="AC48" s="228">
        <v>6.4</v>
      </c>
      <c r="AD48" s="228">
        <v>-3.2</v>
      </c>
      <c r="AE48" s="228">
        <v>9.6</v>
      </c>
      <c r="AF48" s="229">
        <v>4.4999999999999997E-3</v>
      </c>
      <c r="AG48" s="228">
        <v>6.2</v>
      </c>
      <c r="AH48" s="228">
        <v>-4.2</v>
      </c>
      <c r="AI48" s="228">
        <v>10.4</v>
      </c>
      <c r="AJ48" s="229">
        <v>4.4000000000000003E-3</v>
      </c>
      <c r="AK48" s="228">
        <v>12.6</v>
      </c>
      <c r="AL48" s="228">
        <v>0.4</v>
      </c>
      <c r="AM48" s="228">
        <v>12.2</v>
      </c>
      <c r="AN48" s="229">
        <v>8.8000000000000005E-3</v>
      </c>
      <c r="AO48" s="231">
        <v>1429.04</v>
      </c>
      <c r="AP48" s="231">
        <v>1428.67</v>
      </c>
      <c r="AQ48" s="228">
        <v>0</v>
      </c>
      <c r="AR48" s="230">
        <v>1437600</v>
      </c>
      <c r="AS48" s="230">
        <v>416800</v>
      </c>
      <c r="AT48" s="230">
        <v>1020800</v>
      </c>
      <c r="AU48" s="229">
        <v>2.4491000000000001</v>
      </c>
      <c r="AV48" s="230">
        <v>1222400</v>
      </c>
      <c r="AW48" s="230">
        <v>352400</v>
      </c>
      <c r="AX48" s="230">
        <v>870000</v>
      </c>
      <c r="AY48" s="229">
        <v>2.4687999999999999</v>
      </c>
      <c r="AZ48" s="230">
        <v>202400</v>
      </c>
      <c r="BA48" s="230">
        <v>60400</v>
      </c>
      <c r="BB48" s="230">
        <v>142000</v>
      </c>
      <c r="BC48" s="229">
        <v>2.351</v>
      </c>
      <c r="BD48" s="230">
        <v>12800</v>
      </c>
      <c r="BE48" s="230">
        <v>4000</v>
      </c>
      <c r="BF48" s="230">
        <v>8800</v>
      </c>
      <c r="BG48" s="229">
        <v>2.2000000000000002</v>
      </c>
      <c r="BH48" s="230">
        <v>6078000</v>
      </c>
      <c r="BI48" s="230">
        <v>737600</v>
      </c>
      <c r="BJ48" s="230">
        <v>5340400</v>
      </c>
      <c r="BK48" s="229">
        <v>7.2401999999999997</v>
      </c>
      <c r="BL48" s="230">
        <v>1689200</v>
      </c>
      <c r="BM48" s="230">
        <v>274000</v>
      </c>
      <c r="BN48" s="230">
        <v>1415200</v>
      </c>
      <c r="BO48" s="229">
        <v>5.165</v>
      </c>
      <c r="BP48" s="230">
        <v>9204800</v>
      </c>
      <c r="BQ48" s="230">
        <v>1428400</v>
      </c>
      <c r="BR48" s="230">
        <v>7776400</v>
      </c>
      <c r="BS48" s="229">
        <v>5.4440999999999997</v>
      </c>
      <c r="BT48" s="230">
        <v>3979014</v>
      </c>
      <c r="BU48" s="230">
        <v>1845971</v>
      </c>
      <c r="BV48" s="230">
        <v>2133043</v>
      </c>
      <c r="BW48" s="229">
        <v>1.1555</v>
      </c>
      <c r="BX48" s="230">
        <v>1127600</v>
      </c>
      <c r="BY48" s="230">
        <v>932400</v>
      </c>
      <c r="BZ48" s="230">
        <v>195200</v>
      </c>
      <c r="CA48" s="229">
        <v>0.2094</v>
      </c>
      <c r="CB48" s="230">
        <v>895200</v>
      </c>
      <c r="CC48" s="230">
        <v>770400</v>
      </c>
      <c r="CD48" s="230">
        <v>124800</v>
      </c>
      <c r="CE48" s="229">
        <v>0.16200000000000001</v>
      </c>
      <c r="CF48" s="230">
        <v>222400</v>
      </c>
      <c r="CG48" s="230">
        <v>153200</v>
      </c>
      <c r="CH48" s="230">
        <v>69200</v>
      </c>
      <c r="CI48" s="229">
        <v>0.45169999999999999</v>
      </c>
      <c r="CJ48" s="230">
        <v>10000</v>
      </c>
      <c r="CK48" s="230">
        <v>8800</v>
      </c>
      <c r="CL48" s="230">
        <v>1200</v>
      </c>
      <c r="CM48" s="229">
        <v>0.13639999999999999</v>
      </c>
      <c r="CN48" s="230">
        <v>702400</v>
      </c>
      <c r="CO48" s="230">
        <v>422800</v>
      </c>
      <c r="CP48" s="230">
        <v>279600</v>
      </c>
      <c r="CQ48" s="229">
        <v>0.6613</v>
      </c>
      <c r="CR48" s="230">
        <v>426400</v>
      </c>
      <c r="CS48" s="230">
        <v>272000</v>
      </c>
      <c r="CT48" s="230">
        <v>154400</v>
      </c>
      <c r="CU48" s="229">
        <v>0.56759999999999999</v>
      </c>
      <c r="CV48" s="230">
        <v>2256400</v>
      </c>
      <c r="CW48" s="230">
        <v>1627200</v>
      </c>
      <c r="CX48" s="230">
        <v>629200</v>
      </c>
      <c r="CY48" s="229">
        <v>0.38669999999999999</v>
      </c>
      <c r="CZ48" s="228">
        <v>55.06</v>
      </c>
      <c r="DA48" s="228">
        <v>49.87</v>
      </c>
      <c r="DB48" s="228">
        <v>5.19</v>
      </c>
      <c r="DC48" s="228">
        <v>5.19</v>
      </c>
      <c r="DD48" s="228">
        <v>54.93</v>
      </c>
      <c r="DE48" s="228">
        <v>54.91</v>
      </c>
      <c r="DF48" s="228">
        <v>0.13</v>
      </c>
      <c r="DG48" s="228">
        <v>0.02</v>
      </c>
      <c r="DH48" s="228">
        <v>54.34</v>
      </c>
      <c r="DI48" s="228">
        <v>48.74</v>
      </c>
      <c r="DJ48" s="228">
        <v>5.6</v>
      </c>
      <c r="DK48" s="228">
        <v>5.6</v>
      </c>
      <c r="DL48" s="228">
        <v>57.64</v>
      </c>
      <c r="DM48" s="228">
        <v>52.93</v>
      </c>
      <c r="DN48" s="228">
        <v>4.71</v>
      </c>
      <c r="DO48" s="228">
        <v>4.71</v>
      </c>
      <c r="DP48" s="228">
        <v>0.61</v>
      </c>
      <c r="DQ48" s="228">
        <v>0.64</v>
      </c>
      <c r="DR48" s="228">
        <v>-0.03</v>
      </c>
      <c r="DS48" s="229">
        <v>-4.6899999999999997E-2</v>
      </c>
      <c r="DT48" s="231">
        <v>1500</v>
      </c>
      <c r="DU48" s="231">
        <v>1300</v>
      </c>
      <c r="DV48" s="228">
        <v>0.28000000000000003</v>
      </c>
      <c r="DW48" s="228">
        <v>0.37</v>
      </c>
      <c r="DX48" s="228">
        <v>-0.09</v>
      </c>
      <c r="DY48" s="229">
        <v>-0.2432</v>
      </c>
      <c r="DZ48" s="229">
        <v>0.20610000000000001</v>
      </c>
      <c r="EA48" s="230">
        <v>162000</v>
      </c>
      <c r="EB48" s="229">
        <v>-1E-4</v>
      </c>
      <c r="EC48" s="229">
        <v>0.20610000000000001</v>
      </c>
      <c r="ED48" s="228">
        <v>-0.37</v>
      </c>
      <c r="EE48" s="229">
        <v>-2.9999999999999997E-4</v>
      </c>
      <c r="EF48" s="230">
        <v>741961</v>
      </c>
      <c r="EG48" s="230">
        <v>597109</v>
      </c>
      <c r="EH48" s="229">
        <v>0.24260000000000001</v>
      </c>
      <c r="EI48" s="229">
        <v>0.1865</v>
      </c>
      <c r="EJ48" s="231">
        <v>92904.66</v>
      </c>
      <c r="EK48" s="231">
        <v>22823.75</v>
      </c>
      <c r="EL48" s="231">
        <v>20542.560000000001</v>
      </c>
      <c r="EM48" s="231">
        <v>1374</v>
      </c>
      <c r="EN48" s="231">
        <v>136270.97</v>
      </c>
      <c r="EO48" s="231">
        <v>20162</v>
      </c>
      <c r="EP48" s="231">
        <v>116108.97</v>
      </c>
      <c r="EQ48" s="229">
        <v>5.7587999999999999</v>
      </c>
      <c r="ER48" s="231">
        <v>10271</v>
      </c>
      <c r="ES48" s="231">
        <v>5581</v>
      </c>
      <c r="ET48" s="231">
        <v>16128</v>
      </c>
      <c r="EU48" s="231">
        <v>12661431</v>
      </c>
      <c r="EV48" s="231">
        <v>31981</v>
      </c>
      <c r="EW48" s="231">
        <v>22218</v>
      </c>
      <c r="EX48" s="231">
        <v>9763</v>
      </c>
      <c r="EY48" s="229">
        <v>0.43940000000000001</v>
      </c>
      <c r="EZ48" s="229">
        <v>0.1782</v>
      </c>
      <c r="FA48" s="227" t="s">
        <v>555</v>
      </c>
      <c r="FB48" s="161">
        <f t="shared" si="0"/>
        <v>232400</v>
      </c>
    </row>
    <row r="49" spans="1:158" ht="17.25" thickBot="1" x14ac:dyDescent="0.3">
      <c r="A49" s="226">
        <v>46121</v>
      </c>
      <c r="B49" s="227" t="s">
        <v>221</v>
      </c>
      <c r="C49" s="227" t="s">
        <v>470</v>
      </c>
      <c r="D49" s="228">
        <v>375</v>
      </c>
      <c r="E49" s="231">
        <v>1270.2</v>
      </c>
      <c r="F49" s="231">
        <v>1273</v>
      </c>
      <c r="G49" s="228">
        <v>-2.8</v>
      </c>
      <c r="H49" s="229">
        <v>-2.2000000000000001E-3</v>
      </c>
      <c r="I49" s="231">
        <v>1264.9000000000001</v>
      </c>
      <c r="J49" s="231">
        <v>1270.4000000000001</v>
      </c>
      <c r="K49" s="228">
        <v>-5.5</v>
      </c>
      <c r="L49" s="229">
        <v>-4.3E-3</v>
      </c>
      <c r="M49" s="231">
        <v>1270.2</v>
      </c>
      <c r="N49" s="231">
        <v>1273</v>
      </c>
      <c r="O49" s="228">
        <v>-2.8</v>
      </c>
      <c r="P49" s="229">
        <v>-2.2000000000000001E-3</v>
      </c>
      <c r="Q49" s="231">
        <v>1273.9000000000001</v>
      </c>
      <c r="R49" s="231">
        <v>1277.0999999999999</v>
      </c>
      <c r="S49" s="228">
        <v>-3.2</v>
      </c>
      <c r="T49" s="229">
        <v>-2.5000000000000001E-3</v>
      </c>
      <c r="U49" s="231">
        <v>1281.2</v>
      </c>
      <c r="V49" s="231">
        <v>1282.5</v>
      </c>
      <c r="W49" s="228">
        <v>-1.3</v>
      </c>
      <c r="X49" s="229">
        <v>-1E-3</v>
      </c>
      <c r="Y49" s="228">
        <v>5.3</v>
      </c>
      <c r="Z49" s="228">
        <v>2.6</v>
      </c>
      <c r="AA49" s="228">
        <v>2.7</v>
      </c>
      <c r="AB49" s="229">
        <v>4.1999999999999997E-3</v>
      </c>
      <c r="AC49" s="228">
        <v>5.3</v>
      </c>
      <c r="AD49" s="228">
        <v>2.6</v>
      </c>
      <c r="AE49" s="228">
        <v>2.7</v>
      </c>
      <c r="AF49" s="229">
        <v>4.1999999999999997E-3</v>
      </c>
      <c r="AG49" s="228">
        <v>9</v>
      </c>
      <c r="AH49" s="228">
        <v>6.7</v>
      </c>
      <c r="AI49" s="228">
        <v>2.2999999999999998</v>
      </c>
      <c r="AJ49" s="229">
        <v>7.1000000000000004E-3</v>
      </c>
      <c r="AK49" s="228">
        <v>16.3</v>
      </c>
      <c r="AL49" s="228">
        <v>12.1</v>
      </c>
      <c r="AM49" s="228">
        <v>4.2</v>
      </c>
      <c r="AN49" s="229">
        <v>1.29E-2</v>
      </c>
      <c r="AO49" s="231">
        <v>1260.67</v>
      </c>
      <c r="AP49" s="231">
        <v>1264.28</v>
      </c>
      <c r="AQ49" s="228">
        <v>0</v>
      </c>
      <c r="AR49" s="230">
        <v>3252000</v>
      </c>
      <c r="AS49" s="230">
        <v>3887625</v>
      </c>
      <c r="AT49" s="230">
        <v>-635625</v>
      </c>
      <c r="AU49" s="229">
        <v>-0.16350000000000001</v>
      </c>
      <c r="AV49" s="230">
        <v>3029250</v>
      </c>
      <c r="AW49" s="230">
        <v>3591750</v>
      </c>
      <c r="AX49" s="230">
        <v>-562500</v>
      </c>
      <c r="AY49" s="229">
        <v>-0.15659999999999999</v>
      </c>
      <c r="AZ49" s="230">
        <v>179625</v>
      </c>
      <c r="BA49" s="230">
        <v>245625</v>
      </c>
      <c r="BB49" s="230">
        <v>-66000</v>
      </c>
      <c r="BC49" s="229">
        <v>-0.26869999999999999</v>
      </c>
      <c r="BD49" s="230">
        <v>43125</v>
      </c>
      <c r="BE49" s="230">
        <v>50250</v>
      </c>
      <c r="BF49" s="230">
        <v>-7125</v>
      </c>
      <c r="BG49" s="229">
        <v>-0.14180000000000001</v>
      </c>
      <c r="BH49" s="230">
        <v>9360375</v>
      </c>
      <c r="BI49" s="230">
        <v>12170625</v>
      </c>
      <c r="BJ49" s="230">
        <v>-2810250</v>
      </c>
      <c r="BK49" s="229">
        <v>-0.23089999999999999</v>
      </c>
      <c r="BL49" s="230">
        <v>4615500</v>
      </c>
      <c r="BM49" s="230">
        <v>4680375</v>
      </c>
      <c r="BN49" s="230">
        <v>-64875</v>
      </c>
      <c r="BO49" s="229">
        <v>-1.3899999999999999E-2</v>
      </c>
      <c r="BP49" s="230">
        <v>17227875</v>
      </c>
      <c r="BQ49" s="230">
        <v>20738625</v>
      </c>
      <c r="BR49" s="230">
        <v>-3510750</v>
      </c>
      <c r="BS49" s="229">
        <v>-0.16930000000000001</v>
      </c>
      <c r="BT49" s="230">
        <v>4508741</v>
      </c>
      <c r="BU49" s="230">
        <v>4921434</v>
      </c>
      <c r="BV49" s="230">
        <v>-412693</v>
      </c>
      <c r="BW49" s="229">
        <v>-8.3900000000000002E-2</v>
      </c>
      <c r="BX49" s="230">
        <v>17800125</v>
      </c>
      <c r="BY49" s="230">
        <v>17867625</v>
      </c>
      <c r="BZ49" s="230">
        <v>-67500</v>
      </c>
      <c r="CA49" s="229">
        <v>-3.8E-3</v>
      </c>
      <c r="CB49" s="230">
        <v>17068500</v>
      </c>
      <c r="CC49" s="230">
        <v>17163750</v>
      </c>
      <c r="CD49" s="230">
        <v>-95250</v>
      </c>
      <c r="CE49" s="229">
        <v>-5.4999999999999997E-3</v>
      </c>
      <c r="CF49" s="230">
        <v>696750</v>
      </c>
      <c r="CG49" s="230">
        <v>670500</v>
      </c>
      <c r="CH49" s="230">
        <v>26250</v>
      </c>
      <c r="CI49" s="229">
        <v>3.9100000000000003E-2</v>
      </c>
      <c r="CJ49" s="230">
        <v>34875</v>
      </c>
      <c r="CK49" s="230">
        <v>33375</v>
      </c>
      <c r="CL49" s="230">
        <v>1500</v>
      </c>
      <c r="CM49" s="229">
        <v>4.4900000000000002E-2</v>
      </c>
      <c r="CN49" s="230">
        <v>6459375</v>
      </c>
      <c r="CO49" s="230">
        <v>6185625</v>
      </c>
      <c r="CP49" s="230">
        <v>273750</v>
      </c>
      <c r="CQ49" s="229">
        <v>4.4299999999999999E-2</v>
      </c>
      <c r="CR49" s="230">
        <v>4205625</v>
      </c>
      <c r="CS49" s="230">
        <v>3827250</v>
      </c>
      <c r="CT49" s="230">
        <v>378375</v>
      </c>
      <c r="CU49" s="229">
        <v>9.8900000000000002E-2</v>
      </c>
      <c r="CV49" s="230">
        <v>28465125</v>
      </c>
      <c r="CW49" s="230">
        <v>27880500</v>
      </c>
      <c r="CX49" s="230">
        <v>584625</v>
      </c>
      <c r="CY49" s="229">
        <v>2.1000000000000001E-2</v>
      </c>
      <c r="CZ49" s="228">
        <v>42.9</v>
      </c>
      <c r="DA49" s="228">
        <v>42.88</v>
      </c>
      <c r="DB49" s="228">
        <v>0.02</v>
      </c>
      <c r="DC49" s="228">
        <v>0.02</v>
      </c>
      <c r="DD49" s="228">
        <v>43.04</v>
      </c>
      <c r="DE49" s="228">
        <v>43.14</v>
      </c>
      <c r="DF49" s="228">
        <v>-0.14000000000000001</v>
      </c>
      <c r="DG49" s="228">
        <v>-0.1</v>
      </c>
      <c r="DH49" s="228">
        <v>41.87</v>
      </c>
      <c r="DI49" s="228">
        <v>41.91</v>
      </c>
      <c r="DJ49" s="228">
        <v>-0.04</v>
      </c>
      <c r="DK49" s="228">
        <v>-0.04</v>
      </c>
      <c r="DL49" s="228">
        <v>45</v>
      </c>
      <c r="DM49" s="228">
        <v>45.42</v>
      </c>
      <c r="DN49" s="228">
        <v>-0.42</v>
      </c>
      <c r="DO49" s="228">
        <v>-0.42</v>
      </c>
      <c r="DP49" s="228">
        <v>0.65</v>
      </c>
      <c r="DQ49" s="228">
        <v>0.62</v>
      </c>
      <c r="DR49" s="228">
        <v>0.03</v>
      </c>
      <c r="DS49" s="229">
        <v>4.8399999999999999E-2</v>
      </c>
      <c r="DT49" s="231">
        <v>1400</v>
      </c>
      <c r="DU49" s="231">
        <v>1100</v>
      </c>
      <c r="DV49" s="228">
        <v>0.49</v>
      </c>
      <c r="DW49" s="228">
        <v>0.38</v>
      </c>
      <c r="DX49" s="228">
        <v>0.11</v>
      </c>
      <c r="DY49" s="229">
        <v>0.28949999999999998</v>
      </c>
      <c r="DZ49" s="229">
        <v>4.1099999999999998E-2</v>
      </c>
      <c r="EA49" s="230">
        <v>703875</v>
      </c>
      <c r="EB49" s="229">
        <v>2.8999999999999998E-3</v>
      </c>
      <c r="EC49" s="229">
        <v>4.1099999999999998E-2</v>
      </c>
      <c r="ED49" s="228">
        <v>3.61</v>
      </c>
      <c r="EE49" s="229">
        <v>2.8999999999999998E-3</v>
      </c>
      <c r="EF49" s="230">
        <v>2073974</v>
      </c>
      <c r="EG49" s="230">
        <v>2179657</v>
      </c>
      <c r="EH49" s="229">
        <v>-4.8500000000000001E-2</v>
      </c>
      <c r="EI49" s="229">
        <v>0.46</v>
      </c>
      <c r="EJ49" s="231">
        <v>125005.85</v>
      </c>
      <c r="EK49" s="231">
        <v>57216.31</v>
      </c>
      <c r="EL49" s="231">
        <v>41007.99</v>
      </c>
      <c r="EM49" s="231">
        <v>10920</v>
      </c>
      <c r="EN49" s="231">
        <v>223230.15</v>
      </c>
      <c r="EO49" s="231">
        <v>267880.89</v>
      </c>
      <c r="EP49" s="231">
        <v>-44650.74</v>
      </c>
      <c r="EQ49" s="229">
        <v>-0.16669999999999999</v>
      </c>
      <c r="ER49" s="231">
        <v>80786</v>
      </c>
      <c r="ES49" s="231">
        <v>49381</v>
      </c>
      <c r="ET49" s="231">
        <v>226127</v>
      </c>
      <c r="EU49" s="231">
        <v>50256271</v>
      </c>
      <c r="EV49" s="231">
        <v>356294</v>
      </c>
      <c r="EW49" s="231">
        <v>348964</v>
      </c>
      <c r="EX49" s="231">
        <v>7330</v>
      </c>
      <c r="EY49" s="229">
        <v>2.1000000000000001E-2</v>
      </c>
      <c r="EZ49" s="229">
        <v>0.56640000000000001</v>
      </c>
      <c r="FA49" s="227" t="s">
        <v>567</v>
      </c>
      <c r="FB49" s="161">
        <f t="shared" si="0"/>
        <v>731625</v>
      </c>
    </row>
    <row r="50" spans="1:158" ht="17.25" thickBot="1" x14ac:dyDescent="0.3">
      <c r="A50" s="226">
        <v>46121</v>
      </c>
      <c r="B50" s="227" t="s">
        <v>168</v>
      </c>
      <c r="C50" s="227" t="s">
        <v>201</v>
      </c>
      <c r="D50" s="228">
        <v>225</v>
      </c>
      <c r="E50" s="231">
        <v>1916.3</v>
      </c>
      <c r="F50" s="231">
        <v>1908.9</v>
      </c>
      <c r="G50" s="228">
        <v>7.4</v>
      </c>
      <c r="H50" s="229">
        <v>3.8999999999999998E-3</v>
      </c>
      <c r="I50" s="231">
        <v>1906.7</v>
      </c>
      <c r="J50" s="231">
        <v>1907</v>
      </c>
      <c r="K50" s="228">
        <v>-0.3</v>
      </c>
      <c r="L50" s="229">
        <v>-2.0000000000000001E-4</v>
      </c>
      <c r="M50" s="231">
        <v>1916.3</v>
      </c>
      <c r="N50" s="231">
        <v>1908.9</v>
      </c>
      <c r="O50" s="228">
        <v>7.4</v>
      </c>
      <c r="P50" s="229">
        <v>3.8999999999999998E-3</v>
      </c>
      <c r="Q50" s="231">
        <v>1912.3</v>
      </c>
      <c r="R50" s="231">
        <v>1907.2</v>
      </c>
      <c r="S50" s="228">
        <v>5.0999999999999996</v>
      </c>
      <c r="T50" s="229">
        <v>2.7000000000000001E-3</v>
      </c>
      <c r="U50" s="231">
        <v>1919</v>
      </c>
      <c r="V50" s="231">
        <v>1906</v>
      </c>
      <c r="W50" s="228">
        <v>13</v>
      </c>
      <c r="X50" s="229">
        <v>6.7999999999999996E-3</v>
      </c>
      <c r="Y50" s="228">
        <v>9.6</v>
      </c>
      <c r="Z50" s="228">
        <v>1.9</v>
      </c>
      <c r="AA50" s="228">
        <v>7.7</v>
      </c>
      <c r="AB50" s="229">
        <v>5.0000000000000001E-3</v>
      </c>
      <c r="AC50" s="228">
        <v>9.6</v>
      </c>
      <c r="AD50" s="228">
        <v>1.9</v>
      </c>
      <c r="AE50" s="228">
        <v>7.7</v>
      </c>
      <c r="AF50" s="229">
        <v>5.0000000000000001E-3</v>
      </c>
      <c r="AG50" s="228">
        <v>5.6</v>
      </c>
      <c r="AH50" s="228">
        <v>0.2</v>
      </c>
      <c r="AI50" s="228">
        <v>5.4</v>
      </c>
      <c r="AJ50" s="229">
        <v>2.8999999999999998E-3</v>
      </c>
      <c r="AK50" s="228">
        <v>12.3</v>
      </c>
      <c r="AL50" s="228">
        <v>-1</v>
      </c>
      <c r="AM50" s="228">
        <v>13.3</v>
      </c>
      <c r="AN50" s="229">
        <v>6.4999999999999997E-3</v>
      </c>
      <c r="AO50" s="231">
        <v>1913.28</v>
      </c>
      <c r="AP50" s="231">
        <v>1909.18</v>
      </c>
      <c r="AQ50" s="228">
        <v>0</v>
      </c>
      <c r="AR50" s="230">
        <v>695475</v>
      </c>
      <c r="AS50" s="230">
        <v>791550</v>
      </c>
      <c r="AT50" s="230">
        <v>-96075</v>
      </c>
      <c r="AU50" s="229">
        <v>-0.12139999999999999</v>
      </c>
      <c r="AV50" s="230">
        <v>649125</v>
      </c>
      <c r="AW50" s="230">
        <v>723825</v>
      </c>
      <c r="AX50" s="230">
        <v>-74700</v>
      </c>
      <c r="AY50" s="229">
        <v>-0.1032</v>
      </c>
      <c r="AZ50" s="230">
        <v>41400</v>
      </c>
      <c r="BA50" s="230">
        <v>47250</v>
      </c>
      <c r="BB50" s="230">
        <v>-5850</v>
      </c>
      <c r="BC50" s="229">
        <v>-0.12379999999999999</v>
      </c>
      <c r="BD50" s="230">
        <v>4950</v>
      </c>
      <c r="BE50" s="230">
        <v>20475</v>
      </c>
      <c r="BF50" s="230">
        <v>-15525</v>
      </c>
      <c r="BG50" s="229">
        <v>-0.75819999999999999</v>
      </c>
      <c r="BH50" s="230">
        <v>2198250</v>
      </c>
      <c r="BI50" s="230">
        <v>3376575</v>
      </c>
      <c r="BJ50" s="230">
        <v>-1178325</v>
      </c>
      <c r="BK50" s="229">
        <v>-0.34899999999999998</v>
      </c>
      <c r="BL50" s="230">
        <v>683325</v>
      </c>
      <c r="BM50" s="230">
        <v>980325</v>
      </c>
      <c r="BN50" s="230">
        <v>-297000</v>
      </c>
      <c r="BO50" s="229">
        <v>-0.30299999999999999</v>
      </c>
      <c r="BP50" s="230">
        <v>3577050</v>
      </c>
      <c r="BQ50" s="230">
        <v>5148450</v>
      </c>
      <c r="BR50" s="230">
        <v>-1571400</v>
      </c>
      <c r="BS50" s="229">
        <v>-0.30520000000000003</v>
      </c>
      <c r="BT50" s="230">
        <v>615761</v>
      </c>
      <c r="BU50" s="230">
        <v>480480</v>
      </c>
      <c r="BV50" s="230">
        <v>135281</v>
      </c>
      <c r="BW50" s="229">
        <v>0.28160000000000002</v>
      </c>
      <c r="BX50" s="230">
        <v>6643575</v>
      </c>
      <c r="BY50" s="230">
        <v>6548175</v>
      </c>
      <c r="BZ50" s="230">
        <v>95400</v>
      </c>
      <c r="CA50" s="229">
        <v>1.46E-2</v>
      </c>
      <c r="CB50" s="230">
        <v>6340500</v>
      </c>
      <c r="CC50" s="230">
        <v>6254325</v>
      </c>
      <c r="CD50" s="230">
        <v>86175</v>
      </c>
      <c r="CE50" s="229">
        <v>1.38E-2</v>
      </c>
      <c r="CF50" s="230">
        <v>276750</v>
      </c>
      <c r="CG50" s="230">
        <v>268650</v>
      </c>
      <c r="CH50" s="230">
        <v>8100</v>
      </c>
      <c r="CI50" s="229">
        <v>3.0200000000000001E-2</v>
      </c>
      <c r="CJ50" s="230">
        <v>26325</v>
      </c>
      <c r="CK50" s="230">
        <v>25200</v>
      </c>
      <c r="CL50" s="230">
        <v>1125</v>
      </c>
      <c r="CM50" s="229">
        <v>4.4600000000000001E-2</v>
      </c>
      <c r="CN50" s="230">
        <v>1610550</v>
      </c>
      <c r="CO50" s="230">
        <v>1707075</v>
      </c>
      <c r="CP50" s="230">
        <v>-96525</v>
      </c>
      <c r="CQ50" s="229">
        <v>-5.6500000000000002E-2</v>
      </c>
      <c r="CR50" s="230">
        <v>1110150</v>
      </c>
      <c r="CS50" s="230">
        <v>1081800</v>
      </c>
      <c r="CT50" s="230">
        <v>28350</v>
      </c>
      <c r="CU50" s="229">
        <v>2.6200000000000001E-2</v>
      </c>
      <c r="CV50" s="230">
        <v>9364275</v>
      </c>
      <c r="CW50" s="230">
        <v>9337050</v>
      </c>
      <c r="CX50" s="230">
        <v>27225</v>
      </c>
      <c r="CY50" s="229">
        <v>2.8999999999999998E-3</v>
      </c>
      <c r="CZ50" s="228">
        <v>29.71</v>
      </c>
      <c r="DA50" s="228">
        <v>31.04</v>
      </c>
      <c r="DB50" s="228">
        <v>-1.33</v>
      </c>
      <c r="DC50" s="228">
        <v>-1.33</v>
      </c>
      <c r="DD50" s="228">
        <v>29.67</v>
      </c>
      <c r="DE50" s="228">
        <v>29.74</v>
      </c>
      <c r="DF50" s="228">
        <v>0.04</v>
      </c>
      <c r="DG50" s="228">
        <v>-7.0000000000000007E-2</v>
      </c>
      <c r="DH50" s="228">
        <v>29.12</v>
      </c>
      <c r="DI50" s="228">
        <v>30.4</v>
      </c>
      <c r="DJ50" s="228">
        <v>-1.28</v>
      </c>
      <c r="DK50" s="228">
        <v>-1.28</v>
      </c>
      <c r="DL50" s="228">
        <v>31.61</v>
      </c>
      <c r="DM50" s="228">
        <v>33.22</v>
      </c>
      <c r="DN50" s="228">
        <v>-1.61</v>
      </c>
      <c r="DO50" s="228">
        <v>-1.61</v>
      </c>
      <c r="DP50" s="228">
        <v>0.69</v>
      </c>
      <c r="DQ50" s="228">
        <v>0.63</v>
      </c>
      <c r="DR50" s="228">
        <v>0.06</v>
      </c>
      <c r="DS50" s="229">
        <v>9.5200000000000007E-2</v>
      </c>
      <c r="DT50" s="231">
        <v>2000</v>
      </c>
      <c r="DU50" s="231">
        <v>1800</v>
      </c>
      <c r="DV50" s="228">
        <v>0.31</v>
      </c>
      <c r="DW50" s="228">
        <v>0.28999999999999998</v>
      </c>
      <c r="DX50" s="228">
        <v>0.02</v>
      </c>
      <c r="DY50" s="229">
        <v>6.9000000000000006E-2</v>
      </c>
      <c r="DZ50" s="229">
        <v>4.5600000000000002E-2</v>
      </c>
      <c r="EA50" s="230">
        <v>293850</v>
      </c>
      <c r="EB50" s="229">
        <v>-2.0999999999999999E-3</v>
      </c>
      <c r="EC50" s="229">
        <v>4.5600000000000002E-2</v>
      </c>
      <c r="ED50" s="228">
        <v>-4.0999999999999996</v>
      </c>
      <c r="EE50" s="229">
        <v>-2.0999999999999999E-3</v>
      </c>
      <c r="EF50" s="230">
        <v>321013</v>
      </c>
      <c r="EG50" s="230">
        <v>241004</v>
      </c>
      <c r="EH50" s="229">
        <v>0.33200000000000002</v>
      </c>
      <c r="EI50" s="229">
        <v>0.52129999999999999</v>
      </c>
      <c r="EJ50" s="231">
        <v>43923.99</v>
      </c>
      <c r="EK50" s="231">
        <v>12809.03</v>
      </c>
      <c r="EL50" s="231">
        <v>13304.61</v>
      </c>
      <c r="EM50" s="231">
        <v>2333</v>
      </c>
      <c r="EN50" s="231">
        <v>70037.63</v>
      </c>
      <c r="EO50" s="231">
        <v>100312.57</v>
      </c>
      <c r="EP50" s="231">
        <v>-30274.94</v>
      </c>
      <c r="EQ50" s="229">
        <v>-0.30180000000000001</v>
      </c>
      <c r="ER50" s="231">
        <v>32091</v>
      </c>
      <c r="ES50" s="231">
        <v>21043</v>
      </c>
      <c r="ET50" s="231">
        <v>127300</v>
      </c>
      <c r="EU50" s="231">
        <v>19054573</v>
      </c>
      <c r="EV50" s="231">
        <v>180434</v>
      </c>
      <c r="EW50" s="231">
        <v>179348</v>
      </c>
      <c r="EX50" s="231">
        <v>1086</v>
      </c>
      <c r="EY50" s="229">
        <v>6.1000000000000004E-3</v>
      </c>
      <c r="EZ50" s="229">
        <v>0.4914</v>
      </c>
      <c r="FA50" s="227" t="s">
        <v>555</v>
      </c>
      <c r="FB50" s="161">
        <f t="shared" si="0"/>
        <v>303075</v>
      </c>
    </row>
    <row r="51" spans="1:158" ht="17.25" thickBot="1" x14ac:dyDescent="0.3">
      <c r="A51" s="226">
        <v>46121</v>
      </c>
      <c r="B51" s="227" t="s">
        <v>215</v>
      </c>
      <c r="C51" s="227" t="s">
        <v>202</v>
      </c>
      <c r="D51" s="228">
        <v>1250</v>
      </c>
      <c r="E51" s="228">
        <v>483.15</v>
      </c>
      <c r="F51" s="228">
        <v>475.05</v>
      </c>
      <c r="G51" s="228">
        <v>8.1</v>
      </c>
      <c r="H51" s="229">
        <v>1.7100000000000001E-2</v>
      </c>
      <c r="I51" s="228">
        <v>482.25</v>
      </c>
      <c r="J51" s="228">
        <v>473.7</v>
      </c>
      <c r="K51" s="228">
        <v>8.5500000000000007</v>
      </c>
      <c r="L51" s="229">
        <v>1.7999999999999999E-2</v>
      </c>
      <c r="M51" s="228">
        <v>483.15</v>
      </c>
      <c r="N51" s="228">
        <v>475.05</v>
      </c>
      <c r="O51" s="228">
        <v>8.1</v>
      </c>
      <c r="P51" s="229">
        <v>1.7100000000000001E-2</v>
      </c>
      <c r="Q51" s="228">
        <v>485.5</v>
      </c>
      <c r="R51" s="228">
        <v>477.55</v>
      </c>
      <c r="S51" s="228">
        <v>7.95</v>
      </c>
      <c r="T51" s="229">
        <v>1.66E-2</v>
      </c>
      <c r="U51" s="228">
        <v>488.45</v>
      </c>
      <c r="V51" s="228">
        <v>476.4</v>
      </c>
      <c r="W51" s="228">
        <v>12.05</v>
      </c>
      <c r="X51" s="229">
        <v>2.53E-2</v>
      </c>
      <c r="Y51" s="228">
        <v>0.9</v>
      </c>
      <c r="Z51" s="228">
        <v>1.35</v>
      </c>
      <c r="AA51" s="228">
        <v>-0.45</v>
      </c>
      <c r="AB51" s="229">
        <v>1.9E-3</v>
      </c>
      <c r="AC51" s="228">
        <v>0.9</v>
      </c>
      <c r="AD51" s="228">
        <v>1.35</v>
      </c>
      <c r="AE51" s="228">
        <v>-0.45</v>
      </c>
      <c r="AF51" s="229">
        <v>1.9E-3</v>
      </c>
      <c r="AG51" s="228">
        <v>3.25</v>
      </c>
      <c r="AH51" s="228">
        <v>3.85</v>
      </c>
      <c r="AI51" s="228">
        <v>-0.6</v>
      </c>
      <c r="AJ51" s="229">
        <v>6.7000000000000002E-3</v>
      </c>
      <c r="AK51" s="228">
        <v>6.2</v>
      </c>
      <c r="AL51" s="228">
        <v>2.7</v>
      </c>
      <c r="AM51" s="228">
        <v>3.5</v>
      </c>
      <c r="AN51" s="229">
        <v>1.29E-2</v>
      </c>
      <c r="AO51" s="228">
        <v>479.25</v>
      </c>
      <c r="AP51" s="228">
        <v>480.45</v>
      </c>
      <c r="AQ51" s="228">
        <v>0</v>
      </c>
      <c r="AR51" s="230">
        <v>3981250</v>
      </c>
      <c r="AS51" s="230">
        <v>3148750</v>
      </c>
      <c r="AT51" s="230">
        <v>832500</v>
      </c>
      <c r="AU51" s="229">
        <v>0.26440000000000002</v>
      </c>
      <c r="AV51" s="230">
        <v>3763750</v>
      </c>
      <c r="AW51" s="230">
        <v>3008750</v>
      </c>
      <c r="AX51" s="230">
        <v>755000</v>
      </c>
      <c r="AY51" s="229">
        <v>0.25090000000000001</v>
      </c>
      <c r="AZ51" s="230">
        <v>203750</v>
      </c>
      <c r="BA51" s="230">
        <v>125000</v>
      </c>
      <c r="BB51" s="230">
        <v>78750</v>
      </c>
      <c r="BC51" s="229">
        <v>0.63</v>
      </c>
      <c r="BD51" s="230">
        <v>13750</v>
      </c>
      <c r="BE51" s="230">
        <v>15000</v>
      </c>
      <c r="BF51" s="230">
        <v>-1250</v>
      </c>
      <c r="BG51" s="229">
        <v>-8.3299999999999999E-2</v>
      </c>
      <c r="BH51" s="230">
        <v>14355000</v>
      </c>
      <c r="BI51" s="230">
        <v>7882500</v>
      </c>
      <c r="BJ51" s="230">
        <v>6472500</v>
      </c>
      <c r="BK51" s="229">
        <v>0.82110000000000005</v>
      </c>
      <c r="BL51" s="230">
        <v>3026250</v>
      </c>
      <c r="BM51" s="230">
        <v>2271250</v>
      </c>
      <c r="BN51" s="230">
        <v>755000</v>
      </c>
      <c r="BO51" s="229">
        <v>0.33239999999999997</v>
      </c>
      <c r="BP51" s="230">
        <v>21362500</v>
      </c>
      <c r="BQ51" s="230">
        <v>13302500</v>
      </c>
      <c r="BR51" s="230">
        <v>8060000</v>
      </c>
      <c r="BS51" s="229">
        <v>0.60589999999999999</v>
      </c>
      <c r="BT51" s="230">
        <v>1952703</v>
      </c>
      <c r="BU51" s="230">
        <v>1481854</v>
      </c>
      <c r="BV51" s="230">
        <v>470849</v>
      </c>
      <c r="BW51" s="229">
        <v>0.31769999999999998</v>
      </c>
      <c r="BX51" s="230">
        <v>26146250</v>
      </c>
      <c r="BY51" s="230">
        <v>26048750</v>
      </c>
      <c r="BZ51" s="230">
        <v>97500</v>
      </c>
      <c r="CA51" s="229">
        <v>3.7000000000000002E-3</v>
      </c>
      <c r="CB51" s="230">
        <v>25312500</v>
      </c>
      <c r="CC51" s="230">
        <v>25217500</v>
      </c>
      <c r="CD51" s="230">
        <v>95000</v>
      </c>
      <c r="CE51" s="229">
        <v>3.8E-3</v>
      </c>
      <c r="CF51" s="230">
        <v>808750</v>
      </c>
      <c r="CG51" s="230">
        <v>801250</v>
      </c>
      <c r="CH51" s="230">
        <v>7500</v>
      </c>
      <c r="CI51" s="229">
        <v>9.4000000000000004E-3</v>
      </c>
      <c r="CJ51" s="230">
        <v>25000</v>
      </c>
      <c r="CK51" s="230">
        <v>30000</v>
      </c>
      <c r="CL51" s="230">
        <v>-5000</v>
      </c>
      <c r="CM51" s="229">
        <v>-0.16669999999999999</v>
      </c>
      <c r="CN51" s="230">
        <v>5617500</v>
      </c>
      <c r="CO51" s="230">
        <v>5122500</v>
      </c>
      <c r="CP51" s="230">
        <v>495000</v>
      </c>
      <c r="CQ51" s="229">
        <v>9.6600000000000005E-2</v>
      </c>
      <c r="CR51" s="230">
        <v>4383750</v>
      </c>
      <c r="CS51" s="230">
        <v>4418750</v>
      </c>
      <c r="CT51" s="230">
        <v>-35000</v>
      </c>
      <c r="CU51" s="229">
        <v>-7.9000000000000008E-3</v>
      </c>
      <c r="CV51" s="230">
        <v>36147500</v>
      </c>
      <c r="CW51" s="230">
        <v>35590000</v>
      </c>
      <c r="CX51" s="230">
        <v>557500</v>
      </c>
      <c r="CY51" s="229">
        <v>1.5699999999999999E-2</v>
      </c>
      <c r="CZ51" s="228">
        <v>32.69</v>
      </c>
      <c r="DA51" s="228">
        <v>32.81</v>
      </c>
      <c r="DB51" s="228">
        <v>-0.12</v>
      </c>
      <c r="DC51" s="228">
        <v>-0.12</v>
      </c>
      <c r="DD51" s="228">
        <v>35.22</v>
      </c>
      <c r="DE51" s="228">
        <v>35.229999999999997</v>
      </c>
      <c r="DF51" s="228">
        <v>-2.5299999999999998</v>
      </c>
      <c r="DG51" s="228">
        <v>-0.01</v>
      </c>
      <c r="DH51" s="228">
        <v>32.22</v>
      </c>
      <c r="DI51" s="228">
        <v>32.21</v>
      </c>
      <c r="DJ51" s="228">
        <v>0.01</v>
      </c>
      <c r="DK51" s="228">
        <v>0.01</v>
      </c>
      <c r="DL51" s="228">
        <v>34.93</v>
      </c>
      <c r="DM51" s="228">
        <v>34.909999999999997</v>
      </c>
      <c r="DN51" s="228">
        <v>0.02</v>
      </c>
      <c r="DO51" s="228">
        <v>0.02</v>
      </c>
      <c r="DP51" s="228">
        <v>0.78</v>
      </c>
      <c r="DQ51" s="228">
        <v>0.86</v>
      </c>
      <c r="DR51" s="228">
        <v>-0.08</v>
      </c>
      <c r="DS51" s="229">
        <v>-9.2999999999999999E-2</v>
      </c>
      <c r="DT51" s="228">
        <v>500</v>
      </c>
      <c r="DU51" s="228">
        <v>500</v>
      </c>
      <c r="DV51" s="228">
        <v>0.21</v>
      </c>
      <c r="DW51" s="228">
        <v>0.28999999999999998</v>
      </c>
      <c r="DX51" s="228">
        <v>-0.08</v>
      </c>
      <c r="DY51" s="229">
        <v>-0.27589999999999998</v>
      </c>
      <c r="DZ51" s="229">
        <v>3.1899999999999998E-2</v>
      </c>
      <c r="EA51" s="230">
        <v>831250</v>
      </c>
      <c r="EB51" s="229">
        <v>4.8999999999999998E-3</v>
      </c>
      <c r="EC51" s="229">
        <v>3.1899999999999998E-2</v>
      </c>
      <c r="ED51" s="228">
        <v>1.2</v>
      </c>
      <c r="EE51" s="229">
        <v>2.5000000000000001E-3</v>
      </c>
      <c r="EF51" s="230">
        <v>720796</v>
      </c>
      <c r="EG51" s="230">
        <v>718277</v>
      </c>
      <c r="EH51" s="229">
        <v>3.5000000000000001E-3</v>
      </c>
      <c r="EI51" s="229">
        <v>0.36909999999999998</v>
      </c>
      <c r="EJ51" s="231">
        <v>72867.179999999993</v>
      </c>
      <c r="EK51" s="231">
        <v>14125.38</v>
      </c>
      <c r="EL51" s="231">
        <v>19082.96</v>
      </c>
      <c r="EM51" s="231">
        <v>2225</v>
      </c>
      <c r="EN51" s="231">
        <v>106075.52</v>
      </c>
      <c r="EO51" s="231">
        <v>64842.400000000001</v>
      </c>
      <c r="EP51" s="231">
        <v>41233.120000000003</v>
      </c>
      <c r="EQ51" s="229">
        <v>0.63590000000000002</v>
      </c>
      <c r="ER51" s="231">
        <v>27234</v>
      </c>
      <c r="ES51" s="231">
        <v>20687</v>
      </c>
      <c r="ET51" s="231">
        <v>126346</v>
      </c>
      <c r="EU51" s="231">
        <v>51639257</v>
      </c>
      <c r="EV51" s="231">
        <v>174268</v>
      </c>
      <c r="EW51" s="231">
        <v>169291</v>
      </c>
      <c r="EX51" s="231">
        <v>4977</v>
      </c>
      <c r="EY51" s="229">
        <v>2.9399999999999999E-2</v>
      </c>
      <c r="EZ51" s="229">
        <v>0.7</v>
      </c>
      <c r="FA51" s="227" t="s">
        <v>555</v>
      </c>
      <c r="FB51" s="161">
        <f t="shared" si="0"/>
        <v>833750</v>
      </c>
    </row>
    <row r="52" spans="1:158" ht="17.25" thickBot="1" x14ac:dyDescent="0.3">
      <c r="A52" s="226">
        <v>46121</v>
      </c>
      <c r="B52" s="227" t="s">
        <v>184</v>
      </c>
      <c r="C52" s="227" t="s">
        <v>523</v>
      </c>
      <c r="D52" s="228">
        <v>1800</v>
      </c>
      <c r="E52" s="228">
        <v>238.37</v>
      </c>
      <c r="F52" s="228">
        <v>247.24</v>
      </c>
      <c r="G52" s="228">
        <v>-8.8699999999999992</v>
      </c>
      <c r="H52" s="229">
        <v>-3.5900000000000001E-2</v>
      </c>
      <c r="I52" s="228">
        <v>237.9</v>
      </c>
      <c r="J52" s="228">
        <v>246.05</v>
      </c>
      <c r="K52" s="228">
        <v>-8.15</v>
      </c>
      <c r="L52" s="229">
        <v>-3.3099999999999997E-2</v>
      </c>
      <c r="M52" s="228">
        <v>238.37</v>
      </c>
      <c r="N52" s="228">
        <v>247.24</v>
      </c>
      <c r="O52" s="228">
        <v>-8.8699999999999992</v>
      </c>
      <c r="P52" s="229">
        <v>-3.5900000000000001E-2</v>
      </c>
      <c r="Q52" s="228">
        <v>240</v>
      </c>
      <c r="R52" s="228">
        <v>248.35</v>
      </c>
      <c r="S52" s="228">
        <v>-8.35</v>
      </c>
      <c r="T52" s="229">
        <v>-3.3599999999999998E-2</v>
      </c>
      <c r="U52" s="228">
        <v>241.59</v>
      </c>
      <c r="V52" s="228">
        <v>249.46</v>
      </c>
      <c r="W52" s="228">
        <v>-7.87</v>
      </c>
      <c r="X52" s="229">
        <v>-3.15E-2</v>
      </c>
      <c r="Y52" s="228">
        <v>0.47</v>
      </c>
      <c r="Z52" s="228">
        <v>1.19</v>
      </c>
      <c r="AA52" s="228">
        <v>-0.72</v>
      </c>
      <c r="AB52" s="229">
        <v>2E-3</v>
      </c>
      <c r="AC52" s="228">
        <v>0.47</v>
      </c>
      <c r="AD52" s="228">
        <v>1.19</v>
      </c>
      <c r="AE52" s="228">
        <v>-0.72</v>
      </c>
      <c r="AF52" s="229">
        <v>2E-3</v>
      </c>
      <c r="AG52" s="228">
        <v>2.1</v>
      </c>
      <c r="AH52" s="228">
        <v>2.2999999999999998</v>
      </c>
      <c r="AI52" s="228">
        <v>-0.2</v>
      </c>
      <c r="AJ52" s="229">
        <v>8.8000000000000005E-3</v>
      </c>
      <c r="AK52" s="228">
        <v>3.69</v>
      </c>
      <c r="AL52" s="228">
        <v>3.41</v>
      </c>
      <c r="AM52" s="228">
        <v>0.28000000000000003</v>
      </c>
      <c r="AN52" s="229">
        <v>1.55E-2</v>
      </c>
      <c r="AO52" s="228">
        <v>240.21</v>
      </c>
      <c r="AP52" s="228">
        <v>242.4</v>
      </c>
      <c r="AQ52" s="228">
        <v>0</v>
      </c>
      <c r="AR52" s="230">
        <v>5691600</v>
      </c>
      <c r="AS52" s="230">
        <v>5256000</v>
      </c>
      <c r="AT52" s="230">
        <v>435600</v>
      </c>
      <c r="AU52" s="229">
        <v>8.2900000000000001E-2</v>
      </c>
      <c r="AV52" s="230">
        <v>5304600</v>
      </c>
      <c r="AW52" s="230">
        <v>4919400</v>
      </c>
      <c r="AX52" s="230">
        <v>385200</v>
      </c>
      <c r="AY52" s="229">
        <v>7.8299999999999995E-2</v>
      </c>
      <c r="AZ52" s="230">
        <v>322200</v>
      </c>
      <c r="BA52" s="230">
        <v>277200</v>
      </c>
      <c r="BB52" s="230">
        <v>45000</v>
      </c>
      <c r="BC52" s="229">
        <v>0.1623</v>
      </c>
      <c r="BD52" s="230">
        <v>64800</v>
      </c>
      <c r="BE52" s="230">
        <v>59400</v>
      </c>
      <c r="BF52" s="230">
        <v>5400</v>
      </c>
      <c r="BG52" s="229">
        <v>9.0899999999999995E-2</v>
      </c>
      <c r="BH52" s="230">
        <v>8694000</v>
      </c>
      <c r="BI52" s="230">
        <v>9237600</v>
      </c>
      <c r="BJ52" s="230">
        <v>-543600</v>
      </c>
      <c r="BK52" s="229">
        <v>-5.8799999999999998E-2</v>
      </c>
      <c r="BL52" s="230">
        <v>4842000</v>
      </c>
      <c r="BM52" s="230">
        <v>4455000</v>
      </c>
      <c r="BN52" s="230">
        <v>387000</v>
      </c>
      <c r="BO52" s="229">
        <v>8.6900000000000005E-2</v>
      </c>
      <c r="BP52" s="230">
        <v>19227600</v>
      </c>
      <c r="BQ52" s="230">
        <v>18948600</v>
      </c>
      <c r="BR52" s="230">
        <v>279000</v>
      </c>
      <c r="BS52" s="229">
        <v>1.47E-2</v>
      </c>
      <c r="BT52" s="230">
        <v>4888179</v>
      </c>
      <c r="BU52" s="230">
        <v>3959577</v>
      </c>
      <c r="BV52" s="230">
        <v>928602</v>
      </c>
      <c r="BW52" s="229">
        <v>0.23449999999999999</v>
      </c>
      <c r="BX52" s="230">
        <v>46659600</v>
      </c>
      <c r="BY52" s="230">
        <v>47280600</v>
      </c>
      <c r="BZ52" s="230">
        <v>-621000</v>
      </c>
      <c r="CA52" s="229">
        <v>-1.3100000000000001E-2</v>
      </c>
      <c r="CB52" s="230">
        <v>45687600</v>
      </c>
      <c r="CC52" s="230">
        <v>46459800</v>
      </c>
      <c r="CD52" s="230">
        <v>-772200</v>
      </c>
      <c r="CE52" s="229">
        <v>-1.66E-2</v>
      </c>
      <c r="CF52" s="230">
        <v>882000</v>
      </c>
      <c r="CG52" s="230">
        <v>759600</v>
      </c>
      <c r="CH52" s="230">
        <v>122400</v>
      </c>
      <c r="CI52" s="229">
        <v>0.16109999999999999</v>
      </c>
      <c r="CJ52" s="230">
        <v>90000</v>
      </c>
      <c r="CK52" s="230">
        <v>61200</v>
      </c>
      <c r="CL52" s="230">
        <v>28800</v>
      </c>
      <c r="CM52" s="229">
        <v>0.47060000000000002</v>
      </c>
      <c r="CN52" s="230">
        <v>7417800</v>
      </c>
      <c r="CO52" s="230">
        <v>5914800</v>
      </c>
      <c r="CP52" s="230">
        <v>1503000</v>
      </c>
      <c r="CQ52" s="229">
        <v>0.25409999999999999</v>
      </c>
      <c r="CR52" s="230">
        <v>5589000</v>
      </c>
      <c r="CS52" s="230">
        <v>5346000</v>
      </c>
      <c r="CT52" s="230">
        <v>243000</v>
      </c>
      <c r="CU52" s="229">
        <v>4.5499999999999999E-2</v>
      </c>
      <c r="CV52" s="230">
        <v>59666400</v>
      </c>
      <c r="CW52" s="230">
        <v>58541400</v>
      </c>
      <c r="CX52" s="230">
        <v>1125000</v>
      </c>
      <c r="CY52" s="229">
        <v>1.9199999999999998E-2</v>
      </c>
      <c r="CZ52" s="228">
        <v>40.39</v>
      </c>
      <c r="DA52" s="228">
        <v>39.92</v>
      </c>
      <c r="DB52" s="228">
        <v>0.47</v>
      </c>
      <c r="DC52" s="228">
        <v>0.47</v>
      </c>
      <c r="DD52" s="228">
        <v>34.64</v>
      </c>
      <c r="DE52" s="228">
        <v>34.369999999999997</v>
      </c>
      <c r="DF52" s="228">
        <v>5.75</v>
      </c>
      <c r="DG52" s="228">
        <v>0.27</v>
      </c>
      <c r="DH52" s="228">
        <v>39.22</v>
      </c>
      <c r="DI52" s="228">
        <v>38.19</v>
      </c>
      <c r="DJ52" s="228">
        <v>1.03</v>
      </c>
      <c r="DK52" s="228">
        <v>1.03</v>
      </c>
      <c r="DL52" s="228">
        <v>42.49</v>
      </c>
      <c r="DM52" s="228">
        <v>43.51</v>
      </c>
      <c r="DN52" s="228">
        <v>-1.02</v>
      </c>
      <c r="DO52" s="228">
        <v>-1.02</v>
      </c>
      <c r="DP52" s="228">
        <v>0.75</v>
      </c>
      <c r="DQ52" s="228">
        <v>0.9</v>
      </c>
      <c r="DR52" s="228">
        <v>-0.15</v>
      </c>
      <c r="DS52" s="229">
        <v>-0.16669999999999999</v>
      </c>
      <c r="DT52" s="228">
        <v>260</v>
      </c>
      <c r="DU52" s="228">
        <v>220</v>
      </c>
      <c r="DV52" s="228">
        <v>0.56000000000000005</v>
      </c>
      <c r="DW52" s="228">
        <v>0.48</v>
      </c>
      <c r="DX52" s="228">
        <v>0.08</v>
      </c>
      <c r="DY52" s="229">
        <v>0.16669999999999999</v>
      </c>
      <c r="DZ52" s="229">
        <v>2.0799999999999999E-2</v>
      </c>
      <c r="EA52" s="230">
        <v>820800</v>
      </c>
      <c r="EB52" s="229">
        <v>6.7999999999999996E-3</v>
      </c>
      <c r="EC52" s="229">
        <v>2.0799999999999999E-2</v>
      </c>
      <c r="ED52" s="228">
        <v>2.19</v>
      </c>
      <c r="EE52" s="229">
        <v>9.1000000000000004E-3</v>
      </c>
      <c r="EF52" s="230">
        <v>2278701</v>
      </c>
      <c r="EG52" s="230">
        <v>1856985</v>
      </c>
      <c r="EH52" s="229">
        <v>0.2271</v>
      </c>
      <c r="EI52" s="229">
        <v>0.4662</v>
      </c>
      <c r="EJ52" s="231">
        <v>22410.5</v>
      </c>
      <c r="EK52" s="231">
        <v>11526.34</v>
      </c>
      <c r="EL52" s="231">
        <v>13681.67</v>
      </c>
      <c r="EM52" s="231">
        <v>2004</v>
      </c>
      <c r="EN52" s="231">
        <v>47618.51</v>
      </c>
      <c r="EO52" s="231">
        <v>47603.7</v>
      </c>
      <c r="EP52" s="228">
        <v>14.81</v>
      </c>
      <c r="EQ52" s="229">
        <v>2.9999999999999997E-4</v>
      </c>
      <c r="ER52" s="231">
        <v>18793</v>
      </c>
      <c r="ES52" s="231">
        <v>13126</v>
      </c>
      <c r="ET52" s="231">
        <v>111240</v>
      </c>
      <c r="EU52" s="231">
        <v>96587231</v>
      </c>
      <c r="EV52" s="231">
        <v>143159</v>
      </c>
      <c r="EW52" s="231">
        <v>144430</v>
      </c>
      <c r="EX52" s="231">
        <v>-1271</v>
      </c>
      <c r="EY52" s="229">
        <v>-8.8000000000000005E-3</v>
      </c>
      <c r="EZ52" s="229">
        <v>0.61770000000000003</v>
      </c>
      <c r="FA52" s="227" t="s">
        <v>567</v>
      </c>
      <c r="FB52" s="161">
        <f t="shared" si="0"/>
        <v>972000</v>
      </c>
    </row>
    <row r="53" spans="1:158" ht="17.25" thickBot="1" x14ac:dyDescent="0.3">
      <c r="A53" s="226">
        <v>46121</v>
      </c>
      <c r="B53" s="227" t="s">
        <v>184</v>
      </c>
      <c r="C53" s="227" t="s">
        <v>203</v>
      </c>
      <c r="D53" s="228">
        <v>200</v>
      </c>
      <c r="E53" s="231">
        <v>4914.6000000000004</v>
      </c>
      <c r="F53" s="231">
        <v>4822.1000000000004</v>
      </c>
      <c r="G53" s="228">
        <v>92.5</v>
      </c>
      <c r="H53" s="229">
        <v>1.9199999999999998E-2</v>
      </c>
      <c r="I53" s="231">
        <v>4907.3999999999996</v>
      </c>
      <c r="J53" s="231">
        <v>4796.3</v>
      </c>
      <c r="K53" s="228">
        <v>111.1</v>
      </c>
      <c r="L53" s="229">
        <v>2.3199999999999998E-2</v>
      </c>
      <c r="M53" s="231">
        <v>4914.6000000000004</v>
      </c>
      <c r="N53" s="231">
        <v>4822.1000000000004</v>
      </c>
      <c r="O53" s="228">
        <v>92.5</v>
      </c>
      <c r="P53" s="229">
        <v>1.9199999999999998E-2</v>
      </c>
      <c r="Q53" s="231">
        <v>4932.7</v>
      </c>
      <c r="R53" s="231">
        <v>4849.8</v>
      </c>
      <c r="S53" s="228">
        <v>82.9</v>
      </c>
      <c r="T53" s="229">
        <v>1.7100000000000001E-2</v>
      </c>
      <c r="U53" s="231">
        <v>4951.2</v>
      </c>
      <c r="V53" s="231">
        <v>4861.8</v>
      </c>
      <c r="W53" s="228">
        <v>89.4</v>
      </c>
      <c r="X53" s="229">
        <v>1.84E-2</v>
      </c>
      <c r="Y53" s="228">
        <v>7.2</v>
      </c>
      <c r="Z53" s="228">
        <v>25.8</v>
      </c>
      <c r="AA53" s="228">
        <v>-18.600000000000001</v>
      </c>
      <c r="AB53" s="229">
        <v>1.5E-3</v>
      </c>
      <c r="AC53" s="228">
        <v>7.2</v>
      </c>
      <c r="AD53" s="228">
        <v>25.8</v>
      </c>
      <c r="AE53" s="228">
        <v>-18.600000000000001</v>
      </c>
      <c r="AF53" s="229">
        <v>1.5E-3</v>
      </c>
      <c r="AG53" s="228">
        <v>25.3</v>
      </c>
      <c r="AH53" s="228">
        <v>53.5</v>
      </c>
      <c r="AI53" s="228">
        <v>-28.2</v>
      </c>
      <c r="AJ53" s="229">
        <v>5.1999999999999998E-3</v>
      </c>
      <c r="AK53" s="228">
        <v>43.8</v>
      </c>
      <c r="AL53" s="228">
        <v>65.5</v>
      </c>
      <c r="AM53" s="228">
        <v>-21.7</v>
      </c>
      <c r="AN53" s="229">
        <v>8.8999999999999999E-3</v>
      </c>
      <c r="AO53" s="231">
        <v>4870.83</v>
      </c>
      <c r="AP53" s="231">
        <v>4889.7</v>
      </c>
      <c r="AQ53" s="228">
        <v>0</v>
      </c>
      <c r="AR53" s="230">
        <v>864800</v>
      </c>
      <c r="AS53" s="230">
        <v>1034800</v>
      </c>
      <c r="AT53" s="230">
        <v>-170000</v>
      </c>
      <c r="AU53" s="229">
        <v>-0.1643</v>
      </c>
      <c r="AV53" s="230">
        <v>825000</v>
      </c>
      <c r="AW53" s="230">
        <v>996000</v>
      </c>
      <c r="AX53" s="230">
        <v>-171000</v>
      </c>
      <c r="AY53" s="229">
        <v>-0.17169999999999999</v>
      </c>
      <c r="AZ53" s="230">
        <v>36200</v>
      </c>
      <c r="BA53" s="230">
        <v>33400</v>
      </c>
      <c r="BB53" s="230">
        <v>2800</v>
      </c>
      <c r="BC53" s="229">
        <v>8.3799999999999999E-2</v>
      </c>
      <c r="BD53" s="230">
        <v>3600</v>
      </c>
      <c r="BE53" s="230">
        <v>5400</v>
      </c>
      <c r="BF53" s="230">
        <v>-1800</v>
      </c>
      <c r="BG53" s="229">
        <v>-0.33329999999999999</v>
      </c>
      <c r="BH53" s="230">
        <v>2573200</v>
      </c>
      <c r="BI53" s="230">
        <v>2502600</v>
      </c>
      <c r="BJ53" s="230">
        <v>70600</v>
      </c>
      <c r="BK53" s="229">
        <v>2.8199999999999999E-2</v>
      </c>
      <c r="BL53" s="230">
        <v>853600</v>
      </c>
      <c r="BM53" s="230">
        <v>648800</v>
      </c>
      <c r="BN53" s="230">
        <v>204800</v>
      </c>
      <c r="BO53" s="229">
        <v>0.31569999999999998</v>
      </c>
      <c r="BP53" s="230">
        <v>4291600</v>
      </c>
      <c r="BQ53" s="230">
        <v>4186200</v>
      </c>
      <c r="BR53" s="230">
        <v>105400</v>
      </c>
      <c r="BS53" s="229">
        <v>2.52E-2</v>
      </c>
      <c r="BT53" s="230">
        <v>1039573</v>
      </c>
      <c r="BU53" s="230">
        <v>1117278</v>
      </c>
      <c r="BV53" s="230">
        <v>-77705</v>
      </c>
      <c r="BW53" s="229">
        <v>-6.9500000000000006E-2</v>
      </c>
      <c r="BX53" s="230">
        <v>3558000</v>
      </c>
      <c r="BY53" s="230">
        <v>3480600</v>
      </c>
      <c r="BZ53" s="230">
        <v>77400</v>
      </c>
      <c r="CA53" s="229">
        <v>2.2200000000000001E-2</v>
      </c>
      <c r="CB53" s="230">
        <v>3515200</v>
      </c>
      <c r="CC53" s="230">
        <v>3441800</v>
      </c>
      <c r="CD53" s="230">
        <v>73400</v>
      </c>
      <c r="CE53" s="229">
        <v>2.1299999999999999E-2</v>
      </c>
      <c r="CF53" s="230">
        <v>37200</v>
      </c>
      <c r="CG53" s="230">
        <v>34600</v>
      </c>
      <c r="CH53" s="230">
        <v>2600</v>
      </c>
      <c r="CI53" s="229">
        <v>7.51E-2</v>
      </c>
      <c r="CJ53" s="230">
        <v>5600</v>
      </c>
      <c r="CK53" s="230">
        <v>4200</v>
      </c>
      <c r="CL53" s="230">
        <v>1400</v>
      </c>
      <c r="CM53" s="229">
        <v>0.33329999999999999</v>
      </c>
      <c r="CN53" s="230">
        <v>907800</v>
      </c>
      <c r="CO53" s="230">
        <v>806400</v>
      </c>
      <c r="CP53" s="230">
        <v>101400</v>
      </c>
      <c r="CQ53" s="229">
        <v>0.12570000000000001</v>
      </c>
      <c r="CR53" s="230">
        <v>588600</v>
      </c>
      <c r="CS53" s="230">
        <v>509200</v>
      </c>
      <c r="CT53" s="230">
        <v>79400</v>
      </c>
      <c r="CU53" s="229">
        <v>0.15590000000000001</v>
      </c>
      <c r="CV53" s="230">
        <v>5054400</v>
      </c>
      <c r="CW53" s="230">
        <v>4796200</v>
      </c>
      <c r="CX53" s="230">
        <v>258200</v>
      </c>
      <c r="CY53" s="229">
        <v>5.3800000000000001E-2</v>
      </c>
      <c r="CZ53" s="228">
        <v>33.86</v>
      </c>
      <c r="DA53" s="228">
        <v>33.590000000000003</v>
      </c>
      <c r="DB53" s="228">
        <v>0.27</v>
      </c>
      <c r="DC53" s="228">
        <v>0.27</v>
      </c>
      <c r="DD53" s="228">
        <v>35.78</v>
      </c>
      <c r="DE53" s="228">
        <v>35.74</v>
      </c>
      <c r="DF53" s="228">
        <v>-1.92</v>
      </c>
      <c r="DG53" s="228">
        <v>0.04</v>
      </c>
      <c r="DH53" s="228">
        <v>32.61</v>
      </c>
      <c r="DI53" s="228">
        <v>33.11</v>
      </c>
      <c r="DJ53" s="228">
        <v>-0.5</v>
      </c>
      <c r="DK53" s="228">
        <v>-0.5</v>
      </c>
      <c r="DL53" s="228">
        <v>37.630000000000003</v>
      </c>
      <c r="DM53" s="228">
        <v>35.450000000000003</v>
      </c>
      <c r="DN53" s="228">
        <v>2.1800000000000002</v>
      </c>
      <c r="DO53" s="228">
        <v>2.1800000000000002</v>
      </c>
      <c r="DP53" s="228">
        <v>0.65</v>
      </c>
      <c r="DQ53" s="228">
        <v>0.63</v>
      </c>
      <c r="DR53" s="228">
        <v>0.02</v>
      </c>
      <c r="DS53" s="229">
        <v>3.1699999999999999E-2</v>
      </c>
      <c r="DT53" s="231">
        <v>5000</v>
      </c>
      <c r="DU53" s="231">
        <v>4700</v>
      </c>
      <c r="DV53" s="228">
        <v>0.33</v>
      </c>
      <c r="DW53" s="228">
        <v>0.26</v>
      </c>
      <c r="DX53" s="228">
        <v>7.0000000000000007E-2</v>
      </c>
      <c r="DY53" s="229">
        <v>0.26919999999999999</v>
      </c>
      <c r="DZ53" s="229">
        <v>1.2E-2</v>
      </c>
      <c r="EA53" s="230">
        <v>38800</v>
      </c>
      <c r="EB53" s="229">
        <v>3.7000000000000002E-3</v>
      </c>
      <c r="EC53" s="229">
        <v>1.2E-2</v>
      </c>
      <c r="ED53" s="228">
        <v>18.87</v>
      </c>
      <c r="EE53" s="229">
        <v>3.8999999999999998E-3</v>
      </c>
      <c r="EF53" s="230">
        <v>633224</v>
      </c>
      <c r="EG53" s="230">
        <v>721450</v>
      </c>
      <c r="EH53" s="229">
        <v>-0.12230000000000001</v>
      </c>
      <c r="EI53" s="229">
        <v>0.60909999999999997</v>
      </c>
      <c r="EJ53" s="231">
        <v>131071.9</v>
      </c>
      <c r="EK53" s="231">
        <v>39104.629999999997</v>
      </c>
      <c r="EL53" s="231">
        <v>42131.62</v>
      </c>
      <c r="EM53" s="231">
        <v>3319</v>
      </c>
      <c r="EN53" s="231">
        <v>212308.15</v>
      </c>
      <c r="EO53" s="231">
        <v>205338.54</v>
      </c>
      <c r="EP53" s="231">
        <v>6969.61</v>
      </c>
      <c r="EQ53" s="229">
        <v>3.39E-2</v>
      </c>
      <c r="ER53" s="231">
        <v>44604</v>
      </c>
      <c r="ES53" s="231">
        <v>26890</v>
      </c>
      <c r="ET53" s="231">
        <v>174870</v>
      </c>
      <c r="EU53" s="231">
        <v>20374200</v>
      </c>
      <c r="EV53" s="231">
        <v>246364</v>
      </c>
      <c r="EW53" s="231">
        <v>230146</v>
      </c>
      <c r="EX53" s="231">
        <v>16218</v>
      </c>
      <c r="EY53" s="229">
        <v>7.0499999999999993E-2</v>
      </c>
      <c r="EZ53" s="229">
        <v>0.24809999999999999</v>
      </c>
      <c r="FA53" s="227" t="s">
        <v>555</v>
      </c>
      <c r="FB53" s="161">
        <f t="shared" si="0"/>
        <v>42800</v>
      </c>
    </row>
    <row r="54" spans="1:158" ht="17.25" thickBot="1" x14ac:dyDescent="0.3">
      <c r="A54" s="226">
        <v>46121</v>
      </c>
      <c r="B54" s="227" t="s">
        <v>168</v>
      </c>
      <c r="C54" s="227" t="s">
        <v>204</v>
      </c>
      <c r="D54" s="228">
        <v>1250</v>
      </c>
      <c r="E54" s="228">
        <v>430.3</v>
      </c>
      <c r="F54" s="228">
        <v>429.65</v>
      </c>
      <c r="G54" s="228">
        <v>0.65</v>
      </c>
      <c r="H54" s="229">
        <v>1.5E-3</v>
      </c>
      <c r="I54" s="228">
        <v>429.4</v>
      </c>
      <c r="J54" s="228">
        <v>427.25</v>
      </c>
      <c r="K54" s="228">
        <v>2.15</v>
      </c>
      <c r="L54" s="229">
        <v>5.0000000000000001E-3</v>
      </c>
      <c r="M54" s="228">
        <v>430.3</v>
      </c>
      <c r="N54" s="228">
        <v>429.65</v>
      </c>
      <c r="O54" s="228">
        <v>0.65</v>
      </c>
      <c r="P54" s="229">
        <v>1.5E-3</v>
      </c>
      <c r="Q54" s="228">
        <v>432.4</v>
      </c>
      <c r="R54" s="228">
        <v>432</v>
      </c>
      <c r="S54" s="228">
        <v>0.4</v>
      </c>
      <c r="T54" s="229">
        <v>8.9999999999999998E-4</v>
      </c>
      <c r="U54" s="228">
        <v>435.2</v>
      </c>
      <c r="V54" s="228">
        <v>434.45</v>
      </c>
      <c r="W54" s="228">
        <v>0.75</v>
      </c>
      <c r="X54" s="229">
        <v>1.6999999999999999E-3</v>
      </c>
      <c r="Y54" s="228">
        <v>0.9</v>
      </c>
      <c r="Z54" s="228">
        <v>2.4</v>
      </c>
      <c r="AA54" s="228">
        <v>-1.5</v>
      </c>
      <c r="AB54" s="229">
        <v>2.0999999999999999E-3</v>
      </c>
      <c r="AC54" s="228">
        <v>0.9</v>
      </c>
      <c r="AD54" s="228">
        <v>2.4</v>
      </c>
      <c r="AE54" s="228">
        <v>-1.5</v>
      </c>
      <c r="AF54" s="229">
        <v>2.0999999999999999E-3</v>
      </c>
      <c r="AG54" s="228">
        <v>3</v>
      </c>
      <c r="AH54" s="228">
        <v>4.75</v>
      </c>
      <c r="AI54" s="228">
        <v>-1.75</v>
      </c>
      <c r="AJ54" s="229">
        <v>7.0000000000000001E-3</v>
      </c>
      <c r="AK54" s="228">
        <v>5.8</v>
      </c>
      <c r="AL54" s="228">
        <v>7.2</v>
      </c>
      <c r="AM54" s="228">
        <v>-1.4</v>
      </c>
      <c r="AN54" s="229">
        <v>1.35E-2</v>
      </c>
      <c r="AO54" s="228">
        <v>430.38</v>
      </c>
      <c r="AP54" s="228">
        <v>432.34</v>
      </c>
      <c r="AQ54" s="228">
        <v>0</v>
      </c>
      <c r="AR54" s="230">
        <v>2771250</v>
      </c>
      <c r="AS54" s="230">
        <v>6188750</v>
      </c>
      <c r="AT54" s="230">
        <v>-3417500</v>
      </c>
      <c r="AU54" s="229">
        <v>-0.55220000000000002</v>
      </c>
      <c r="AV54" s="230">
        <v>2605000</v>
      </c>
      <c r="AW54" s="230">
        <v>5820000</v>
      </c>
      <c r="AX54" s="230">
        <v>-3215000</v>
      </c>
      <c r="AY54" s="229">
        <v>-0.5524</v>
      </c>
      <c r="AZ54" s="230">
        <v>150000</v>
      </c>
      <c r="BA54" s="230">
        <v>330000</v>
      </c>
      <c r="BB54" s="230">
        <v>-180000</v>
      </c>
      <c r="BC54" s="229">
        <v>-0.54549999999999998</v>
      </c>
      <c r="BD54" s="230">
        <v>16250</v>
      </c>
      <c r="BE54" s="230">
        <v>38750</v>
      </c>
      <c r="BF54" s="230">
        <v>-22500</v>
      </c>
      <c r="BG54" s="229">
        <v>-0.5806</v>
      </c>
      <c r="BH54" s="230">
        <v>8037500</v>
      </c>
      <c r="BI54" s="230">
        <v>14336250</v>
      </c>
      <c r="BJ54" s="230">
        <v>-6298750</v>
      </c>
      <c r="BK54" s="229">
        <v>-0.43940000000000001</v>
      </c>
      <c r="BL54" s="230">
        <v>2358750</v>
      </c>
      <c r="BM54" s="230">
        <v>5095000</v>
      </c>
      <c r="BN54" s="230">
        <v>-2736250</v>
      </c>
      <c r="BO54" s="229">
        <v>-0.53700000000000003</v>
      </c>
      <c r="BP54" s="230">
        <v>13167500</v>
      </c>
      <c r="BQ54" s="230">
        <v>25620000</v>
      </c>
      <c r="BR54" s="230">
        <v>-12452500</v>
      </c>
      <c r="BS54" s="229">
        <v>-0.48599999999999999</v>
      </c>
      <c r="BT54" s="230">
        <v>1855373</v>
      </c>
      <c r="BU54" s="230">
        <v>1751347</v>
      </c>
      <c r="BV54" s="230">
        <v>104026</v>
      </c>
      <c r="BW54" s="229">
        <v>5.9400000000000001E-2</v>
      </c>
      <c r="BX54" s="230">
        <v>31452500</v>
      </c>
      <c r="BY54" s="230">
        <v>31678750</v>
      </c>
      <c r="BZ54" s="230">
        <v>-226250</v>
      </c>
      <c r="CA54" s="229">
        <v>-7.1000000000000004E-3</v>
      </c>
      <c r="CB54" s="230">
        <v>30695000</v>
      </c>
      <c r="CC54" s="230">
        <v>30943750</v>
      </c>
      <c r="CD54" s="230">
        <v>-248750</v>
      </c>
      <c r="CE54" s="229">
        <v>-8.0000000000000002E-3</v>
      </c>
      <c r="CF54" s="230">
        <v>691250</v>
      </c>
      <c r="CG54" s="230">
        <v>672500</v>
      </c>
      <c r="CH54" s="230">
        <v>18750</v>
      </c>
      <c r="CI54" s="229">
        <v>2.7900000000000001E-2</v>
      </c>
      <c r="CJ54" s="230">
        <v>66250</v>
      </c>
      <c r="CK54" s="230">
        <v>62500</v>
      </c>
      <c r="CL54" s="230">
        <v>3750</v>
      </c>
      <c r="CM54" s="229">
        <v>0.06</v>
      </c>
      <c r="CN54" s="230">
        <v>7873750</v>
      </c>
      <c r="CO54" s="230">
        <v>7912500</v>
      </c>
      <c r="CP54" s="230">
        <v>-38750</v>
      </c>
      <c r="CQ54" s="229">
        <v>-4.8999999999999998E-3</v>
      </c>
      <c r="CR54" s="230">
        <v>5912500</v>
      </c>
      <c r="CS54" s="230">
        <v>5783750</v>
      </c>
      <c r="CT54" s="230">
        <v>128750</v>
      </c>
      <c r="CU54" s="229">
        <v>2.23E-2</v>
      </c>
      <c r="CV54" s="230">
        <v>45238750</v>
      </c>
      <c r="CW54" s="230">
        <v>45375000</v>
      </c>
      <c r="CX54" s="230">
        <v>-136250</v>
      </c>
      <c r="CY54" s="229">
        <v>-3.0000000000000001E-3</v>
      </c>
      <c r="CZ54" s="228">
        <v>27.01</v>
      </c>
      <c r="DA54" s="228">
        <v>27.72</v>
      </c>
      <c r="DB54" s="228">
        <v>-0.71</v>
      </c>
      <c r="DC54" s="228">
        <v>-0.71</v>
      </c>
      <c r="DD54" s="228">
        <v>26.63</v>
      </c>
      <c r="DE54" s="228">
        <v>26.69</v>
      </c>
      <c r="DF54" s="228">
        <v>0.38</v>
      </c>
      <c r="DG54" s="228">
        <v>-0.06</v>
      </c>
      <c r="DH54" s="228">
        <v>26.74</v>
      </c>
      <c r="DI54" s="228">
        <v>27.37</v>
      </c>
      <c r="DJ54" s="228">
        <v>-0.63</v>
      </c>
      <c r="DK54" s="228">
        <v>-0.63</v>
      </c>
      <c r="DL54" s="228">
        <v>27.89</v>
      </c>
      <c r="DM54" s="228">
        <v>28.69</v>
      </c>
      <c r="DN54" s="228">
        <v>-0.8</v>
      </c>
      <c r="DO54" s="228">
        <v>-0.8</v>
      </c>
      <c r="DP54" s="228">
        <v>0.75</v>
      </c>
      <c r="DQ54" s="228">
        <v>0.73</v>
      </c>
      <c r="DR54" s="228">
        <v>0.02</v>
      </c>
      <c r="DS54" s="229">
        <v>2.7400000000000001E-2</v>
      </c>
      <c r="DT54" s="228">
        <v>500</v>
      </c>
      <c r="DU54" s="228">
        <v>370</v>
      </c>
      <c r="DV54" s="228">
        <v>0.28999999999999998</v>
      </c>
      <c r="DW54" s="228">
        <v>0.36</v>
      </c>
      <c r="DX54" s="228">
        <v>-7.0000000000000007E-2</v>
      </c>
      <c r="DY54" s="229">
        <v>-0.19439999999999999</v>
      </c>
      <c r="DZ54" s="229">
        <v>2.41E-2</v>
      </c>
      <c r="EA54" s="230">
        <v>735000</v>
      </c>
      <c r="EB54" s="229">
        <v>4.8999999999999998E-3</v>
      </c>
      <c r="EC54" s="229">
        <v>2.41E-2</v>
      </c>
      <c r="ED54" s="228">
        <v>1.96</v>
      </c>
      <c r="EE54" s="229">
        <v>4.5999999999999999E-3</v>
      </c>
      <c r="EF54" s="230">
        <v>860655</v>
      </c>
      <c r="EG54" s="230">
        <v>702307</v>
      </c>
      <c r="EH54" s="229">
        <v>0.22550000000000001</v>
      </c>
      <c r="EI54" s="229">
        <v>0.46389999999999998</v>
      </c>
      <c r="EJ54" s="231">
        <v>36385.379999999997</v>
      </c>
      <c r="EK54" s="231">
        <v>9996.0499999999993</v>
      </c>
      <c r="EL54" s="231">
        <v>11930.44</v>
      </c>
      <c r="EM54" s="231">
        <v>3257</v>
      </c>
      <c r="EN54" s="231">
        <v>58311.87</v>
      </c>
      <c r="EO54" s="231">
        <v>112860.32</v>
      </c>
      <c r="EP54" s="231">
        <v>-54548.45</v>
      </c>
      <c r="EQ54" s="229">
        <v>-0.48330000000000001</v>
      </c>
      <c r="ER54" s="231">
        <v>35688</v>
      </c>
      <c r="ES54" s="231">
        <v>24288</v>
      </c>
      <c r="ET54" s="231">
        <v>135358</v>
      </c>
      <c r="EU54" s="231">
        <v>76827821</v>
      </c>
      <c r="EV54" s="231">
        <v>195334</v>
      </c>
      <c r="EW54" s="231">
        <v>195612</v>
      </c>
      <c r="EX54" s="228">
        <v>-278</v>
      </c>
      <c r="EY54" s="229">
        <v>-1.4E-3</v>
      </c>
      <c r="EZ54" s="229">
        <v>0.58879999999999999</v>
      </c>
      <c r="FA54" s="227" t="s">
        <v>694</v>
      </c>
      <c r="FB54" s="161">
        <f t="shared" si="0"/>
        <v>757500</v>
      </c>
    </row>
    <row r="55" spans="1:158" ht="17.25" thickBot="1" x14ac:dyDescent="0.3">
      <c r="A55" s="226">
        <v>46121</v>
      </c>
      <c r="B55" s="227" t="s">
        <v>157</v>
      </c>
      <c r="C55" s="227" t="s">
        <v>524</v>
      </c>
      <c r="D55" s="228">
        <v>325</v>
      </c>
      <c r="E55" s="231">
        <v>1913.9</v>
      </c>
      <c r="F55" s="231">
        <v>1926.8</v>
      </c>
      <c r="G55" s="228">
        <v>-12.9</v>
      </c>
      <c r="H55" s="229">
        <v>-6.7000000000000002E-3</v>
      </c>
      <c r="I55" s="231">
        <v>1910.6</v>
      </c>
      <c r="J55" s="231">
        <v>1922.6</v>
      </c>
      <c r="K55" s="228">
        <v>-12</v>
      </c>
      <c r="L55" s="229">
        <v>-6.1999999999999998E-3</v>
      </c>
      <c r="M55" s="231">
        <v>1913.9</v>
      </c>
      <c r="N55" s="231">
        <v>1926.8</v>
      </c>
      <c r="O55" s="228">
        <v>-12.9</v>
      </c>
      <c r="P55" s="229">
        <v>-6.7000000000000002E-3</v>
      </c>
      <c r="Q55" s="231">
        <v>1923.7</v>
      </c>
      <c r="R55" s="231">
        <v>1934.6</v>
      </c>
      <c r="S55" s="228">
        <v>-10.9</v>
      </c>
      <c r="T55" s="229">
        <v>-5.5999999999999999E-3</v>
      </c>
      <c r="U55" s="231">
        <v>1935</v>
      </c>
      <c r="V55" s="231">
        <v>1944.3</v>
      </c>
      <c r="W55" s="228">
        <v>-9.3000000000000007</v>
      </c>
      <c r="X55" s="229">
        <v>-4.7999999999999996E-3</v>
      </c>
      <c r="Y55" s="228">
        <v>3.3</v>
      </c>
      <c r="Z55" s="228">
        <v>4.2</v>
      </c>
      <c r="AA55" s="228">
        <v>-0.9</v>
      </c>
      <c r="AB55" s="229">
        <v>1.6999999999999999E-3</v>
      </c>
      <c r="AC55" s="228">
        <v>3.3</v>
      </c>
      <c r="AD55" s="228">
        <v>4.2</v>
      </c>
      <c r="AE55" s="228">
        <v>-0.9</v>
      </c>
      <c r="AF55" s="229">
        <v>1.6999999999999999E-3</v>
      </c>
      <c r="AG55" s="228">
        <v>13.1</v>
      </c>
      <c r="AH55" s="228">
        <v>12</v>
      </c>
      <c r="AI55" s="228">
        <v>1.1000000000000001</v>
      </c>
      <c r="AJ55" s="229">
        <v>6.8999999999999999E-3</v>
      </c>
      <c r="AK55" s="228">
        <v>24.4</v>
      </c>
      <c r="AL55" s="228">
        <v>21.7</v>
      </c>
      <c r="AM55" s="228">
        <v>2.7</v>
      </c>
      <c r="AN55" s="229">
        <v>1.2800000000000001E-2</v>
      </c>
      <c r="AO55" s="231">
        <v>1917.64</v>
      </c>
      <c r="AP55" s="231">
        <v>1924.16</v>
      </c>
      <c r="AQ55" s="228">
        <v>0</v>
      </c>
      <c r="AR55" s="230">
        <v>355225</v>
      </c>
      <c r="AS55" s="230">
        <v>927875</v>
      </c>
      <c r="AT55" s="230">
        <v>-572650</v>
      </c>
      <c r="AU55" s="229">
        <v>-0.61719999999999997</v>
      </c>
      <c r="AV55" s="230">
        <v>349375</v>
      </c>
      <c r="AW55" s="230">
        <v>882375</v>
      </c>
      <c r="AX55" s="230">
        <v>-533000</v>
      </c>
      <c r="AY55" s="229">
        <v>-0.60409999999999997</v>
      </c>
      <c r="AZ55" s="230">
        <v>5525</v>
      </c>
      <c r="BA55" s="230">
        <v>45175</v>
      </c>
      <c r="BB55" s="230">
        <v>-39650</v>
      </c>
      <c r="BC55" s="229">
        <v>-0.87770000000000004</v>
      </c>
      <c r="BD55" s="228">
        <v>325</v>
      </c>
      <c r="BE55" s="228">
        <v>325</v>
      </c>
      <c r="BF55" s="228">
        <v>0</v>
      </c>
      <c r="BG55" s="229">
        <v>0</v>
      </c>
      <c r="BH55" s="230">
        <v>354575</v>
      </c>
      <c r="BI55" s="230">
        <v>1276600</v>
      </c>
      <c r="BJ55" s="230">
        <v>-922025</v>
      </c>
      <c r="BK55" s="229">
        <v>-0.72230000000000005</v>
      </c>
      <c r="BL55" s="230">
        <v>227175</v>
      </c>
      <c r="BM55" s="230">
        <v>1835600</v>
      </c>
      <c r="BN55" s="230">
        <v>-1608425</v>
      </c>
      <c r="BO55" s="229">
        <v>-0.87619999999999998</v>
      </c>
      <c r="BP55" s="230">
        <v>936975</v>
      </c>
      <c r="BQ55" s="230">
        <v>4040075</v>
      </c>
      <c r="BR55" s="230">
        <v>-3103100</v>
      </c>
      <c r="BS55" s="229">
        <v>-0.7681</v>
      </c>
      <c r="BT55" s="230">
        <v>98552</v>
      </c>
      <c r="BU55" s="230">
        <v>744073</v>
      </c>
      <c r="BV55" s="230">
        <v>-645521</v>
      </c>
      <c r="BW55" s="229">
        <v>-0.86760000000000004</v>
      </c>
      <c r="BX55" s="230">
        <v>2563275</v>
      </c>
      <c r="BY55" s="230">
        <v>2548975</v>
      </c>
      <c r="BZ55" s="230">
        <v>14300</v>
      </c>
      <c r="CA55" s="229">
        <v>5.5999999999999999E-3</v>
      </c>
      <c r="CB55" s="230">
        <v>2533700</v>
      </c>
      <c r="CC55" s="230">
        <v>2520375</v>
      </c>
      <c r="CD55" s="230">
        <v>13325</v>
      </c>
      <c r="CE55" s="229">
        <v>5.3E-3</v>
      </c>
      <c r="CF55" s="230">
        <v>28275</v>
      </c>
      <c r="CG55" s="230">
        <v>27300</v>
      </c>
      <c r="CH55" s="228">
        <v>975</v>
      </c>
      <c r="CI55" s="229">
        <v>3.5700000000000003E-2</v>
      </c>
      <c r="CJ55" s="230">
        <v>1300</v>
      </c>
      <c r="CK55" s="230">
        <v>1300</v>
      </c>
      <c r="CL55" s="228">
        <v>0</v>
      </c>
      <c r="CM55" s="229">
        <v>0</v>
      </c>
      <c r="CN55" s="230">
        <v>654875</v>
      </c>
      <c r="CO55" s="230">
        <v>636675</v>
      </c>
      <c r="CP55" s="230">
        <v>18200</v>
      </c>
      <c r="CQ55" s="229">
        <v>2.86E-2</v>
      </c>
      <c r="CR55" s="230">
        <v>892125</v>
      </c>
      <c r="CS55" s="230">
        <v>879450</v>
      </c>
      <c r="CT55" s="230">
        <v>12675</v>
      </c>
      <c r="CU55" s="229">
        <v>1.44E-2</v>
      </c>
      <c r="CV55" s="230">
        <v>4110275</v>
      </c>
      <c r="CW55" s="230">
        <v>4065100</v>
      </c>
      <c r="CX55" s="230">
        <v>45175</v>
      </c>
      <c r="CY55" s="229">
        <v>1.11E-2</v>
      </c>
      <c r="CZ55" s="228">
        <v>39.35</v>
      </c>
      <c r="DA55" s="228">
        <v>39.25</v>
      </c>
      <c r="DB55" s="228">
        <v>0.1</v>
      </c>
      <c r="DC55" s="228">
        <v>0.1</v>
      </c>
      <c r="DD55" s="228">
        <v>34.29</v>
      </c>
      <c r="DE55" s="228">
        <v>34.36</v>
      </c>
      <c r="DF55" s="228">
        <v>5.0599999999999996</v>
      </c>
      <c r="DG55" s="228">
        <v>-7.0000000000000007E-2</v>
      </c>
      <c r="DH55" s="228">
        <v>38.08</v>
      </c>
      <c r="DI55" s="228">
        <v>35.14</v>
      </c>
      <c r="DJ55" s="228">
        <v>2.94</v>
      </c>
      <c r="DK55" s="228">
        <v>2.94</v>
      </c>
      <c r="DL55" s="228">
        <v>41.33</v>
      </c>
      <c r="DM55" s="228">
        <v>42.11</v>
      </c>
      <c r="DN55" s="228">
        <v>-0.78</v>
      </c>
      <c r="DO55" s="228">
        <v>-0.78</v>
      </c>
      <c r="DP55" s="228">
        <v>1.36</v>
      </c>
      <c r="DQ55" s="228">
        <v>1.38</v>
      </c>
      <c r="DR55" s="228">
        <v>-0.02</v>
      </c>
      <c r="DS55" s="229">
        <v>-1.4500000000000001E-2</v>
      </c>
      <c r="DT55" s="231">
        <v>2060</v>
      </c>
      <c r="DU55" s="231">
        <v>1800</v>
      </c>
      <c r="DV55" s="228">
        <v>0.64</v>
      </c>
      <c r="DW55" s="228">
        <v>1.44</v>
      </c>
      <c r="DX55" s="228">
        <v>-0.8</v>
      </c>
      <c r="DY55" s="229">
        <v>-0.55559999999999998</v>
      </c>
      <c r="DZ55" s="229">
        <v>1.15E-2</v>
      </c>
      <c r="EA55" s="230">
        <v>28600</v>
      </c>
      <c r="EB55" s="229">
        <v>5.1000000000000004E-3</v>
      </c>
      <c r="EC55" s="229">
        <v>1.15E-2</v>
      </c>
      <c r="ED55" s="228">
        <v>6.52</v>
      </c>
      <c r="EE55" s="229">
        <v>3.3999999999999998E-3</v>
      </c>
      <c r="EF55" s="230">
        <v>29303</v>
      </c>
      <c r="EG55" s="230">
        <v>413553</v>
      </c>
      <c r="EH55" s="229">
        <v>-0.92910000000000004</v>
      </c>
      <c r="EI55" s="229">
        <v>0.29730000000000001</v>
      </c>
      <c r="EJ55" s="231">
        <v>7458.41</v>
      </c>
      <c r="EK55" s="231">
        <v>4216.1400000000003</v>
      </c>
      <c r="EL55" s="231">
        <v>6812.37</v>
      </c>
      <c r="EM55" s="231">
        <v>1809</v>
      </c>
      <c r="EN55" s="231">
        <v>18486.919999999998</v>
      </c>
      <c r="EO55" s="231">
        <v>77004.800000000003</v>
      </c>
      <c r="EP55" s="231">
        <v>-58517.88</v>
      </c>
      <c r="EQ55" s="229">
        <v>-0.75990000000000002</v>
      </c>
      <c r="ER55" s="231">
        <v>13095</v>
      </c>
      <c r="ES55" s="231">
        <v>15964</v>
      </c>
      <c r="ET55" s="231">
        <v>49062</v>
      </c>
      <c r="EU55" s="231">
        <v>12425160</v>
      </c>
      <c r="EV55" s="231">
        <v>78120</v>
      </c>
      <c r="EW55" s="231">
        <v>77582</v>
      </c>
      <c r="EX55" s="228">
        <v>538</v>
      </c>
      <c r="EY55" s="229">
        <v>6.8999999999999999E-3</v>
      </c>
      <c r="EZ55" s="229">
        <v>0.33079999999999998</v>
      </c>
      <c r="FA55" s="227" t="s">
        <v>566</v>
      </c>
      <c r="FB55" s="161">
        <f t="shared" si="0"/>
        <v>29575</v>
      </c>
    </row>
    <row r="56" spans="1:158" ht="17.25" thickBot="1" x14ac:dyDescent="0.3">
      <c r="A56" s="226">
        <v>46121</v>
      </c>
      <c r="B56" s="227" t="s">
        <v>614</v>
      </c>
      <c r="C56" s="227" t="s">
        <v>599</v>
      </c>
      <c r="D56" s="228">
        <v>2075</v>
      </c>
      <c r="E56" s="228">
        <v>471.35</v>
      </c>
      <c r="F56" s="228">
        <v>462.05</v>
      </c>
      <c r="G56" s="228">
        <v>9.3000000000000007</v>
      </c>
      <c r="H56" s="229">
        <v>2.01E-2</v>
      </c>
      <c r="I56" s="228">
        <v>469.85</v>
      </c>
      <c r="J56" s="228">
        <v>459.85</v>
      </c>
      <c r="K56" s="228">
        <v>10</v>
      </c>
      <c r="L56" s="229">
        <v>2.1700000000000001E-2</v>
      </c>
      <c r="M56" s="228">
        <v>471.35</v>
      </c>
      <c r="N56" s="228">
        <v>462.05</v>
      </c>
      <c r="O56" s="228">
        <v>9.3000000000000007</v>
      </c>
      <c r="P56" s="229">
        <v>2.01E-2</v>
      </c>
      <c r="Q56" s="228">
        <v>473.65</v>
      </c>
      <c r="R56" s="228">
        <v>464.35</v>
      </c>
      <c r="S56" s="228">
        <v>9.3000000000000007</v>
      </c>
      <c r="T56" s="229">
        <v>0.02</v>
      </c>
      <c r="U56" s="228">
        <v>474.6</v>
      </c>
      <c r="V56" s="228">
        <v>460</v>
      </c>
      <c r="W56" s="228">
        <v>14.6</v>
      </c>
      <c r="X56" s="229">
        <v>3.1699999999999999E-2</v>
      </c>
      <c r="Y56" s="228">
        <v>1.5</v>
      </c>
      <c r="Z56" s="228">
        <v>2.2000000000000002</v>
      </c>
      <c r="AA56" s="228">
        <v>-0.7</v>
      </c>
      <c r="AB56" s="229">
        <v>3.2000000000000002E-3</v>
      </c>
      <c r="AC56" s="228">
        <v>1.5</v>
      </c>
      <c r="AD56" s="228">
        <v>2.2000000000000002</v>
      </c>
      <c r="AE56" s="228">
        <v>-0.7</v>
      </c>
      <c r="AF56" s="229">
        <v>3.2000000000000002E-3</v>
      </c>
      <c r="AG56" s="228">
        <v>3.8</v>
      </c>
      <c r="AH56" s="228">
        <v>4.5</v>
      </c>
      <c r="AI56" s="228">
        <v>-0.7</v>
      </c>
      <c r="AJ56" s="229">
        <v>8.0999999999999996E-3</v>
      </c>
      <c r="AK56" s="228">
        <v>4.75</v>
      </c>
      <c r="AL56" s="228">
        <v>0.15</v>
      </c>
      <c r="AM56" s="228">
        <v>4.5999999999999996</v>
      </c>
      <c r="AN56" s="229">
        <v>1.01E-2</v>
      </c>
      <c r="AO56" s="228">
        <v>470.33</v>
      </c>
      <c r="AP56" s="228">
        <v>473.32</v>
      </c>
      <c r="AQ56" s="228">
        <v>0</v>
      </c>
      <c r="AR56" s="230">
        <v>8183800</v>
      </c>
      <c r="AS56" s="230">
        <v>9462000</v>
      </c>
      <c r="AT56" s="230">
        <v>-1278200</v>
      </c>
      <c r="AU56" s="229">
        <v>-0.1351</v>
      </c>
      <c r="AV56" s="230">
        <v>7820675</v>
      </c>
      <c r="AW56" s="230">
        <v>9167350</v>
      </c>
      <c r="AX56" s="230">
        <v>-1346675</v>
      </c>
      <c r="AY56" s="229">
        <v>-0.1469</v>
      </c>
      <c r="AZ56" s="230">
        <v>358975</v>
      </c>
      <c r="BA56" s="230">
        <v>292575</v>
      </c>
      <c r="BB56" s="230">
        <v>66400</v>
      </c>
      <c r="BC56" s="229">
        <v>0.22700000000000001</v>
      </c>
      <c r="BD56" s="230">
        <v>4150</v>
      </c>
      <c r="BE56" s="230">
        <v>2075</v>
      </c>
      <c r="BF56" s="230">
        <v>2075</v>
      </c>
      <c r="BG56" s="229">
        <v>1</v>
      </c>
      <c r="BH56" s="230">
        <v>17697675</v>
      </c>
      <c r="BI56" s="230">
        <v>15622675</v>
      </c>
      <c r="BJ56" s="230">
        <v>2075000</v>
      </c>
      <c r="BK56" s="229">
        <v>0.1328</v>
      </c>
      <c r="BL56" s="230">
        <v>7077825</v>
      </c>
      <c r="BM56" s="230">
        <v>6677350</v>
      </c>
      <c r="BN56" s="230">
        <v>400475</v>
      </c>
      <c r="BO56" s="229">
        <v>0.06</v>
      </c>
      <c r="BP56" s="230">
        <v>32959300</v>
      </c>
      <c r="BQ56" s="230">
        <v>31762025</v>
      </c>
      <c r="BR56" s="230">
        <v>1197275</v>
      </c>
      <c r="BS56" s="229">
        <v>3.7699999999999997E-2</v>
      </c>
      <c r="BT56" s="230">
        <v>4325371</v>
      </c>
      <c r="BU56" s="230">
        <v>4808550</v>
      </c>
      <c r="BV56" s="230">
        <v>-483179</v>
      </c>
      <c r="BW56" s="229">
        <v>-0.10050000000000001</v>
      </c>
      <c r="BX56" s="230">
        <v>29510650</v>
      </c>
      <c r="BY56" s="230">
        <v>30562675</v>
      </c>
      <c r="BZ56" s="230">
        <v>-1052025</v>
      </c>
      <c r="CA56" s="229">
        <v>-3.44E-2</v>
      </c>
      <c r="CB56" s="230">
        <v>29139225</v>
      </c>
      <c r="CC56" s="230">
        <v>30305375</v>
      </c>
      <c r="CD56" s="230">
        <v>-1166150</v>
      </c>
      <c r="CE56" s="229">
        <v>-3.85E-2</v>
      </c>
      <c r="CF56" s="230">
        <v>356900</v>
      </c>
      <c r="CG56" s="230">
        <v>244850</v>
      </c>
      <c r="CH56" s="230">
        <v>112050</v>
      </c>
      <c r="CI56" s="229">
        <v>0.45760000000000001</v>
      </c>
      <c r="CJ56" s="230">
        <v>14525</v>
      </c>
      <c r="CK56" s="230">
        <v>12450</v>
      </c>
      <c r="CL56" s="230">
        <v>2075</v>
      </c>
      <c r="CM56" s="229">
        <v>0.16669999999999999</v>
      </c>
      <c r="CN56" s="230">
        <v>7158750</v>
      </c>
      <c r="CO56" s="230">
        <v>5876400</v>
      </c>
      <c r="CP56" s="230">
        <v>1282350</v>
      </c>
      <c r="CQ56" s="229">
        <v>0.21820000000000001</v>
      </c>
      <c r="CR56" s="230">
        <v>3996450</v>
      </c>
      <c r="CS56" s="230">
        <v>2977625</v>
      </c>
      <c r="CT56" s="230">
        <v>1018825</v>
      </c>
      <c r="CU56" s="229">
        <v>0.3422</v>
      </c>
      <c r="CV56" s="230">
        <v>40665850</v>
      </c>
      <c r="CW56" s="230">
        <v>39416700</v>
      </c>
      <c r="CX56" s="230">
        <v>1249150</v>
      </c>
      <c r="CY56" s="229">
        <v>3.1699999999999999E-2</v>
      </c>
      <c r="CZ56" s="228">
        <v>35.6</v>
      </c>
      <c r="DA56" s="228">
        <v>36.26</v>
      </c>
      <c r="DB56" s="228">
        <v>-0.66</v>
      </c>
      <c r="DC56" s="228">
        <v>-0.66</v>
      </c>
      <c r="DD56" s="228">
        <v>39.86</v>
      </c>
      <c r="DE56" s="228">
        <v>39.869999999999997</v>
      </c>
      <c r="DF56" s="228">
        <v>-4.26</v>
      </c>
      <c r="DG56" s="228">
        <v>-0.01</v>
      </c>
      <c r="DH56" s="228">
        <v>35.28</v>
      </c>
      <c r="DI56" s="228">
        <v>35.54</v>
      </c>
      <c r="DJ56" s="228">
        <v>-0.26</v>
      </c>
      <c r="DK56" s="228">
        <v>-0.26</v>
      </c>
      <c r="DL56" s="228">
        <v>36.4</v>
      </c>
      <c r="DM56" s="228">
        <v>37.96</v>
      </c>
      <c r="DN56" s="228">
        <v>-1.56</v>
      </c>
      <c r="DO56" s="228">
        <v>-1.56</v>
      </c>
      <c r="DP56" s="228">
        <v>0.56000000000000005</v>
      </c>
      <c r="DQ56" s="228">
        <v>0.51</v>
      </c>
      <c r="DR56" s="228">
        <v>0.05</v>
      </c>
      <c r="DS56" s="229">
        <v>9.8000000000000004E-2</v>
      </c>
      <c r="DT56" s="228">
        <v>470</v>
      </c>
      <c r="DU56" s="228">
        <v>460</v>
      </c>
      <c r="DV56" s="228">
        <v>0.4</v>
      </c>
      <c r="DW56" s="228">
        <v>0.43</v>
      </c>
      <c r="DX56" s="228">
        <v>-0.03</v>
      </c>
      <c r="DY56" s="229">
        <v>-6.9800000000000001E-2</v>
      </c>
      <c r="DZ56" s="229">
        <v>1.26E-2</v>
      </c>
      <c r="EA56" s="230">
        <v>257300</v>
      </c>
      <c r="EB56" s="229">
        <v>4.8999999999999998E-3</v>
      </c>
      <c r="EC56" s="229">
        <v>1.26E-2</v>
      </c>
      <c r="ED56" s="228">
        <v>2.99</v>
      </c>
      <c r="EE56" s="229">
        <v>6.4000000000000003E-3</v>
      </c>
      <c r="EF56" s="230">
        <v>1768606</v>
      </c>
      <c r="EG56" s="230">
        <v>2263817</v>
      </c>
      <c r="EH56" s="229">
        <v>-0.21879999999999999</v>
      </c>
      <c r="EI56" s="229">
        <v>0.40889999999999999</v>
      </c>
      <c r="EJ56" s="231">
        <v>87633.02</v>
      </c>
      <c r="EK56" s="231">
        <v>32647.59</v>
      </c>
      <c r="EL56" s="231">
        <v>38501.949999999997</v>
      </c>
      <c r="EM56" s="231">
        <v>2626</v>
      </c>
      <c r="EN56" s="231">
        <v>158782.56</v>
      </c>
      <c r="EO56" s="231">
        <v>147889.68</v>
      </c>
      <c r="EP56" s="231">
        <v>10892.88</v>
      </c>
      <c r="EQ56" s="229">
        <v>7.3700000000000002E-2</v>
      </c>
      <c r="ER56" s="231">
        <v>33740</v>
      </c>
      <c r="ES56" s="231">
        <v>17268</v>
      </c>
      <c r="ET56" s="231">
        <v>139107</v>
      </c>
      <c r="EU56" s="231">
        <v>83072620</v>
      </c>
      <c r="EV56" s="231">
        <v>190115</v>
      </c>
      <c r="EW56" s="231">
        <v>180786</v>
      </c>
      <c r="EX56" s="231">
        <v>9329</v>
      </c>
      <c r="EY56" s="229">
        <v>5.16E-2</v>
      </c>
      <c r="EZ56" s="229">
        <v>0.48949999999999999</v>
      </c>
      <c r="FA56" s="227" t="s">
        <v>694</v>
      </c>
      <c r="FB56" s="161">
        <f t="shared" si="0"/>
        <v>371425</v>
      </c>
    </row>
    <row r="57" spans="1:158" ht="17.25" thickBot="1" x14ac:dyDescent="0.3">
      <c r="A57" s="226">
        <v>46121</v>
      </c>
      <c r="B57" s="227" t="s">
        <v>170</v>
      </c>
      <c r="C57" s="227" t="s">
        <v>205</v>
      </c>
      <c r="D57" s="228">
        <v>100</v>
      </c>
      <c r="E57" s="231">
        <v>5967</v>
      </c>
      <c r="F57" s="231">
        <v>5909.5</v>
      </c>
      <c r="G57" s="228">
        <v>57.5</v>
      </c>
      <c r="H57" s="229">
        <v>9.7000000000000003E-3</v>
      </c>
      <c r="I57" s="231">
        <v>5952.5</v>
      </c>
      <c r="J57" s="231">
        <v>5882</v>
      </c>
      <c r="K57" s="228">
        <v>70.5</v>
      </c>
      <c r="L57" s="229">
        <v>1.2E-2</v>
      </c>
      <c r="M57" s="231">
        <v>5967</v>
      </c>
      <c r="N57" s="231">
        <v>5909.5</v>
      </c>
      <c r="O57" s="228">
        <v>57.5</v>
      </c>
      <c r="P57" s="229">
        <v>9.7000000000000003E-3</v>
      </c>
      <c r="Q57" s="231">
        <v>5998.5</v>
      </c>
      <c r="R57" s="231">
        <v>5945</v>
      </c>
      <c r="S57" s="228">
        <v>53.5</v>
      </c>
      <c r="T57" s="229">
        <v>8.9999999999999993E-3</v>
      </c>
      <c r="U57" s="231">
        <v>6012</v>
      </c>
      <c r="V57" s="231">
        <v>5969.5</v>
      </c>
      <c r="W57" s="228">
        <v>42.5</v>
      </c>
      <c r="X57" s="229">
        <v>7.1000000000000004E-3</v>
      </c>
      <c r="Y57" s="228">
        <v>14.5</v>
      </c>
      <c r="Z57" s="228">
        <v>27.5</v>
      </c>
      <c r="AA57" s="228">
        <v>-13</v>
      </c>
      <c r="AB57" s="229">
        <v>2.3999999999999998E-3</v>
      </c>
      <c r="AC57" s="228">
        <v>14.5</v>
      </c>
      <c r="AD57" s="228">
        <v>27.5</v>
      </c>
      <c r="AE57" s="228">
        <v>-13</v>
      </c>
      <c r="AF57" s="229">
        <v>2.3999999999999998E-3</v>
      </c>
      <c r="AG57" s="228">
        <v>46</v>
      </c>
      <c r="AH57" s="228">
        <v>63</v>
      </c>
      <c r="AI57" s="228">
        <v>-17</v>
      </c>
      <c r="AJ57" s="229">
        <v>7.7000000000000002E-3</v>
      </c>
      <c r="AK57" s="228">
        <v>59.5</v>
      </c>
      <c r="AL57" s="228">
        <v>87.5</v>
      </c>
      <c r="AM57" s="228">
        <v>-28</v>
      </c>
      <c r="AN57" s="229">
        <v>0.01</v>
      </c>
      <c r="AO57" s="231">
        <v>5938.77</v>
      </c>
      <c r="AP57" s="231">
        <v>5972.21</v>
      </c>
      <c r="AQ57" s="228">
        <v>0</v>
      </c>
      <c r="AR57" s="230">
        <v>298600</v>
      </c>
      <c r="AS57" s="230">
        <v>347700</v>
      </c>
      <c r="AT57" s="230">
        <v>-49100</v>
      </c>
      <c r="AU57" s="229">
        <v>-0.14119999999999999</v>
      </c>
      <c r="AV57" s="230">
        <v>284000</v>
      </c>
      <c r="AW57" s="230">
        <v>322500</v>
      </c>
      <c r="AX57" s="230">
        <v>-38500</v>
      </c>
      <c r="AY57" s="229">
        <v>-0.11940000000000001</v>
      </c>
      <c r="AZ57" s="230">
        <v>14000</v>
      </c>
      <c r="BA57" s="230">
        <v>23200</v>
      </c>
      <c r="BB57" s="230">
        <v>-9200</v>
      </c>
      <c r="BC57" s="229">
        <v>-0.39660000000000001</v>
      </c>
      <c r="BD57" s="228">
        <v>600</v>
      </c>
      <c r="BE57" s="230">
        <v>2000</v>
      </c>
      <c r="BF57" s="230">
        <v>-1400</v>
      </c>
      <c r="BG57" s="229">
        <v>-0.7</v>
      </c>
      <c r="BH57" s="230">
        <v>914300</v>
      </c>
      <c r="BI57" s="230">
        <v>1232000</v>
      </c>
      <c r="BJ57" s="230">
        <v>-317700</v>
      </c>
      <c r="BK57" s="229">
        <v>-0.25790000000000002</v>
      </c>
      <c r="BL57" s="230">
        <v>336000</v>
      </c>
      <c r="BM57" s="230">
        <v>459100</v>
      </c>
      <c r="BN57" s="230">
        <v>-123100</v>
      </c>
      <c r="BO57" s="229">
        <v>-0.2681</v>
      </c>
      <c r="BP57" s="230">
        <v>1548900</v>
      </c>
      <c r="BQ57" s="230">
        <v>2038800</v>
      </c>
      <c r="BR57" s="230">
        <v>-489900</v>
      </c>
      <c r="BS57" s="229">
        <v>-0.24030000000000001</v>
      </c>
      <c r="BT57" s="230">
        <v>240821</v>
      </c>
      <c r="BU57" s="230">
        <v>307358</v>
      </c>
      <c r="BV57" s="230">
        <v>-66537</v>
      </c>
      <c r="BW57" s="229">
        <v>-0.2165</v>
      </c>
      <c r="BX57" s="230">
        <v>2913100</v>
      </c>
      <c r="BY57" s="230">
        <v>2889700</v>
      </c>
      <c r="BZ57" s="230">
        <v>23400</v>
      </c>
      <c r="CA57" s="229">
        <v>8.0999999999999996E-3</v>
      </c>
      <c r="CB57" s="230">
        <v>2836600</v>
      </c>
      <c r="CC57" s="230">
        <v>2816100</v>
      </c>
      <c r="CD57" s="230">
        <v>20500</v>
      </c>
      <c r="CE57" s="229">
        <v>7.3000000000000001E-3</v>
      </c>
      <c r="CF57" s="230">
        <v>73400</v>
      </c>
      <c r="CG57" s="230">
        <v>70800</v>
      </c>
      <c r="CH57" s="230">
        <v>2600</v>
      </c>
      <c r="CI57" s="229">
        <v>3.6700000000000003E-2</v>
      </c>
      <c r="CJ57" s="230">
        <v>3100</v>
      </c>
      <c r="CK57" s="230">
        <v>2800</v>
      </c>
      <c r="CL57" s="228">
        <v>300</v>
      </c>
      <c r="CM57" s="229">
        <v>0.1071</v>
      </c>
      <c r="CN57" s="230">
        <v>629700</v>
      </c>
      <c r="CO57" s="230">
        <v>659700</v>
      </c>
      <c r="CP57" s="230">
        <v>-30000</v>
      </c>
      <c r="CQ57" s="229">
        <v>-4.5499999999999999E-2</v>
      </c>
      <c r="CR57" s="230">
        <v>670000</v>
      </c>
      <c r="CS57" s="230">
        <v>655500</v>
      </c>
      <c r="CT57" s="230">
        <v>14500</v>
      </c>
      <c r="CU57" s="229">
        <v>2.2100000000000002E-2</v>
      </c>
      <c r="CV57" s="230">
        <v>4212800</v>
      </c>
      <c r="CW57" s="230">
        <v>4204900</v>
      </c>
      <c r="CX57" s="230">
        <v>7900</v>
      </c>
      <c r="CY57" s="229">
        <v>1.9E-3</v>
      </c>
      <c r="CZ57" s="228">
        <v>28.17</v>
      </c>
      <c r="DA57" s="228">
        <v>28.17</v>
      </c>
      <c r="DB57" s="228">
        <v>0</v>
      </c>
      <c r="DC57" s="228">
        <v>0</v>
      </c>
      <c r="DD57" s="228">
        <v>29.64</v>
      </c>
      <c r="DE57" s="228">
        <v>29.67</v>
      </c>
      <c r="DF57" s="228">
        <v>-1.47</v>
      </c>
      <c r="DG57" s="228">
        <v>-0.03</v>
      </c>
      <c r="DH57" s="228">
        <v>27.7</v>
      </c>
      <c r="DI57" s="228">
        <v>28.01</v>
      </c>
      <c r="DJ57" s="228">
        <v>-0.31</v>
      </c>
      <c r="DK57" s="228">
        <v>-0.31</v>
      </c>
      <c r="DL57" s="228">
        <v>29.43</v>
      </c>
      <c r="DM57" s="228">
        <v>28.57</v>
      </c>
      <c r="DN57" s="228">
        <v>0.86</v>
      </c>
      <c r="DO57" s="228">
        <v>0.86</v>
      </c>
      <c r="DP57" s="228">
        <v>1.06</v>
      </c>
      <c r="DQ57" s="228">
        <v>0.99</v>
      </c>
      <c r="DR57" s="228">
        <v>7.0000000000000007E-2</v>
      </c>
      <c r="DS57" s="229">
        <v>7.0699999999999999E-2</v>
      </c>
      <c r="DT57" s="231">
        <v>6000</v>
      </c>
      <c r="DU57" s="231">
        <v>5200</v>
      </c>
      <c r="DV57" s="228">
        <v>0.37</v>
      </c>
      <c r="DW57" s="228">
        <v>0.37</v>
      </c>
      <c r="DX57" s="228">
        <v>0</v>
      </c>
      <c r="DY57" s="229">
        <v>0</v>
      </c>
      <c r="DZ57" s="229">
        <v>2.63E-2</v>
      </c>
      <c r="EA57" s="230">
        <v>73600</v>
      </c>
      <c r="EB57" s="229">
        <v>5.3E-3</v>
      </c>
      <c r="EC57" s="229">
        <v>2.63E-2</v>
      </c>
      <c r="ED57" s="228">
        <v>33.44</v>
      </c>
      <c r="EE57" s="229">
        <v>5.5999999999999999E-3</v>
      </c>
      <c r="EF57" s="230">
        <v>120058</v>
      </c>
      <c r="EG57" s="230">
        <v>166153</v>
      </c>
      <c r="EH57" s="229">
        <v>-0.27739999999999998</v>
      </c>
      <c r="EI57" s="229">
        <v>0.4985</v>
      </c>
      <c r="EJ57" s="231">
        <v>57062.12</v>
      </c>
      <c r="EK57" s="231">
        <v>19591.45</v>
      </c>
      <c r="EL57" s="231">
        <v>17738.21</v>
      </c>
      <c r="EM57" s="231">
        <v>4051</v>
      </c>
      <c r="EN57" s="231">
        <v>94391.78</v>
      </c>
      <c r="EO57" s="231">
        <v>124066.77</v>
      </c>
      <c r="EP57" s="231">
        <v>-29674.99</v>
      </c>
      <c r="EQ57" s="229">
        <v>-0.2392</v>
      </c>
      <c r="ER57" s="231">
        <v>39137</v>
      </c>
      <c r="ES57" s="231">
        <v>38112</v>
      </c>
      <c r="ET57" s="231">
        <v>173849</v>
      </c>
      <c r="EU57" s="231">
        <v>15815194</v>
      </c>
      <c r="EV57" s="231">
        <v>251098</v>
      </c>
      <c r="EW57" s="231">
        <v>248954</v>
      </c>
      <c r="EX57" s="231">
        <v>2144</v>
      </c>
      <c r="EY57" s="229">
        <v>8.6E-3</v>
      </c>
      <c r="EZ57" s="229">
        <v>0.26640000000000003</v>
      </c>
      <c r="FA57" s="227" t="s">
        <v>555</v>
      </c>
      <c r="FB57" s="161">
        <f t="shared" si="0"/>
        <v>76500</v>
      </c>
    </row>
    <row r="58" spans="1:158" ht="17.25" thickBot="1" x14ac:dyDescent="0.3">
      <c r="A58" s="226">
        <v>46121</v>
      </c>
      <c r="B58" s="227" t="s">
        <v>184</v>
      </c>
      <c r="C58" s="227" t="s">
        <v>512</v>
      </c>
      <c r="D58" s="228">
        <v>50</v>
      </c>
      <c r="E58" s="231">
        <v>10657.5</v>
      </c>
      <c r="F58" s="231">
        <v>10669.5</v>
      </c>
      <c r="G58" s="228">
        <v>-12</v>
      </c>
      <c r="H58" s="229">
        <v>-1.1000000000000001E-3</v>
      </c>
      <c r="I58" s="231">
        <v>10625.5</v>
      </c>
      <c r="J58" s="231">
        <v>10636</v>
      </c>
      <c r="K58" s="228">
        <v>-10.5</v>
      </c>
      <c r="L58" s="229">
        <v>-1E-3</v>
      </c>
      <c r="M58" s="231">
        <v>10657.5</v>
      </c>
      <c r="N58" s="231">
        <v>10669.5</v>
      </c>
      <c r="O58" s="228">
        <v>-12</v>
      </c>
      <c r="P58" s="229">
        <v>-1.1000000000000001E-3</v>
      </c>
      <c r="Q58" s="231">
        <v>10621</v>
      </c>
      <c r="R58" s="231">
        <v>10620</v>
      </c>
      <c r="S58" s="228">
        <v>1</v>
      </c>
      <c r="T58" s="229">
        <v>1E-4</v>
      </c>
      <c r="U58" s="231">
        <v>10610.5</v>
      </c>
      <c r="V58" s="231">
        <v>10604.5</v>
      </c>
      <c r="W58" s="228">
        <v>6</v>
      </c>
      <c r="X58" s="229">
        <v>5.9999999999999995E-4</v>
      </c>
      <c r="Y58" s="228">
        <v>32</v>
      </c>
      <c r="Z58" s="228">
        <v>33.5</v>
      </c>
      <c r="AA58" s="228">
        <v>-1.5</v>
      </c>
      <c r="AB58" s="229">
        <v>3.0000000000000001E-3</v>
      </c>
      <c r="AC58" s="228">
        <v>32</v>
      </c>
      <c r="AD58" s="228">
        <v>33.5</v>
      </c>
      <c r="AE58" s="228">
        <v>-1.5</v>
      </c>
      <c r="AF58" s="229">
        <v>3.0000000000000001E-3</v>
      </c>
      <c r="AG58" s="228">
        <v>-4.5</v>
      </c>
      <c r="AH58" s="228">
        <v>-16</v>
      </c>
      <c r="AI58" s="228">
        <v>11.5</v>
      </c>
      <c r="AJ58" s="229">
        <v>-4.0000000000000002E-4</v>
      </c>
      <c r="AK58" s="228">
        <v>-15</v>
      </c>
      <c r="AL58" s="228">
        <v>-31.5</v>
      </c>
      <c r="AM58" s="228">
        <v>16.5</v>
      </c>
      <c r="AN58" s="229">
        <v>-1.4E-3</v>
      </c>
      <c r="AO58" s="231">
        <v>10598.25</v>
      </c>
      <c r="AP58" s="231">
        <v>10545.91</v>
      </c>
      <c r="AQ58" s="228">
        <v>0</v>
      </c>
      <c r="AR58" s="230">
        <v>828750</v>
      </c>
      <c r="AS58" s="230">
        <v>1178600</v>
      </c>
      <c r="AT58" s="230">
        <v>-349850</v>
      </c>
      <c r="AU58" s="229">
        <v>-0.29680000000000001</v>
      </c>
      <c r="AV58" s="230">
        <v>707050</v>
      </c>
      <c r="AW58" s="230">
        <v>1063450</v>
      </c>
      <c r="AX58" s="230">
        <v>-356400</v>
      </c>
      <c r="AY58" s="229">
        <v>-0.33510000000000001</v>
      </c>
      <c r="AZ58" s="230">
        <v>109950</v>
      </c>
      <c r="BA58" s="230">
        <v>100800</v>
      </c>
      <c r="BB58" s="230">
        <v>9150</v>
      </c>
      <c r="BC58" s="229">
        <v>9.0800000000000006E-2</v>
      </c>
      <c r="BD58" s="230">
        <v>11750</v>
      </c>
      <c r="BE58" s="230">
        <v>14350</v>
      </c>
      <c r="BF58" s="230">
        <v>-2600</v>
      </c>
      <c r="BG58" s="229">
        <v>-0.1812</v>
      </c>
      <c r="BH58" s="230">
        <v>1783950</v>
      </c>
      <c r="BI58" s="230">
        <v>3564550</v>
      </c>
      <c r="BJ58" s="230">
        <v>-1780600</v>
      </c>
      <c r="BK58" s="229">
        <v>-0.4995</v>
      </c>
      <c r="BL58" s="230">
        <v>932900</v>
      </c>
      <c r="BM58" s="230">
        <v>1647650</v>
      </c>
      <c r="BN58" s="230">
        <v>-714750</v>
      </c>
      <c r="BO58" s="229">
        <v>-0.43380000000000002</v>
      </c>
      <c r="BP58" s="230">
        <v>3545600</v>
      </c>
      <c r="BQ58" s="230">
        <v>6390800</v>
      </c>
      <c r="BR58" s="230">
        <v>-2845200</v>
      </c>
      <c r="BS58" s="229">
        <v>-0.44519999999999998</v>
      </c>
      <c r="BT58" s="230">
        <v>723006</v>
      </c>
      <c r="BU58" s="230">
        <v>1069359</v>
      </c>
      <c r="BV58" s="230">
        <v>-346353</v>
      </c>
      <c r="BW58" s="229">
        <v>-0.32390000000000002</v>
      </c>
      <c r="BX58" s="230">
        <v>3035500</v>
      </c>
      <c r="BY58" s="230">
        <v>2995800</v>
      </c>
      <c r="BZ58" s="230">
        <v>39700</v>
      </c>
      <c r="CA58" s="229">
        <v>1.3299999999999999E-2</v>
      </c>
      <c r="CB58" s="230">
        <v>2747300</v>
      </c>
      <c r="CC58" s="230">
        <v>2742750</v>
      </c>
      <c r="CD58" s="230">
        <v>4550</v>
      </c>
      <c r="CE58" s="229">
        <v>1.6999999999999999E-3</v>
      </c>
      <c r="CF58" s="230">
        <v>265900</v>
      </c>
      <c r="CG58" s="230">
        <v>233250</v>
      </c>
      <c r="CH58" s="230">
        <v>32650</v>
      </c>
      <c r="CI58" s="229">
        <v>0.14000000000000001</v>
      </c>
      <c r="CJ58" s="230">
        <v>22300</v>
      </c>
      <c r="CK58" s="230">
        <v>19800</v>
      </c>
      <c r="CL58" s="230">
        <v>2500</v>
      </c>
      <c r="CM58" s="229">
        <v>0.1263</v>
      </c>
      <c r="CN58" s="230">
        <v>1636950</v>
      </c>
      <c r="CO58" s="230">
        <v>1657900</v>
      </c>
      <c r="CP58" s="230">
        <v>-20950</v>
      </c>
      <c r="CQ58" s="229">
        <v>-1.26E-2</v>
      </c>
      <c r="CR58" s="230">
        <v>1264000</v>
      </c>
      <c r="CS58" s="230">
        <v>1228400</v>
      </c>
      <c r="CT58" s="230">
        <v>35600</v>
      </c>
      <c r="CU58" s="229">
        <v>2.9000000000000001E-2</v>
      </c>
      <c r="CV58" s="230">
        <v>5936450</v>
      </c>
      <c r="CW58" s="230">
        <v>5882100</v>
      </c>
      <c r="CX58" s="230">
        <v>54350</v>
      </c>
      <c r="CY58" s="229">
        <v>9.1999999999999998E-3</v>
      </c>
      <c r="CZ58" s="228">
        <v>51.46</v>
      </c>
      <c r="DA58" s="228">
        <v>51.63</v>
      </c>
      <c r="DB58" s="228">
        <v>-0.17</v>
      </c>
      <c r="DC58" s="228">
        <v>-0.17</v>
      </c>
      <c r="DD58" s="228">
        <v>49.34</v>
      </c>
      <c r="DE58" s="228">
        <v>49.46</v>
      </c>
      <c r="DF58" s="228">
        <v>2.12</v>
      </c>
      <c r="DG58" s="228">
        <v>-0.12</v>
      </c>
      <c r="DH58" s="228">
        <v>50.38</v>
      </c>
      <c r="DI58" s="228">
        <v>50.48</v>
      </c>
      <c r="DJ58" s="228">
        <v>-0.1</v>
      </c>
      <c r="DK58" s="228">
        <v>-0.1</v>
      </c>
      <c r="DL58" s="228">
        <v>53.53</v>
      </c>
      <c r="DM58" s="228">
        <v>54.13</v>
      </c>
      <c r="DN58" s="228">
        <v>-0.6</v>
      </c>
      <c r="DO58" s="228">
        <v>-0.6</v>
      </c>
      <c r="DP58" s="228">
        <v>0.77</v>
      </c>
      <c r="DQ58" s="228">
        <v>0.74</v>
      </c>
      <c r="DR58" s="228">
        <v>0.03</v>
      </c>
      <c r="DS58" s="229">
        <v>4.0500000000000001E-2</v>
      </c>
      <c r="DT58" s="231">
        <v>11000</v>
      </c>
      <c r="DU58" s="231">
        <v>10000</v>
      </c>
      <c r="DV58" s="228">
        <v>0.52</v>
      </c>
      <c r="DW58" s="228">
        <v>0.46</v>
      </c>
      <c r="DX58" s="228">
        <v>0.06</v>
      </c>
      <c r="DY58" s="229">
        <v>0.13039999999999999</v>
      </c>
      <c r="DZ58" s="229">
        <v>9.4899999999999998E-2</v>
      </c>
      <c r="EA58" s="230">
        <v>253050</v>
      </c>
      <c r="EB58" s="229">
        <v>-3.3999999999999998E-3</v>
      </c>
      <c r="EC58" s="229">
        <v>9.4899999999999998E-2</v>
      </c>
      <c r="ED58" s="228">
        <v>-52.34</v>
      </c>
      <c r="EE58" s="229">
        <v>-4.8999999999999998E-3</v>
      </c>
      <c r="EF58" s="230">
        <v>152381</v>
      </c>
      <c r="EG58" s="230">
        <v>378394</v>
      </c>
      <c r="EH58" s="229">
        <v>-0.59730000000000005</v>
      </c>
      <c r="EI58" s="229">
        <v>0.21079999999999999</v>
      </c>
      <c r="EJ58" s="231">
        <v>204535.03</v>
      </c>
      <c r="EK58" s="231">
        <v>97076.58</v>
      </c>
      <c r="EL58" s="231">
        <v>87767.12</v>
      </c>
      <c r="EM58" s="231">
        <v>23650</v>
      </c>
      <c r="EN58" s="231">
        <v>389378.73</v>
      </c>
      <c r="EO58" s="231">
        <v>699380.26</v>
      </c>
      <c r="EP58" s="231">
        <v>-310001.53000000003</v>
      </c>
      <c r="EQ58" s="229">
        <v>-0.44330000000000003</v>
      </c>
      <c r="ER58" s="231">
        <v>178759</v>
      </c>
      <c r="ES58" s="231">
        <v>124802</v>
      </c>
      <c r="ET58" s="231">
        <v>323401</v>
      </c>
      <c r="EU58" s="231">
        <v>6478285</v>
      </c>
      <c r="EV58" s="231">
        <v>626961</v>
      </c>
      <c r="EW58" s="231">
        <v>621422</v>
      </c>
      <c r="EX58" s="231">
        <v>5539</v>
      </c>
      <c r="EY58" s="229">
        <v>8.8999999999999999E-3</v>
      </c>
      <c r="EZ58" s="229">
        <v>0.91639999999999999</v>
      </c>
      <c r="FA58" s="227" t="s">
        <v>566</v>
      </c>
      <c r="FB58" s="161">
        <f t="shared" si="0"/>
        <v>288200</v>
      </c>
    </row>
    <row r="59" spans="1:158" ht="17.25" thickBot="1" x14ac:dyDescent="0.3">
      <c r="A59" s="226">
        <v>46121</v>
      </c>
      <c r="B59" s="227" t="s">
        <v>206</v>
      </c>
      <c r="C59" s="227" t="s">
        <v>207</v>
      </c>
      <c r="D59" s="228">
        <v>825</v>
      </c>
      <c r="E59" s="228">
        <v>564.79999999999995</v>
      </c>
      <c r="F59" s="228">
        <v>575.04999999999995</v>
      </c>
      <c r="G59" s="228">
        <v>-10.25</v>
      </c>
      <c r="H59" s="229">
        <v>-1.78E-2</v>
      </c>
      <c r="I59" s="228">
        <v>562.95000000000005</v>
      </c>
      <c r="J59" s="228">
        <v>572.85</v>
      </c>
      <c r="K59" s="228">
        <v>-9.9</v>
      </c>
      <c r="L59" s="229">
        <v>-1.7299999999999999E-2</v>
      </c>
      <c r="M59" s="228">
        <v>564.79999999999995</v>
      </c>
      <c r="N59" s="228">
        <v>575.04999999999995</v>
      </c>
      <c r="O59" s="228">
        <v>-10.25</v>
      </c>
      <c r="P59" s="229">
        <v>-1.78E-2</v>
      </c>
      <c r="Q59" s="228">
        <v>569.1</v>
      </c>
      <c r="R59" s="228">
        <v>578.6</v>
      </c>
      <c r="S59" s="228">
        <v>-9.5</v>
      </c>
      <c r="T59" s="229">
        <v>-1.6400000000000001E-2</v>
      </c>
      <c r="U59" s="228">
        <v>572.1</v>
      </c>
      <c r="V59" s="228">
        <v>579.15</v>
      </c>
      <c r="W59" s="228">
        <v>-7.05</v>
      </c>
      <c r="X59" s="229">
        <v>-1.2200000000000001E-2</v>
      </c>
      <c r="Y59" s="228">
        <v>1.85</v>
      </c>
      <c r="Z59" s="228">
        <v>2.2000000000000002</v>
      </c>
      <c r="AA59" s="228">
        <v>-0.35</v>
      </c>
      <c r="AB59" s="229">
        <v>3.3E-3</v>
      </c>
      <c r="AC59" s="228">
        <v>1.85</v>
      </c>
      <c r="AD59" s="228">
        <v>2.2000000000000002</v>
      </c>
      <c r="AE59" s="228">
        <v>-0.35</v>
      </c>
      <c r="AF59" s="229">
        <v>3.3E-3</v>
      </c>
      <c r="AG59" s="228">
        <v>6.15</v>
      </c>
      <c r="AH59" s="228">
        <v>5.75</v>
      </c>
      <c r="AI59" s="228">
        <v>0.4</v>
      </c>
      <c r="AJ59" s="229">
        <v>1.09E-2</v>
      </c>
      <c r="AK59" s="228">
        <v>9.15</v>
      </c>
      <c r="AL59" s="228">
        <v>6.3</v>
      </c>
      <c r="AM59" s="228">
        <v>2.85</v>
      </c>
      <c r="AN59" s="229">
        <v>1.6299999999999999E-2</v>
      </c>
      <c r="AO59" s="228">
        <v>566.62</v>
      </c>
      <c r="AP59" s="228">
        <v>570.27</v>
      </c>
      <c r="AQ59" s="228">
        <v>0</v>
      </c>
      <c r="AR59" s="230">
        <v>4797375</v>
      </c>
      <c r="AS59" s="230">
        <v>11085525</v>
      </c>
      <c r="AT59" s="230">
        <v>-6288150</v>
      </c>
      <c r="AU59" s="229">
        <v>-0.56720000000000004</v>
      </c>
      <c r="AV59" s="230">
        <v>4434375</v>
      </c>
      <c r="AW59" s="230">
        <v>10545150</v>
      </c>
      <c r="AX59" s="230">
        <v>-6110775</v>
      </c>
      <c r="AY59" s="229">
        <v>-0.57950000000000002</v>
      </c>
      <c r="AZ59" s="230">
        <v>300300</v>
      </c>
      <c r="BA59" s="230">
        <v>456225</v>
      </c>
      <c r="BB59" s="230">
        <v>-155925</v>
      </c>
      <c r="BC59" s="229">
        <v>-0.34179999999999999</v>
      </c>
      <c r="BD59" s="230">
        <v>62700</v>
      </c>
      <c r="BE59" s="230">
        <v>84150</v>
      </c>
      <c r="BF59" s="230">
        <v>-21450</v>
      </c>
      <c r="BG59" s="229">
        <v>-0.25490000000000002</v>
      </c>
      <c r="BH59" s="230">
        <v>10053450</v>
      </c>
      <c r="BI59" s="230">
        <v>22189200</v>
      </c>
      <c r="BJ59" s="230">
        <v>-12135750</v>
      </c>
      <c r="BK59" s="229">
        <v>-0.54690000000000005</v>
      </c>
      <c r="BL59" s="230">
        <v>6300525</v>
      </c>
      <c r="BM59" s="230">
        <v>13701600</v>
      </c>
      <c r="BN59" s="230">
        <v>-7401075</v>
      </c>
      <c r="BO59" s="229">
        <v>-0.54020000000000001</v>
      </c>
      <c r="BP59" s="230">
        <v>21151350</v>
      </c>
      <c r="BQ59" s="230">
        <v>46976325</v>
      </c>
      <c r="BR59" s="230">
        <v>-25824975</v>
      </c>
      <c r="BS59" s="229">
        <v>-0.54969999999999997</v>
      </c>
      <c r="BT59" s="230">
        <v>4504771</v>
      </c>
      <c r="BU59" s="230">
        <v>15053396</v>
      </c>
      <c r="BV59" s="230">
        <v>-10548625</v>
      </c>
      <c r="BW59" s="229">
        <v>-0.70069999999999999</v>
      </c>
      <c r="BX59" s="230">
        <v>54379050</v>
      </c>
      <c r="BY59" s="230">
        <v>54349350</v>
      </c>
      <c r="BZ59" s="230">
        <v>29700</v>
      </c>
      <c r="CA59" s="229">
        <v>5.0000000000000001E-4</v>
      </c>
      <c r="CB59" s="230">
        <v>51363675</v>
      </c>
      <c r="CC59" s="230">
        <v>51448650</v>
      </c>
      <c r="CD59" s="230">
        <v>-84975</v>
      </c>
      <c r="CE59" s="229">
        <v>-1.6999999999999999E-3</v>
      </c>
      <c r="CF59" s="230">
        <v>2930400</v>
      </c>
      <c r="CG59" s="230">
        <v>2847900</v>
      </c>
      <c r="CH59" s="230">
        <v>82500</v>
      </c>
      <c r="CI59" s="229">
        <v>2.9000000000000001E-2</v>
      </c>
      <c r="CJ59" s="230">
        <v>84975</v>
      </c>
      <c r="CK59" s="230">
        <v>52800</v>
      </c>
      <c r="CL59" s="230">
        <v>32175</v>
      </c>
      <c r="CM59" s="229">
        <v>0.60940000000000005</v>
      </c>
      <c r="CN59" s="230">
        <v>9537000</v>
      </c>
      <c r="CO59" s="230">
        <v>9091500</v>
      </c>
      <c r="CP59" s="230">
        <v>445500</v>
      </c>
      <c r="CQ59" s="229">
        <v>4.9000000000000002E-2</v>
      </c>
      <c r="CR59" s="230">
        <v>9405825</v>
      </c>
      <c r="CS59" s="230">
        <v>9177300</v>
      </c>
      <c r="CT59" s="230">
        <v>228525</v>
      </c>
      <c r="CU59" s="229">
        <v>2.4899999999999999E-2</v>
      </c>
      <c r="CV59" s="230">
        <v>73321875</v>
      </c>
      <c r="CW59" s="230">
        <v>72618150</v>
      </c>
      <c r="CX59" s="230">
        <v>703725</v>
      </c>
      <c r="CY59" s="229">
        <v>9.7000000000000003E-3</v>
      </c>
      <c r="CZ59" s="228">
        <v>36.520000000000003</v>
      </c>
      <c r="DA59" s="228">
        <v>36.92</v>
      </c>
      <c r="DB59" s="228">
        <v>-0.4</v>
      </c>
      <c r="DC59" s="228">
        <v>-0.4</v>
      </c>
      <c r="DD59" s="228">
        <v>38.130000000000003</v>
      </c>
      <c r="DE59" s="228">
        <v>38.15</v>
      </c>
      <c r="DF59" s="228">
        <v>-1.61</v>
      </c>
      <c r="DG59" s="228">
        <v>-0.02</v>
      </c>
      <c r="DH59" s="228">
        <v>36.270000000000003</v>
      </c>
      <c r="DI59" s="228">
        <v>35.92</v>
      </c>
      <c r="DJ59" s="228">
        <v>0.35</v>
      </c>
      <c r="DK59" s="228">
        <v>0.35</v>
      </c>
      <c r="DL59" s="228">
        <v>36.92</v>
      </c>
      <c r="DM59" s="228">
        <v>38.53</v>
      </c>
      <c r="DN59" s="228">
        <v>-1.61</v>
      </c>
      <c r="DO59" s="228">
        <v>-1.61</v>
      </c>
      <c r="DP59" s="228">
        <v>0.99</v>
      </c>
      <c r="DQ59" s="228">
        <v>1.01</v>
      </c>
      <c r="DR59" s="228">
        <v>-0.02</v>
      </c>
      <c r="DS59" s="229">
        <v>-1.9800000000000002E-2</v>
      </c>
      <c r="DT59" s="228">
        <v>600</v>
      </c>
      <c r="DU59" s="228">
        <v>550</v>
      </c>
      <c r="DV59" s="228">
        <v>0.63</v>
      </c>
      <c r="DW59" s="228">
        <v>0.62</v>
      </c>
      <c r="DX59" s="228">
        <v>0.01</v>
      </c>
      <c r="DY59" s="229">
        <v>1.61E-2</v>
      </c>
      <c r="DZ59" s="229">
        <v>5.5500000000000001E-2</v>
      </c>
      <c r="EA59" s="230">
        <v>2900700</v>
      </c>
      <c r="EB59" s="229">
        <v>7.6E-3</v>
      </c>
      <c r="EC59" s="229">
        <v>5.5500000000000001E-2</v>
      </c>
      <c r="ED59" s="228">
        <v>3.65</v>
      </c>
      <c r="EE59" s="229">
        <v>6.4000000000000003E-3</v>
      </c>
      <c r="EF59" s="230">
        <v>1894472</v>
      </c>
      <c r="EG59" s="230">
        <v>8476771</v>
      </c>
      <c r="EH59" s="229">
        <v>-0.77649999999999997</v>
      </c>
      <c r="EI59" s="229">
        <v>0.42049999999999998</v>
      </c>
      <c r="EJ59" s="231">
        <v>60203.88</v>
      </c>
      <c r="EK59" s="231">
        <v>35289.06</v>
      </c>
      <c r="EL59" s="231">
        <v>27197.45</v>
      </c>
      <c r="EM59" s="231">
        <v>9198</v>
      </c>
      <c r="EN59" s="231">
        <v>122690.39</v>
      </c>
      <c r="EO59" s="231">
        <v>271405.28000000003</v>
      </c>
      <c r="EP59" s="231">
        <v>-148714.89000000001</v>
      </c>
      <c r="EQ59" s="229">
        <v>-0.54790000000000005</v>
      </c>
      <c r="ER59" s="231">
        <v>54805</v>
      </c>
      <c r="ES59" s="231">
        <v>50542</v>
      </c>
      <c r="ET59" s="231">
        <v>307265</v>
      </c>
      <c r="EU59" s="231">
        <v>96251298</v>
      </c>
      <c r="EV59" s="231">
        <v>412612</v>
      </c>
      <c r="EW59" s="231">
        <v>413975</v>
      </c>
      <c r="EX59" s="231">
        <v>-1363</v>
      </c>
      <c r="EY59" s="229">
        <v>-3.3E-3</v>
      </c>
      <c r="EZ59" s="229">
        <v>0.76180000000000003</v>
      </c>
      <c r="FA59" s="227" t="s">
        <v>566</v>
      </c>
      <c r="FB59" s="161">
        <f t="shared" si="0"/>
        <v>3015375</v>
      </c>
    </row>
    <row r="60" spans="1:158" ht="17.25" thickBot="1" x14ac:dyDescent="0.3">
      <c r="A60" s="226">
        <v>46121</v>
      </c>
      <c r="B60" s="227" t="s">
        <v>614</v>
      </c>
      <c r="C60" s="227" t="s">
        <v>582</v>
      </c>
      <c r="D60" s="228">
        <v>150</v>
      </c>
      <c r="E60" s="231">
        <v>4431.3</v>
      </c>
      <c r="F60" s="231">
        <v>4383.8</v>
      </c>
      <c r="G60" s="228">
        <v>47.5</v>
      </c>
      <c r="H60" s="229">
        <v>1.0800000000000001E-2</v>
      </c>
      <c r="I60" s="231">
        <v>4415.6000000000004</v>
      </c>
      <c r="J60" s="231">
        <v>4368.8</v>
      </c>
      <c r="K60" s="228">
        <v>46.8</v>
      </c>
      <c r="L60" s="229">
        <v>1.0699999999999999E-2</v>
      </c>
      <c r="M60" s="231">
        <v>4431.3</v>
      </c>
      <c r="N60" s="231">
        <v>4383.8</v>
      </c>
      <c r="O60" s="228">
        <v>47.5</v>
      </c>
      <c r="P60" s="229">
        <v>1.0800000000000001E-2</v>
      </c>
      <c r="Q60" s="231">
        <v>4423.8</v>
      </c>
      <c r="R60" s="231">
        <v>4378.1000000000004</v>
      </c>
      <c r="S60" s="228">
        <v>45.7</v>
      </c>
      <c r="T60" s="229">
        <v>1.04E-2</v>
      </c>
      <c r="U60" s="231">
        <v>4412</v>
      </c>
      <c r="V60" s="231">
        <v>4379.7</v>
      </c>
      <c r="W60" s="228">
        <v>32.299999999999997</v>
      </c>
      <c r="X60" s="229">
        <v>7.4000000000000003E-3</v>
      </c>
      <c r="Y60" s="228">
        <v>15.7</v>
      </c>
      <c r="Z60" s="228">
        <v>15</v>
      </c>
      <c r="AA60" s="228">
        <v>0.7</v>
      </c>
      <c r="AB60" s="229">
        <v>3.5999999999999999E-3</v>
      </c>
      <c r="AC60" s="228">
        <v>15.7</v>
      </c>
      <c r="AD60" s="228">
        <v>15</v>
      </c>
      <c r="AE60" s="228">
        <v>0.7</v>
      </c>
      <c r="AF60" s="229">
        <v>3.5999999999999999E-3</v>
      </c>
      <c r="AG60" s="228">
        <v>8.1999999999999993</v>
      </c>
      <c r="AH60" s="228">
        <v>9.3000000000000007</v>
      </c>
      <c r="AI60" s="228">
        <v>-1.1000000000000001</v>
      </c>
      <c r="AJ60" s="229">
        <v>1.9E-3</v>
      </c>
      <c r="AK60" s="228">
        <v>-3.6</v>
      </c>
      <c r="AL60" s="228">
        <v>10.9</v>
      </c>
      <c r="AM60" s="228">
        <v>-14.5</v>
      </c>
      <c r="AN60" s="229">
        <v>-8.0000000000000004E-4</v>
      </c>
      <c r="AO60" s="231">
        <v>4415.7</v>
      </c>
      <c r="AP60" s="231">
        <v>4400.4399999999996</v>
      </c>
      <c r="AQ60" s="228">
        <v>0</v>
      </c>
      <c r="AR60" s="230">
        <v>690900</v>
      </c>
      <c r="AS60" s="230">
        <v>1401750</v>
      </c>
      <c r="AT60" s="230">
        <v>-710850</v>
      </c>
      <c r="AU60" s="229">
        <v>-0.5071</v>
      </c>
      <c r="AV60" s="230">
        <v>663150</v>
      </c>
      <c r="AW60" s="230">
        <v>1332600</v>
      </c>
      <c r="AX60" s="230">
        <v>-669450</v>
      </c>
      <c r="AY60" s="229">
        <v>-0.50239999999999996</v>
      </c>
      <c r="AZ60" s="230">
        <v>24900</v>
      </c>
      <c r="BA60" s="230">
        <v>57000</v>
      </c>
      <c r="BB60" s="230">
        <v>-32100</v>
      </c>
      <c r="BC60" s="229">
        <v>-0.56320000000000003</v>
      </c>
      <c r="BD60" s="230">
        <v>2850</v>
      </c>
      <c r="BE60" s="230">
        <v>12150</v>
      </c>
      <c r="BF60" s="230">
        <v>-9300</v>
      </c>
      <c r="BG60" s="229">
        <v>-0.76539999999999997</v>
      </c>
      <c r="BH60" s="230">
        <v>1942050</v>
      </c>
      <c r="BI60" s="230">
        <v>3335250</v>
      </c>
      <c r="BJ60" s="230">
        <v>-1393200</v>
      </c>
      <c r="BK60" s="229">
        <v>-0.41770000000000002</v>
      </c>
      <c r="BL60" s="230">
        <v>1132200</v>
      </c>
      <c r="BM60" s="230">
        <v>2093700</v>
      </c>
      <c r="BN60" s="230">
        <v>-961500</v>
      </c>
      <c r="BO60" s="229">
        <v>-0.4592</v>
      </c>
      <c r="BP60" s="230">
        <v>3765150</v>
      </c>
      <c r="BQ60" s="230">
        <v>6830700</v>
      </c>
      <c r="BR60" s="230">
        <v>-3065550</v>
      </c>
      <c r="BS60" s="229">
        <v>-0.44879999999999998</v>
      </c>
      <c r="BT60" s="230">
        <v>579291</v>
      </c>
      <c r="BU60" s="230">
        <v>1141030</v>
      </c>
      <c r="BV60" s="230">
        <v>-561739</v>
      </c>
      <c r="BW60" s="229">
        <v>-0.49230000000000002</v>
      </c>
      <c r="BX60" s="230">
        <v>4195050</v>
      </c>
      <c r="BY60" s="230">
        <v>4235700</v>
      </c>
      <c r="BZ60" s="230">
        <v>-40650</v>
      </c>
      <c r="CA60" s="229">
        <v>-9.5999999999999992E-3</v>
      </c>
      <c r="CB60" s="230">
        <v>4104900</v>
      </c>
      <c r="CC60" s="230">
        <v>4147800</v>
      </c>
      <c r="CD60" s="230">
        <v>-42900</v>
      </c>
      <c r="CE60" s="229">
        <v>-1.03E-2</v>
      </c>
      <c r="CF60" s="230">
        <v>77400</v>
      </c>
      <c r="CG60" s="230">
        <v>75750</v>
      </c>
      <c r="CH60" s="230">
        <v>1650</v>
      </c>
      <c r="CI60" s="229">
        <v>2.18E-2</v>
      </c>
      <c r="CJ60" s="230">
        <v>12750</v>
      </c>
      <c r="CK60" s="230">
        <v>12150</v>
      </c>
      <c r="CL60" s="228">
        <v>600</v>
      </c>
      <c r="CM60" s="229">
        <v>4.9399999999999999E-2</v>
      </c>
      <c r="CN60" s="230">
        <v>1746900</v>
      </c>
      <c r="CO60" s="230">
        <v>1842450</v>
      </c>
      <c r="CP60" s="230">
        <v>-95550</v>
      </c>
      <c r="CQ60" s="229">
        <v>-5.1900000000000002E-2</v>
      </c>
      <c r="CR60" s="230">
        <v>1412100</v>
      </c>
      <c r="CS60" s="230">
        <v>1539450</v>
      </c>
      <c r="CT60" s="230">
        <v>-127350</v>
      </c>
      <c r="CU60" s="229">
        <v>-8.2699999999999996E-2</v>
      </c>
      <c r="CV60" s="230">
        <v>7354050</v>
      </c>
      <c r="CW60" s="230">
        <v>7617600</v>
      </c>
      <c r="CX60" s="230">
        <v>-263550</v>
      </c>
      <c r="CY60" s="229">
        <v>-3.4599999999999999E-2</v>
      </c>
      <c r="CZ60" s="228">
        <v>32.299999999999997</v>
      </c>
      <c r="DA60" s="228">
        <v>34.229999999999997</v>
      </c>
      <c r="DB60" s="228">
        <v>-1.93</v>
      </c>
      <c r="DC60" s="228">
        <v>-1.93</v>
      </c>
      <c r="DD60" s="228">
        <v>32.93</v>
      </c>
      <c r="DE60" s="228">
        <v>32.979999999999997</v>
      </c>
      <c r="DF60" s="228">
        <v>-0.63</v>
      </c>
      <c r="DG60" s="228">
        <v>-0.05</v>
      </c>
      <c r="DH60" s="228">
        <v>31.7</v>
      </c>
      <c r="DI60" s="228">
        <v>33.840000000000003</v>
      </c>
      <c r="DJ60" s="228">
        <v>-2.14</v>
      </c>
      <c r="DK60" s="228">
        <v>-2.14</v>
      </c>
      <c r="DL60" s="228">
        <v>33.340000000000003</v>
      </c>
      <c r="DM60" s="228">
        <v>34.840000000000003</v>
      </c>
      <c r="DN60" s="228">
        <v>-1.5</v>
      </c>
      <c r="DO60" s="228">
        <v>-1.5</v>
      </c>
      <c r="DP60" s="228">
        <v>0.81</v>
      </c>
      <c r="DQ60" s="228">
        <v>0.84</v>
      </c>
      <c r="DR60" s="228">
        <v>-0.03</v>
      </c>
      <c r="DS60" s="229">
        <v>-3.5700000000000003E-2</v>
      </c>
      <c r="DT60" s="231">
        <v>4500</v>
      </c>
      <c r="DU60" s="231">
        <v>3700</v>
      </c>
      <c r="DV60" s="228">
        <v>0.57999999999999996</v>
      </c>
      <c r="DW60" s="228">
        <v>0.63</v>
      </c>
      <c r="DX60" s="228">
        <v>-0.05</v>
      </c>
      <c r="DY60" s="229">
        <v>-7.9399999999999998E-2</v>
      </c>
      <c r="DZ60" s="229">
        <v>2.1499999999999998E-2</v>
      </c>
      <c r="EA60" s="230">
        <v>87900</v>
      </c>
      <c r="EB60" s="229">
        <v>-1.6999999999999999E-3</v>
      </c>
      <c r="EC60" s="229">
        <v>2.1499999999999998E-2</v>
      </c>
      <c r="ED60" s="228">
        <v>-15.26</v>
      </c>
      <c r="EE60" s="229">
        <v>-3.5000000000000001E-3</v>
      </c>
      <c r="EF60" s="230">
        <v>280380</v>
      </c>
      <c r="EG60" s="230">
        <v>574059</v>
      </c>
      <c r="EH60" s="229">
        <v>-0.51160000000000005</v>
      </c>
      <c r="EI60" s="229">
        <v>0.48399999999999999</v>
      </c>
      <c r="EJ60" s="231">
        <v>90545.61</v>
      </c>
      <c r="EK60" s="231">
        <v>48952.12</v>
      </c>
      <c r="EL60" s="231">
        <v>30503.81</v>
      </c>
      <c r="EM60" s="231">
        <v>8460</v>
      </c>
      <c r="EN60" s="231">
        <v>170001.54</v>
      </c>
      <c r="EO60" s="231">
        <v>309439.99</v>
      </c>
      <c r="EP60" s="231">
        <v>-139438.45000000001</v>
      </c>
      <c r="EQ60" s="229">
        <v>-0.4506</v>
      </c>
      <c r="ER60" s="231">
        <v>77578</v>
      </c>
      <c r="ES60" s="231">
        <v>57386</v>
      </c>
      <c r="ET60" s="231">
        <v>185887</v>
      </c>
      <c r="EU60" s="231">
        <v>16494391</v>
      </c>
      <c r="EV60" s="231">
        <v>320851</v>
      </c>
      <c r="EW60" s="231">
        <v>330297</v>
      </c>
      <c r="EX60" s="231">
        <v>-9446</v>
      </c>
      <c r="EY60" s="229">
        <v>-2.86E-2</v>
      </c>
      <c r="EZ60" s="229">
        <v>0.44590000000000002</v>
      </c>
      <c r="FA60" s="227" t="s">
        <v>694</v>
      </c>
      <c r="FB60" s="161">
        <f t="shared" si="0"/>
        <v>90150</v>
      </c>
    </row>
    <row r="61" spans="1:158" ht="17.25" thickBot="1" x14ac:dyDescent="0.3">
      <c r="A61" s="226">
        <v>46121</v>
      </c>
      <c r="B61" s="227" t="s">
        <v>170</v>
      </c>
      <c r="C61" s="227" t="s">
        <v>208</v>
      </c>
      <c r="D61" s="228">
        <v>625</v>
      </c>
      <c r="E61" s="231">
        <v>1216.9000000000001</v>
      </c>
      <c r="F61" s="231">
        <v>1193</v>
      </c>
      <c r="G61" s="228">
        <v>23.9</v>
      </c>
      <c r="H61" s="229">
        <v>0.02</v>
      </c>
      <c r="I61" s="231">
        <v>1211.9000000000001</v>
      </c>
      <c r="J61" s="231">
        <v>1191.4000000000001</v>
      </c>
      <c r="K61" s="228">
        <v>20.5</v>
      </c>
      <c r="L61" s="229">
        <v>1.72E-2</v>
      </c>
      <c r="M61" s="231">
        <v>1216.9000000000001</v>
      </c>
      <c r="N61" s="231">
        <v>1193</v>
      </c>
      <c r="O61" s="228">
        <v>23.9</v>
      </c>
      <c r="P61" s="229">
        <v>0.02</v>
      </c>
      <c r="Q61" s="231">
        <v>1221.9000000000001</v>
      </c>
      <c r="R61" s="231">
        <v>1198.2</v>
      </c>
      <c r="S61" s="228">
        <v>23.7</v>
      </c>
      <c r="T61" s="229">
        <v>1.9800000000000002E-2</v>
      </c>
      <c r="U61" s="231">
        <v>1228.3</v>
      </c>
      <c r="V61" s="231">
        <v>1204.3</v>
      </c>
      <c r="W61" s="228">
        <v>24</v>
      </c>
      <c r="X61" s="229">
        <v>1.9900000000000001E-2</v>
      </c>
      <c r="Y61" s="228">
        <v>5</v>
      </c>
      <c r="Z61" s="228">
        <v>1.6</v>
      </c>
      <c r="AA61" s="228">
        <v>3.4</v>
      </c>
      <c r="AB61" s="229">
        <v>4.1000000000000003E-3</v>
      </c>
      <c r="AC61" s="228">
        <v>5</v>
      </c>
      <c r="AD61" s="228">
        <v>1.6</v>
      </c>
      <c r="AE61" s="228">
        <v>3.4</v>
      </c>
      <c r="AF61" s="229">
        <v>4.1000000000000003E-3</v>
      </c>
      <c r="AG61" s="228">
        <v>10</v>
      </c>
      <c r="AH61" s="228">
        <v>6.8</v>
      </c>
      <c r="AI61" s="228">
        <v>3.2</v>
      </c>
      <c r="AJ61" s="229">
        <v>8.3000000000000001E-3</v>
      </c>
      <c r="AK61" s="228">
        <v>16.399999999999999</v>
      </c>
      <c r="AL61" s="228">
        <v>12.9</v>
      </c>
      <c r="AM61" s="228">
        <v>3.5</v>
      </c>
      <c r="AN61" s="229">
        <v>1.35E-2</v>
      </c>
      <c r="AO61" s="231">
        <v>1210.9000000000001</v>
      </c>
      <c r="AP61" s="231">
        <v>1215.02</v>
      </c>
      <c r="AQ61" s="228">
        <v>0</v>
      </c>
      <c r="AR61" s="230">
        <v>2705000</v>
      </c>
      <c r="AS61" s="230">
        <v>3396875</v>
      </c>
      <c r="AT61" s="230">
        <v>-691875</v>
      </c>
      <c r="AU61" s="229">
        <v>-0.20369999999999999</v>
      </c>
      <c r="AV61" s="230">
        <v>2543125</v>
      </c>
      <c r="AW61" s="230">
        <v>3185000</v>
      </c>
      <c r="AX61" s="230">
        <v>-641875</v>
      </c>
      <c r="AY61" s="229">
        <v>-0.20150000000000001</v>
      </c>
      <c r="AZ61" s="230">
        <v>135000</v>
      </c>
      <c r="BA61" s="230">
        <v>196875</v>
      </c>
      <c r="BB61" s="230">
        <v>-61875</v>
      </c>
      <c r="BC61" s="229">
        <v>-0.31430000000000002</v>
      </c>
      <c r="BD61" s="230">
        <v>26875</v>
      </c>
      <c r="BE61" s="230">
        <v>15000</v>
      </c>
      <c r="BF61" s="230">
        <v>11875</v>
      </c>
      <c r="BG61" s="229">
        <v>0.79169999999999996</v>
      </c>
      <c r="BH61" s="230">
        <v>8346250</v>
      </c>
      <c r="BI61" s="230">
        <v>8331875</v>
      </c>
      <c r="BJ61" s="230">
        <v>14375</v>
      </c>
      <c r="BK61" s="229">
        <v>1.6999999999999999E-3</v>
      </c>
      <c r="BL61" s="230">
        <v>5626875</v>
      </c>
      <c r="BM61" s="230">
        <v>4946875</v>
      </c>
      <c r="BN61" s="230">
        <v>680000</v>
      </c>
      <c r="BO61" s="229">
        <v>0.13750000000000001</v>
      </c>
      <c r="BP61" s="230">
        <v>16678125</v>
      </c>
      <c r="BQ61" s="230">
        <v>16675625</v>
      </c>
      <c r="BR61" s="230">
        <v>2500</v>
      </c>
      <c r="BS61" s="229">
        <v>1E-4</v>
      </c>
      <c r="BT61" s="230">
        <v>2822468</v>
      </c>
      <c r="BU61" s="230">
        <v>2493528</v>
      </c>
      <c r="BV61" s="230">
        <v>328940</v>
      </c>
      <c r="BW61" s="229">
        <v>0.13189999999999999</v>
      </c>
      <c r="BX61" s="230">
        <v>13411875</v>
      </c>
      <c r="BY61" s="230">
        <v>13710000</v>
      </c>
      <c r="BZ61" s="230">
        <v>-298125</v>
      </c>
      <c r="CA61" s="229">
        <v>-2.1700000000000001E-2</v>
      </c>
      <c r="CB61" s="230">
        <v>12988125</v>
      </c>
      <c r="CC61" s="230">
        <v>13260625</v>
      </c>
      <c r="CD61" s="230">
        <v>-272500</v>
      </c>
      <c r="CE61" s="229">
        <v>-2.0500000000000001E-2</v>
      </c>
      <c r="CF61" s="230">
        <v>344375</v>
      </c>
      <c r="CG61" s="230">
        <v>365625</v>
      </c>
      <c r="CH61" s="230">
        <v>-21250</v>
      </c>
      <c r="CI61" s="229">
        <v>-5.8099999999999999E-2</v>
      </c>
      <c r="CJ61" s="230">
        <v>79375</v>
      </c>
      <c r="CK61" s="230">
        <v>83750</v>
      </c>
      <c r="CL61" s="230">
        <v>-4375</v>
      </c>
      <c r="CM61" s="229">
        <v>-5.2200000000000003E-2</v>
      </c>
      <c r="CN61" s="230">
        <v>5693125</v>
      </c>
      <c r="CO61" s="230">
        <v>6451250</v>
      </c>
      <c r="CP61" s="230">
        <v>-758125</v>
      </c>
      <c r="CQ61" s="229">
        <v>-0.11749999999999999</v>
      </c>
      <c r="CR61" s="230">
        <v>4359375</v>
      </c>
      <c r="CS61" s="230">
        <v>5103750</v>
      </c>
      <c r="CT61" s="230">
        <v>-744375</v>
      </c>
      <c r="CU61" s="229">
        <v>-0.14580000000000001</v>
      </c>
      <c r="CV61" s="230">
        <v>23464375</v>
      </c>
      <c r="CW61" s="230">
        <v>25265000</v>
      </c>
      <c r="CX61" s="230">
        <v>-1800625</v>
      </c>
      <c r="CY61" s="229">
        <v>-7.1300000000000002E-2</v>
      </c>
      <c r="CZ61" s="228">
        <v>26.7</v>
      </c>
      <c r="DA61" s="228">
        <v>28.07</v>
      </c>
      <c r="DB61" s="228">
        <v>-1.37</v>
      </c>
      <c r="DC61" s="228">
        <v>-1.37</v>
      </c>
      <c r="DD61" s="228">
        <v>26.14</v>
      </c>
      <c r="DE61" s="228">
        <v>26.11</v>
      </c>
      <c r="DF61" s="228">
        <v>0.56000000000000005</v>
      </c>
      <c r="DG61" s="228">
        <v>0.03</v>
      </c>
      <c r="DH61" s="228">
        <v>25.77</v>
      </c>
      <c r="DI61" s="228">
        <v>27.93</v>
      </c>
      <c r="DJ61" s="228">
        <v>-2.16</v>
      </c>
      <c r="DK61" s="228">
        <v>-2.16</v>
      </c>
      <c r="DL61" s="228">
        <v>28.07</v>
      </c>
      <c r="DM61" s="228">
        <v>28.32</v>
      </c>
      <c r="DN61" s="228">
        <v>-0.25</v>
      </c>
      <c r="DO61" s="228">
        <v>-0.25</v>
      </c>
      <c r="DP61" s="228">
        <v>0.77</v>
      </c>
      <c r="DQ61" s="228">
        <v>0.79</v>
      </c>
      <c r="DR61" s="228">
        <v>-0.02</v>
      </c>
      <c r="DS61" s="229">
        <v>-2.53E-2</v>
      </c>
      <c r="DT61" s="231">
        <v>1260</v>
      </c>
      <c r="DU61" s="231">
        <v>1200</v>
      </c>
      <c r="DV61" s="228">
        <v>0.67</v>
      </c>
      <c r="DW61" s="228">
        <v>0.59</v>
      </c>
      <c r="DX61" s="228">
        <v>0.08</v>
      </c>
      <c r="DY61" s="229">
        <v>0.1356</v>
      </c>
      <c r="DZ61" s="229">
        <v>3.1600000000000003E-2</v>
      </c>
      <c r="EA61" s="230">
        <v>449375</v>
      </c>
      <c r="EB61" s="229">
        <v>4.1000000000000003E-3</v>
      </c>
      <c r="EC61" s="229">
        <v>3.1600000000000003E-2</v>
      </c>
      <c r="ED61" s="228">
        <v>4.12</v>
      </c>
      <c r="EE61" s="229">
        <v>3.3999999999999998E-3</v>
      </c>
      <c r="EF61" s="230">
        <v>1753449</v>
      </c>
      <c r="EG61" s="230">
        <v>1474197</v>
      </c>
      <c r="EH61" s="229">
        <v>0.18940000000000001</v>
      </c>
      <c r="EI61" s="229">
        <v>0.62119999999999997</v>
      </c>
      <c r="EJ61" s="231">
        <v>104804.95</v>
      </c>
      <c r="EK61" s="231">
        <v>66390.710000000006</v>
      </c>
      <c r="EL61" s="231">
        <v>32763.5</v>
      </c>
      <c r="EM61" s="231">
        <v>5339</v>
      </c>
      <c r="EN61" s="231">
        <v>203959.16</v>
      </c>
      <c r="EO61" s="231">
        <v>203684.12</v>
      </c>
      <c r="EP61" s="228">
        <v>275.04000000000002</v>
      </c>
      <c r="EQ61" s="229">
        <v>1.4E-3</v>
      </c>
      <c r="ER61" s="231">
        <v>71733</v>
      </c>
      <c r="ES61" s="231">
        <v>51409</v>
      </c>
      <c r="ET61" s="231">
        <v>163235</v>
      </c>
      <c r="EU61" s="231">
        <v>61026255</v>
      </c>
      <c r="EV61" s="231">
        <v>286377</v>
      </c>
      <c r="EW61" s="231">
        <v>304398</v>
      </c>
      <c r="EX61" s="231">
        <v>-18021</v>
      </c>
      <c r="EY61" s="229">
        <v>-5.9200000000000003E-2</v>
      </c>
      <c r="EZ61" s="229">
        <v>0.38450000000000001</v>
      </c>
      <c r="FA61" s="227" t="s">
        <v>694</v>
      </c>
      <c r="FB61" s="161">
        <f t="shared" si="0"/>
        <v>423750</v>
      </c>
    </row>
    <row r="62" spans="1:158" ht="17.25" thickBot="1" x14ac:dyDescent="0.3">
      <c r="A62" s="226">
        <v>46121</v>
      </c>
      <c r="B62" s="227" t="s">
        <v>162</v>
      </c>
      <c r="C62" s="227" t="s">
        <v>209</v>
      </c>
      <c r="D62" s="228">
        <v>100</v>
      </c>
      <c r="E62" s="231">
        <v>7161</v>
      </c>
      <c r="F62" s="231">
        <v>7163</v>
      </c>
      <c r="G62" s="228">
        <v>-2</v>
      </c>
      <c r="H62" s="229">
        <v>-2.9999999999999997E-4</v>
      </c>
      <c r="I62" s="231">
        <v>7147.5</v>
      </c>
      <c r="J62" s="231">
        <v>7131</v>
      </c>
      <c r="K62" s="228">
        <v>16.5</v>
      </c>
      <c r="L62" s="229">
        <v>2.3E-3</v>
      </c>
      <c r="M62" s="231">
        <v>7161</v>
      </c>
      <c r="N62" s="231">
        <v>7163</v>
      </c>
      <c r="O62" s="228">
        <v>-2</v>
      </c>
      <c r="P62" s="229">
        <v>-2.9999999999999997E-4</v>
      </c>
      <c r="Q62" s="231">
        <v>7202</v>
      </c>
      <c r="R62" s="231">
        <v>7200.5</v>
      </c>
      <c r="S62" s="228">
        <v>1.5</v>
      </c>
      <c r="T62" s="229">
        <v>2.0000000000000001E-4</v>
      </c>
      <c r="U62" s="231">
        <v>7236.5</v>
      </c>
      <c r="V62" s="231">
        <v>7235.5</v>
      </c>
      <c r="W62" s="228">
        <v>1</v>
      </c>
      <c r="X62" s="229">
        <v>1E-4</v>
      </c>
      <c r="Y62" s="228">
        <v>13.5</v>
      </c>
      <c r="Z62" s="228">
        <v>32</v>
      </c>
      <c r="AA62" s="228">
        <v>-18.5</v>
      </c>
      <c r="AB62" s="229">
        <v>1.9E-3</v>
      </c>
      <c r="AC62" s="228">
        <v>13.5</v>
      </c>
      <c r="AD62" s="228">
        <v>32</v>
      </c>
      <c r="AE62" s="228">
        <v>-18.5</v>
      </c>
      <c r="AF62" s="229">
        <v>1.9E-3</v>
      </c>
      <c r="AG62" s="228">
        <v>54.5</v>
      </c>
      <c r="AH62" s="228">
        <v>69.5</v>
      </c>
      <c r="AI62" s="228">
        <v>-15</v>
      </c>
      <c r="AJ62" s="229">
        <v>7.6E-3</v>
      </c>
      <c r="AK62" s="228">
        <v>89</v>
      </c>
      <c r="AL62" s="228">
        <v>104.5</v>
      </c>
      <c r="AM62" s="228">
        <v>-15.5</v>
      </c>
      <c r="AN62" s="229">
        <v>1.2500000000000001E-2</v>
      </c>
      <c r="AO62" s="231">
        <v>7136.4</v>
      </c>
      <c r="AP62" s="231">
        <v>7170.08</v>
      </c>
      <c r="AQ62" s="228">
        <v>0</v>
      </c>
      <c r="AR62" s="230">
        <v>710400</v>
      </c>
      <c r="AS62" s="230">
        <v>1019900</v>
      </c>
      <c r="AT62" s="230">
        <v>-309500</v>
      </c>
      <c r="AU62" s="229">
        <v>-0.30349999999999999</v>
      </c>
      <c r="AV62" s="230">
        <v>632400</v>
      </c>
      <c r="AW62" s="230">
        <v>968500</v>
      </c>
      <c r="AX62" s="230">
        <v>-336100</v>
      </c>
      <c r="AY62" s="229">
        <v>-0.34699999999999998</v>
      </c>
      <c r="AZ62" s="230">
        <v>23800</v>
      </c>
      <c r="BA62" s="230">
        <v>45900</v>
      </c>
      <c r="BB62" s="230">
        <v>-22100</v>
      </c>
      <c r="BC62" s="229">
        <v>-0.48149999999999998</v>
      </c>
      <c r="BD62" s="230">
        <v>54200</v>
      </c>
      <c r="BE62" s="230">
        <v>5500</v>
      </c>
      <c r="BF62" s="230">
        <v>48700</v>
      </c>
      <c r="BG62" s="229">
        <v>8.8544999999999998</v>
      </c>
      <c r="BH62" s="230">
        <v>2019700</v>
      </c>
      <c r="BI62" s="230">
        <v>4462800</v>
      </c>
      <c r="BJ62" s="230">
        <v>-2443100</v>
      </c>
      <c r="BK62" s="229">
        <v>-0.5474</v>
      </c>
      <c r="BL62" s="230">
        <v>1586900</v>
      </c>
      <c r="BM62" s="230">
        <v>1965000</v>
      </c>
      <c r="BN62" s="230">
        <v>-378100</v>
      </c>
      <c r="BO62" s="229">
        <v>-0.19239999999999999</v>
      </c>
      <c r="BP62" s="230">
        <v>4317000</v>
      </c>
      <c r="BQ62" s="230">
        <v>7447700</v>
      </c>
      <c r="BR62" s="230">
        <v>-3130700</v>
      </c>
      <c r="BS62" s="229">
        <v>-0.4204</v>
      </c>
      <c r="BT62" s="230">
        <v>670487</v>
      </c>
      <c r="BU62" s="230">
        <v>964888</v>
      </c>
      <c r="BV62" s="230">
        <v>-294401</v>
      </c>
      <c r="BW62" s="229">
        <v>-0.30509999999999998</v>
      </c>
      <c r="BX62" s="230">
        <v>4174800</v>
      </c>
      <c r="BY62" s="230">
        <v>4258600</v>
      </c>
      <c r="BZ62" s="230">
        <v>-83800</v>
      </c>
      <c r="CA62" s="229">
        <v>-1.9699999999999999E-2</v>
      </c>
      <c r="CB62" s="230">
        <v>3795300</v>
      </c>
      <c r="CC62" s="230">
        <v>3933800</v>
      </c>
      <c r="CD62" s="230">
        <v>-138500</v>
      </c>
      <c r="CE62" s="229">
        <v>-3.5200000000000002E-2</v>
      </c>
      <c r="CF62" s="230">
        <v>251500</v>
      </c>
      <c r="CG62" s="230">
        <v>247000</v>
      </c>
      <c r="CH62" s="230">
        <v>4500</v>
      </c>
      <c r="CI62" s="229">
        <v>1.8200000000000001E-2</v>
      </c>
      <c r="CJ62" s="230">
        <v>128000</v>
      </c>
      <c r="CK62" s="230">
        <v>77800</v>
      </c>
      <c r="CL62" s="230">
        <v>50200</v>
      </c>
      <c r="CM62" s="229">
        <v>0.6452</v>
      </c>
      <c r="CN62" s="230">
        <v>1401800</v>
      </c>
      <c r="CO62" s="230">
        <v>1388900</v>
      </c>
      <c r="CP62" s="230">
        <v>12900</v>
      </c>
      <c r="CQ62" s="229">
        <v>9.2999999999999992E-3</v>
      </c>
      <c r="CR62" s="230">
        <v>1233300</v>
      </c>
      <c r="CS62" s="230">
        <v>1079000</v>
      </c>
      <c r="CT62" s="230">
        <v>154300</v>
      </c>
      <c r="CU62" s="229">
        <v>0.14299999999999999</v>
      </c>
      <c r="CV62" s="230">
        <v>6809900</v>
      </c>
      <c r="CW62" s="230">
        <v>6726500</v>
      </c>
      <c r="CX62" s="230">
        <v>83400</v>
      </c>
      <c r="CY62" s="229">
        <v>1.24E-2</v>
      </c>
      <c r="CZ62" s="228">
        <v>32.159999999999997</v>
      </c>
      <c r="DA62" s="228">
        <v>31.67</v>
      </c>
      <c r="DB62" s="228">
        <v>0.49</v>
      </c>
      <c r="DC62" s="228">
        <v>0.49</v>
      </c>
      <c r="DD62" s="228">
        <v>33.11</v>
      </c>
      <c r="DE62" s="228">
        <v>33.200000000000003</v>
      </c>
      <c r="DF62" s="228">
        <v>-0.95</v>
      </c>
      <c r="DG62" s="228">
        <v>-0.09</v>
      </c>
      <c r="DH62" s="228">
        <v>30.58</v>
      </c>
      <c r="DI62" s="228">
        <v>30.67</v>
      </c>
      <c r="DJ62" s="228">
        <v>-0.09</v>
      </c>
      <c r="DK62" s="228">
        <v>-0.09</v>
      </c>
      <c r="DL62" s="228">
        <v>34.17</v>
      </c>
      <c r="DM62" s="228">
        <v>33.94</v>
      </c>
      <c r="DN62" s="228">
        <v>0.23</v>
      </c>
      <c r="DO62" s="228">
        <v>0.23</v>
      </c>
      <c r="DP62" s="228">
        <v>0.88</v>
      </c>
      <c r="DQ62" s="228">
        <v>0.78</v>
      </c>
      <c r="DR62" s="228">
        <v>0.1</v>
      </c>
      <c r="DS62" s="229">
        <v>0.12820000000000001</v>
      </c>
      <c r="DT62" s="231">
        <v>8000</v>
      </c>
      <c r="DU62" s="231">
        <v>6500</v>
      </c>
      <c r="DV62" s="228">
        <v>0.79</v>
      </c>
      <c r="DW62" s="228">
        <v>0.44</v>
      </c>
      <c r="DX62" s="228">
        <v>0.35</v>
      </c>
      <c r="DY62" s="229">
        <v>0.79549999999999998</v>
      </c>
      <c r="DZ62" s="229">
        <v>9.0899999999999995E-2</v>
      </c>
      <c r="EA62" s="230">
        <v>324800</v>
      </c>
      <c r="EB62" s="229">
        <v>5.7000000000000002E-3</v>
      </c>
      <c r="EC62" s="229">
        <v>9.0899999999999995E-2</v>
      </c>
      <c r="ED62" s="228">
        <v>33.68</v>
      </c>
      <c r="EE62" s="229">
        <v>4.7000000000000002E-3</v>
      </c>
      <c r="EF62" s="230">
        <v>338274</v>
      </c>
      <c r="EG62" s="230">
        <v>450967</v>
      </c>
      <c r="EH62" s="229">
        <v>-0.24990000000000001</v>
      </c>
      <c r="EI62" s="229">
        <v>0.50449999999999995</v>
      </c>
      <c r="EJ62" s="231">
        <v>151790.34</v>
      </c>
      <c r="EK62" s="231">
        <v>110081.22</v>
      </c>
      <c r="EL62" s="231">
        <v>50758.26</v>
      </c>
      <c r="EM62" s="231">
        <v>7806</v>
      </c>
      <c r="EN62" s="231">
        <v>312629.82</v>
      </c>
      <c r="EO62" s="231">
        <v>539412.43999999994</v>
      </c>
      <c r="EP62" s="231">
        <v>-226782.62</v>
      </c>
      <c r="EQ62" s="229">
        <v>-0.4204</v>
      </c>
      <c r="ER62" s="231">
        <v>102993</v>
      </c>
      <c r="ES62" s="231">
        <v>84600</v>
      </c>
      <c r="ET62" s="231">
        <v>299157</v>
      </c>
      <c r="EU62" s="231">
        <v>20960143</v>
      </c>
      <c r="EV62" s="231">
        <v>486751</v>
      </c>
      <c r="EW62" s="231">
        <v>481258</v>
      </c>
      <c r="EX62" s="231">
        <v>5493</v>
      </c>
      <c r="EY62" s="229">
        <v>1.14E-2</v>
      </c>
      <c r="EZ62" s="229">
        <v>0.32490000000000002</v>
      </c>
      <c r="FA62" s="227" t="s">
        <v>567</v>
      </c>
      <c r="FB62" s="161">
        <f t="shared" si="0"/>
        <v>379500</v>
      </c>
    </row>
    <row r="63" spans="1:158" ht="17.25" thickBot="1" x14ac:dyDescent="0.3">
      <c r="A63" s="226">
        <v>46121</v>
      </c>
      <c r="B63" s="227" t="s">
        <v>614</v>
      </c>
      <c r="C63" s="227" t="s">
        <v>665</v>
      </c>
      <c r="D63" s="228">
        <v>2425</v>
      </c>
      <c r="E63" s="228">
        <v>238.9</v>
      </c>
      <c r="F63" s="228">
        <v>244.92</v>
      </c>
      <c r="G63" s="228">
        <v>-6.02</v>
      </c>
      <c r="H63" s="229">
        <v>-2.46E-2</v>
      </c>
      <c r="I63" s="228">
        <v>237.89</v>
      </c>
      <c r="J63" s="228">
        <v>243.62</v>
      </c>
      <c r="K63" s="228">
        <v>-5.73</v>
      </c>
      <c r="L63" s="229">
        <v>-2.35E-2</v>
      </c>
      <c r="M63" s="228">
        <v>238.9</v>
      </c>
      <c r="N63" s="228">
        <v>244.92</v>
      </c>
      <c r="O63" s="228">
        <v>-6.02</v>
      </c>
      <c r="P63" s="229">
        <v>-2.46E-2</v>
      </c>
      <c r="Q63" s="228">
        <v>240.17</v>
      </c>
      <c r="R63" s="228">
        <v>246.38</v>
      </c>
      <c r="S63" s="228">
        <v>-6.21</v>
      </c>
      <c r="T63" s="229">
        <v>-2.52E-2</v>
      </c>
      <c r="U63" s="228">
        <v>241.54</v>
      </c>
      <c r="V63" s="228">
        <v>247.97</v>
      </c>
      <c r="W63" s="228">
        <v>-6.43</v>
      </c>
      <c r="X63" s="229">
        <v>-2.5899999999999999E-2</v>
      </c>
      <c r="Y63" s="228">
        <v>1.01</v>
      </c>
      <c r="Z63" s="228">
        <v>1.3</v>
      </c>
      <c r="AA63" s="228">
        <v>-0.28999999999999998</v>
      </c>
      <c r="AB63" s="229">
        <v>4.1999999999999997E-3</v>
      </c>
      <c r="AC63" s="228">
        <v>1.01</v>
      </c>
      <c r="AD63" s="228">
        <v>1.3</v>
      </c>
      <c r="AE63" s="228">
        <v>-0.28999999999999998</v>
      </c>
      <c r="AF63" s="229">
        <v>4.1999999999999997E-3</v>
      </c>
      <c r="AG63" s="228">
        <v>2.2799999999999998</v>
      </c>
      <c r="AH63" s="228">
        <v>2.76</v>
      </c>
      <c r="AI63" s="228">
        <v>-0.48</v>
      </c>
      <c r="AJ63" s="229">
        <v>9.5999999999999992E-3</v>
      </c>
      <c r="AK63" s="228">
        <v>3.65</v>
      </c>
      <c r="AL63" s="228">
        <v>4.3499999999999996</v>
      </c>
      <c r="AM63" s="228">
        <v>-0.7</v>
      </c>
      <c r="AN63" s="229">
        <v>1.5299999999999999E-2</v>
      </c>
      <c r="AO63" s="228">
        <v>239.81</v>
      </c>
      <c r="AP63" s="228">
        <v>241.6</v>
      </c>
      <c r="AQ63" s="228">
        <v>0</v>
      </c>
      <c r="AR63" s="230">
        <v>25050250</v>
      </c>
      <c r="AS63" s="230">
        <v>34364675</v>
      </c>
      <c r="AT63" s="230">
        <v>-9314425</v>
      </c>
      <c r="AU63" s="229">
        <v>-0.27100000000000002</v>
      </c>
      <c r="AV63" s="230">
        <v>22991425</v>
      </c>
      <c r="AW63" s="230">
        <v>32150650</v>
      </c>
      <c r="AX63" s="230">
        <v>-9159225</v>
      </c>
      <c r="AY63" s="229">
        <v>-0.28489999999999999</v>
      </c>
      <c r="AZ63" s="230">
        <v>1876950</v>
      </c>
      <c r="BA63" s="230">
        <v>1835725</v>
      </c>
      <c r="BB63" s="230">
        <v>41225</v>
      </c>
      <c r="BC63" s="229">
        <v>2.2499999999999999E-2</v>
      </c>
      <c r="BD63" s="230">
        <v>181875</v>
      </c>
      <c r="BE63" s="230">
        <v>378300</v>
      </c>
      <c r="BF63" s="230">
        <v>-196425</v>
      </c>
      <c r="BG63" s="229">
        <v>-0.51919999999999999</v>
      </c>
      <c r="BH63" s="230">
        <v>52593400</v>
      </c>
      <c r="BI63" s="230">
        <v>73186500</v>
      </c>
      <c r="BJ63" s="230">
        <v>-20593100</v>
      </c>
      <c r="BK63" s="229">
        <v>-0.28139999999999998</v>
      </c>
      <c r="BL63" s="230">
        <v>26056625</v>
      </c>
      <c r="BM63" s="230">
        <v>34381650</v>
      </c>
      <c r="BN63" s="230">
        <v>-8325025</v>
      </c>
      <c r="BO63" s="229">
        <v>-0.24210000000000001</v>
      </c>
      <c r="BP63" s="230">
        <v>103700275</v>
      </c>
      <c r="BQ63" s="230">
        <v>141932825</v>
      </c>
      <c r="BR63" s="230">
        <v>-38232550</v>
      </c>
      <c r="BS63" s="229">
        <v>-0.26939999999999997</v>
      </c>
      <c r="BT63" s="230">
        <v>41044908</v>
      </c>
      <c r="BU63" s="230">
        <v>67096573</v>
      </c>
      <c r="BV63" s="230">
        <v>-26051665</v>
      </c>
      <c r="BW63" s="229">
        <v>-0.38829999999999998</v>
      </c>
      <c r="BX63" s="230">
        <v>201558725</v>
      </c>
      <c r="BY63" s="230">
        <v>200828800</v>
      </c>
      <c r="BZ63" s="230">
        <v>729925</v>
      </c>
      <c r="CA63" s="229">
        <v>3.5999999999999999E-3</v>
      </c>
      <c r="CB63" s="230">
        <v>186817150</v>
      </c>
      <c r="CC63" s="230">
        <v>186865650</v>
      </c>
      <c r="CD63" s="230">
        <v>-48500</v>
      </c>
      <c r="CE63" s="229">
        <v>-2.9999999999999997E-4</v>
      </c>
      <c r="CF63" s="230">
        <v>12389325</v>
      </c>
      <c r="CG63" s="230">
        <v>11664250</v>
      </c>
      <c r="CH63" s="230">
        <v>725075</v>
      </c>
      <c r="CI63" s="229">
        <v>6.2199999999999998E-2</v>
      </c>
      <c r="CJ63" s="230">
        <v>2352250</v>
      </c>
      <c r="CK63" s="230">
        <v>2298900</v>
      </c>
      <c r="CL63" s="230">
        <v>53350</v>
      </c>
      <c r="CM63" s="229">
        <v>2.3199999999999998E-2</v>
      </c>
      <c r="CN63" s="230">
        <v>56897775</v>
      </c>
      <c r="CO63" s="230">
        <v>50085950</v>
      </c>
      <c r="CP63" s="230">
        <v>6811825</v>
      </c>
      <c r="CQ63" s="229">
        <v>0.13600000000000001</v>
      </c>
      <c r="CR63" s="230">
        <v>39382000</v>
      </c>
      <c r="CS63" s="230">
        <v>37968225</v>
      </c>
      <c r="CT63" s="230">
        <v>1413775</v>
      </c>
      <c r="CU63" s="229">
        <v>3.7199999999999997E-2</v>
      </c>
      <c r="CV63" s="230">
        <v>297838500</v>
      </c>
      <c r="CW63" s="230">
        <v>288882975</v>
      </c>
      <c r="CX63" s="230">
        <v>8955525</v>
      </c>
      <c r="CY63" s="229">
        <v>3.1E-2</v>
      </c>
      <c r="CZ63" s="228">
        <v>46.65</v>
      </c>
      <c r="DA63" s="228">
        <v>45.76</v>
      </c>
      <c r="DB63" s="228">
        <v>0.89</v>
      </c>
      <c r="DC63" s="228">
        <v>0.89</v>
      </c>
      <c r="DD63" s="228">
        <v>46.26</v>
      </c>
      <c r="DE63" s="228">
        <v>46.27</v>
      </c>
      <c r="DF63" s="228">
        <v>0.39</v>
      </c>
      <c r="DG63" s="228">
        <v>-0.01</v>
      </c>
      <c r="DH63" s="228">
        <v>45.26</v>
      </c>
      <c r="DI63" s="228">
        <v>44.35</v>
      </c>
      <c r="DJ63" s="228">
        <v>0.91</v>
      </c>
      <c r="DK63" s="228">
        <v>0.91</v>
      </c>
      <c r="DL63" s="228">
        <v>49.47</v>
      </c>
      <c r="DM63" s="228">
        <v>48.77</v>
      </c>
      <c r="DN63" s="228">
        <v>0.7</v>
      </c>
      <c r="DO63" s="228">
        <v>0.7</v>
      </c>
      <c r="DP63" s="228">
        <v>0.69</v>
      </c>
      <c r="DQ63" s="228">
        <v>0.76</v>
      </c>
      <c r="DR63" s="228">
        <v>-7.0000000000000007E-2</v>
      </c>
      <c r="DS63" s="229">
        <v>-9.2100000000000001E-2</v>
      </c>
      <c r="DT63" s="228">
        <v>240</v>
      </c>
      <c r="DU63" s="228">
        <v>230</v>
      </c>
      <c r="DV63" s="228">
        <v>0.5</v>
      </c>
      <c r="DW63" s="228">
        <v>0.47</v>
      </c>
      <c r="DX63" s="228">
        <v>0.03</v>
      </c>
      <c r="DY63" s="229">
        <v>6.3799999999999996E-2</v>
      </c>
      <c r="DZ63" s="229">
        <v>7.3099999999999998E-2</v>
      </c>
      <c r="EA63" s="230">
        <v>13963150</v>
      </c>
      <c r="EB63" s="229">
        <v>5.3E-3</v>
      </c>
      <c r="EC63" s="229">
        <v>7.3099999999999998E-2</v>
      </c>
      <c r="ED63" s="228">
        <v>1.79</v>
      </c>
      <c r="EE63" s="229">
        <v>7.4999999999999997E-3</v>
      </c>
      <c r="EF63" s="230">
        <v>19885960</v>
      </c>
      <c r="EG63" s="230">
        <v>35600509</v>
      </c>
      <c r="EH63" s="229">
        <v>-0.44140000000000001</v>
      </c>
      <c r="EI63" s="229">
        <v>0.48449999999999999</v>
      </c>
      <c r="EJ63" s="231">
        <v>136469.49</v>
      </c>
      <c r="EK63" s="231">
        <v>61721.4</v>
      </c>
      <c r="EL63" s="231">
        <v>60110.86</v>
      </c>
      <c r="EM63" s="231">
        <v>13151</v>
      </c>
      <c r="EN63" s="231">
        <v>258301.75</v>
      </c>
      <c r="EO63" s="231">
        <v>357126.34</v>
      </c>
      <c r="EP63" s="231">
        <v>-98824.59</v>
      </c>
      <c r="EQ63" s="229">
        <v>-0.2767</v>
      </c>
      <c r="ER63" s="231">
        <v>143919</v>
      </c>
      <c r="ES63" s="231">
        <v>92510</v>
      </c>
      <c r="ET63" s="231">
        <v>481743</v>
      </c>
      <c r="EU63" s="231">
        <v>1366821859</v>
      </c>
      <c r="EV63" s="231">
        <v>718172</v>
      </c>
      <c r="EW63" s="231">
        <v>708310</v>
      </c>
      <c r="EX63" s="231">
        <v>9862</v>
      </c>
      <c r="EY63" s="229">
        <v>1.3899999999999999E-2</v>
      </c>
      <c r="EZ63" s="229">
        <v>0.21790000000000001</v>
      </c>
      <c r="FA63" s="227" t="s">
        <v>566</v>
      </c>
      <c r="FB63" s="161">
        <f t="shared" si="0"/>
        <v>14741575</v>
      </c>
    </row>
    <row r="64" spans="1:158" ht="17.25" thickBot="1" x14ac:dyDescent="0.3">
      <c r="A64" s="226">
        <v>46121</v>
      </c>
      <c r="B64" s="227" t="s">
        <v>162</v>
      </c>
      <c r="C64" s="227" t="s">
        <v>211</v>
      </c>
      <c r="D64" s="228">
        <v>1800</v>
      </c>
      <c r="E64" s="228">
        <v>311.85000000000002</v>
      </c>
      <c r="F64" s="228">
        <v>315.7</v>
      </c>
      <c r="G64" s="228">
        <v>-3.85</v>
      </c>
      <c r="H64" s="229">
        <v>-1.2200000000000001E-2</v>
      </c>
      <c r="I64" s="228">
        <v>311.25</v>
      </c>
      <c r="J64" s="228">
        <v>314.14999999999998</v>
      </c>
      <c r="K64" s="228">
        <v>-2.9</v>
      </c>
      <c r="L64" s="229">
        <v>-9.1999999999999998E-3</v>
      </c>
      <c r="M64" s="228">
        <v>311.85000000000002</v>
      </c>
      <c r="N64" s="228">
        <v>315.7</v>
      </c>
      <c r="O64" s="228">
        <v>-3.85</v>
      </c>
      <c r="P64" s="229">
        <v>-1.2200000000000001E-2</v>
      </c>
      <c r="Q64" s="228">
        <v>313.39999999999998</v>
      </c>
      <c r="R64" s="228">
        <v>317.5</v>
      </c>
      <c r="S64" s="228">
        <v>-4.0999999999999996</v>
      </c>
      <c r="T64" s="229">
        <v>-1.29E-2</v>
      </c>
      <c r="U64" s="228">
        <v>315.3</v>
      </c>
      <c r="V64" s="228">
        <v>319</v>
      </c>
      <c r="W64" s="228">
        <v>-3.7</v>
      </c>
      <c r="X64" s="229">
        <v>-1.1599999999999999E-2</v>
      </c>
      <c r="Y64" s="228">
        <v>0.6</v>
      </c>
      <c r="Z64" s="228">
        <v>1.55</v>
      </c>
      <c r="AA64" s="228">
        <v>-0.95</v>
      </c>
      <c r="AB64" s="229">
        <v>1.9E-3</v>
      </c>
      <c r="AC64" s="228">
        <v>0.6</v>
      </c>
      <c r="AD64" s="228">
        <v>1.55</v>
      </c>
      <c r="AE64" s="228">
        <v>-0.95</v>
      </c>
      <c r="AF64" s="229">
        <v>1.9E-3</v>
      </c>
      <c r="AG64" s="228">
        <v>2.15</v>
      </c>
      <c r="AH64" s="228">
        <v>3.35</v>
      </c>
      <c r="AI64" s="228">
        <v>-1.2</v>
      </c>
      <c r="AJ64" s="229">
        <v>6.8999999999999999E-3</v>
      </c>
      <c r="AK64" s="228">
        <v>4.05</v>
      </c>
      <c r="AL64" s="228">
        <v>4.8499999999999996</v>
      </c>
      <c r="AM64" s="228">
        <v>-0.8</v>
      </c>
      <c r="AN64" s="229">
        <v>1.2999999999999999E-2</v>
      </c>
      <c r="AO64" s="228">
        <v>310.62</v>
      </c>
      <c r="AP64" s="228">
        <v>312.62</v>
      </c>
      <c r="AQ64" s="228">
        <v>0</v>
      </c>
      <c r="AR64" s="230">
        <v>5931000</v>
      </c>
      <c r="AS64" s="230">
        <v>5457600</v>
      </c>
      <c r="AT64" s="230">
        <v>473400</v>
      </c>
      <c r="AU64" s="229">
        <v>8.6699999999999999E-2</v>
      </c>
      <c r="AV64" s="230">
        <v>5164200</v>
      </c>
      <c r="AW64" s="230">
        <v>4829400</v>
      </c>
      <c r="AX64" s="230">
        <v>334800</v>
      </c>
      <c r="AY64" s="229">
        <v>6.93E-2</v>
      </c>
      <c r="AZ64" s="230">
        <v>685800</v>
      </c>
      <c r="BA64" s="230">
        <v>552600</v>
      </c>
      <c r="BB64" s="230">
        <v>133200</v>
      </c>
      <c r="BC64" s="229">
        <v>0.24099999999999999</v>
      </c>
      <c r="BD64" s="230">
        <v>81000</v>
      </c>
      <c r="BE64" s="230">
        <v>75600</v>
      </c>
      <c r="BF64" s="230">
        <v>5400</v>
      </c>
      <c r="BG64" s="229">
        <v>7.1400000000000005E-2</v>
      </c>
      <c r="BH64" s="230">
        <v>12202200</v>
      </c>
      <c r="BI64" s="230">
        <v>14022000</v>
      </c>
      <c r="BJ64" s="230">
        <v>-1819800</v>
      </c>
      <c r="BK64" s="229">
        <v>-0.1298</v>
      </c>
      <c r="BL64" s="230">
        <v>14180400</v>
      </c>
      <c r="BM64" s="230">
        <v>5805000</v>
      </c>
      <c r="BN64" s="230">
        <v>8375400</v>
      </c>
      <c r="BO64" s="229">
        <v>1.4428000000000001</v>
      </c>
      <c r="BP64" s="230">
        <v>32313600</v>
      </c>
      <c r="BQ64" s="230">
        <v>25284600</v>
      </c>
      <c r="BR64" s="230">
        <v>7029000</v>
      </c>
      <c r="BS64" s="229">
        <v>0.27800000000000002</v>
      </c>
      <c r="BT64" s="230">
        <v>3847403</v>
      </c>
      <c r="BU64" s="230">
        <v>2959561</v>
      </c>
      <c r="BV64" s="230">
        <v>887842</v>
      </c>
      <c r="BW64" s="229">
        <v>0.3</v>
      </c>
      <c r="BX64" s="230">
        <v>29379600</v>
      </c>
      <c r="BY64" s="230">
        <v>29138400</v>
      </c>
      <c r="BZ64" s="230">
        <v>241200</v>
      </c>
      <c r="CA64" s="229">
        <v>8.3000000000000001E-3</v>
      </c>
      <c r="CB64" s="230">
        <v>27714600</v>
      </c>
      <c r="CC64" s="230">
        <v>27829800</v>
      </c>
      <c r="CD64" s="230">
        <v>-115200</v>
      </c>
      <c r="CE64" s="229">
        <v>-4.1000000000000003E-3</v>
      </c>
      <c r="CF64" s="230">
        <v>1512000</v>
      </c>
      <c r="CG64" s="230">
        <v>1206000</v>
      </c>
      <c r="CH64" s="230">
        <v>306000</v>
      </c>
      <c r="CI64" s="229">
        <v>0.25369999999999998</v>
      </c>
      <c r="CJ64" s="230">
        <v>153000</v>
      </c>
      <c r="CK64" s="230">
        <v>102600</v>
      </c>
      <c r="CL64" s="230">
        <v>50400</v>
      </c>
      <c r="CM64" s="229">
        <v>0.49120000000000003</v>
      </c>
      <c r="CN64" s="230">
        <v>11188800</v>
      </c>
      <c r="CO64" s="230">
        <v>9282600</v>
      </c>
      <c r="CP64" s="230">
        <v>1906200</v>
      </c>
      <c r="CQ64" s="229">
        <v>0.2054</v>
      </c>
      <c r="CR64" s="230">
        <v>10839600</v>
      </c>
      <c r="CS64" s="230">
        <v>7871400</v>
      </c>
      <c r="CT64" s="230">
        <v>2968200</v>
      </c>
      <c r="CU64" s="229">
        <v>0.37709999999999999</v>
      </c>
      <c r="CV64" s="230">
        <v>51408000</v>
      </c>
      <c r="CW64" s="230">
        <v>46292400</v>
      </c>
      <c r="CX64" s="230">
        <v>5115600</v>
      </c>
      <c r="CY64" s="229">
        <v>0.1105</v>
      </c>
      <c r="CZ64" s="228">
        <v>38.39</v>
      </c>
      <c r="DA64" s="228">
        <v>37.6</v>
      </c>
      <c r="DB64" s="228">
        <v>0.79</v>
      </c>
      <c r="DC64" s="228">
        <v>0.79</v>
      </c>
      <c r="DD64" s="228">
        <v>35.33</v>
      </c>
      <c r="DE64" s="228">
        <v>35.380000000000003</v>
      </c>
      <c r="DF64" s="228">
        <v>3.06</v>
      </c>
      <c r="DG64" s="228">
        <v>-0.05</v>
      </c>
      <c r="DH64" s="228">
        <v>37.08</v>
      </c>
      <c r="DI64" s="228">
        <v>36.35</v>
      </c>
      <c r="DJ64" s="228">
        <v>0.73</v>
      </c>
      <c r="DK64" s="228">
        <v>0.73</v>
      </c>
      <c r="DL64" s="228">
        <v>39.51</v>
      </c>
      <c r="DM64" s="228">
        <v>40.61</v>
      </c>
      <c r="DN64" s="228">
        <v>-1.1000000000000001</v>
      </c>
      <c r="DO64" s="228">
        <v>-1.1000000000000001</v>
      </c>
      <c r="DP64" s="228">
        <v>0.97</v>
      </c>
      <c r="DQ64" s="228">
        <v>0.85</v>
      </c>
      <c r="DR64" s="228">
        <v>0.12</v>
      </c>
      <c r="DS64" s="229">
        <v>0.14119999999999999</v>
      </c>
      <c r="DT64" s="228">
        <v>300</v>
      </c>
      <c r="DU64" s="228">
        <v>310</v>
      </c>
      <c r="DV64" s="228">
        <v>1.1599999999999999</v>
      </c>
      <c r="DW64" s="228">
        <v>0.41</v>
      </c>
      <c r="DX64" s="228">
        <v>0.75</v>
      </c>
      <c r="DY64" s="229">
        <v>1.8292999999999999</v>
      </c>
      <c r="DZ64" s="229">
        <v>5.67E-2</v>
      </c>
      <c r="EA64" s="230">
        <v>1308600</v>
      </c>
      <c r="EB64" s="229">
        <v>5.0000000000000001E-3</v>
      </c>
      <c r="EC64" s="229">
        <v>5.67E-2</v>
      </c>
      <c r="ED64" s="228">
        <v>2</v>
      </c>
      <c r="EE64" s="229">
        <v>6.4000000000000003E-3</v>
      </c>
      <c r="EF64" s="230">
        <v>1204291</v>
      </c>
      <c r="EG64" s="230">
        <v>1203429</v>
      </c>
      <c r="EH64" s="229">
        <v>6.9999999999999999E-4</v>
      </c>
      <c r="EI64" s="229">
        <v>0.313</v>
      </c>
      <c r="EJ64" s="231">
        <v>40172.46</v>
      </c>
      <c r="EK64" s="231">
        <v>44316.86</v>
      </c>
      <c r="EL64" s="231">
        <v>18439.830000000002</v>
      </c>
      <c r="EM64" s="231">
        <v>1910</v>
      </c>
      <c r="EN64" s="231">
        <v>102929.15</v>
      </c>
      <c r="EO64" s="231">
        <v>81284.03</v>
      </c>
      <c r="EP64" s="231">
        <v>21645.119999999999</v>
      </c>
      <c r="EQ64" s="229">
        <v>0.26629999999999998</v>
      </c>
      <c r="ER64" s="231">
        <v>35788</v>
      </c>
      <c r="ES64" s="231">
        <v>33309</v>
      </c>
      <c r="ET64" s="231">
        <v>91649</v>
      </c>
      <c r="EU64" s="231">
        <v>50211048</v>
      </c>
      <c r="EV64" s="231">
        <v>160746</v>
      </c>
      <c r="EW64" s="231">
        <v>146000</v>
      </c>
      <c r="EX64" s="231">
        <v>14746</v>
      </c>
      <c r="EY64" s="229">
        <v>0.10100000000000001</v>
      </c>
      <c r="EZ64" s="229">
        <v>1.0238</v>
      </c>
      <c r="FA64" s="227" t="s">
        <v>566</v>
      </c>
      <c r="FB64" s="161">
        <f t="shared" si="0"/>
        <v>1665000</v>
      </c>
    </row>
    <row r="65" spans="1:158" ht="17.25" thickBot="1" x14ac:dyDescent="0.3">
      <c r="A65" s="226">
        <v>46121</v>
      </c>
      <c r="B65" s="227" t="s">
        <v>172</v>
      </c>
      <c r="C65" s="227" t="s">
        <v>212</v>
      </c>
      <c r="D65" s="228">
        <v>5000</v>
      </c>
      <c r="E65" s="228">
        <v>283.89999999999998</v>
      </c>
      <c r="F65" s="228">
        <v>285.14999999999998</v>
      </c>
      <c r="G65" s="228">
        <v>-1.25</v>
      </c>
      <c r="H65" s="229">
        <v>-4.4000000000000003E-3</v>
      </c>
      <c r="I65" s="228">
        <v>283.3</v>
      </c>
      <c r="J65" s="228">
        <v>284.45</v>
      </c>
      <c r="K65" s="228">
        <v>-1.1499999999999999</v>
      </c>
      <c r="L65" s="229">
        <v>-4.0000000000000001E-3</v>
      </c>
      <c r="M65" s="228">
        <v>283.89999999999998</v>
      </c>
      <c r="N65" s="228">
        <v>285.14999999999998</v>
      </c>
      <c r="O65" s="228">
        <v>-1.25</v>
      </c>
      <c r="P65" s="229">
        <v>-4.4000000000000003E-3</v>
      </c>
      <c r="Q65" s="228">
        <v>285.60000000000002</v>
      </c>
      <c r="R65" s="228">
        <v>286.8</v>
      </c>
      <c r="S65" s="228">
        <v>-1.2</v>
      </c>
      <c r="T65" s="229">
        <v>-4.1999999999999997E-3</v>
      </c>
      <c r="U65" s="228">
        <v>287.14999999999998</v>
      </c>
      <c r="V65" s="228">
        <v>288</v>
      </c>
      <c r="W65" s="228">
        <v>-0.85</v>
      </c>
      <c r="X65" s="229">
        <v>-3.0000000000000001E-3</v>
      </c>
      <c r="Y65" s="228">
        <v>0.6</v>
      </c>
      <c r="Z65" s="228">
        <v>0.7</v>
      </c>
      <c r="AA65" s="228">
        <v>-0.1</v>
      </c>
      <c r="AB65" s="229">
        <v>2.0999999999999999E-3</v>
      </c>
      <c r="AC65" s="228">
        <v>0.6</v>
      </c>
      <c r="AD65" s="228">
        <v>0.7</v>
      </c>
      <c r="AE65" s="228">
        <v>-0.1</v>
      </c>
      <c r="AF65" s="229">
        <v>2.0999999999999999E-3</v>
      </c>
      <c r="AG65" s="228">
        <v>2.2999999999999998</v>
      </c>
      <c r="AH65" s="228">
        <v>2.35</v>
      </c>
      <c r="AI65" s="228">
        <v>-0.05</v>
      </c>
      <c r="AJ65" s="229">
        <v>8.0999999999999996E-3</v>
      </c>
      <c r="AK65" s="228">
        <v>3.85</v>
      </c>
      <c r="AL65" s="228">
        <v>3.55</v>
      </c>
      <c r="AM65" s="228">
        <v>0.3</v>
      </c>
      <c r="AN65" s="229">
        <v>1.3599999999999999E-2</v>
      </c>
      <c r="AO65" s="228">
        <v>284.14</v>
      </c>
      <c r="AP65" s="228">
        <v>285.88</v>
      </c>
      <c r="AQ65" s="228">
        <v>0</v>
      </c>
      <c r="AR65" s="230">
        <v>12555000</v>
      </c>
      <c r="AS65" s="230">
        <v>20155000</v>
      </c>
      <c r="AT65" s="230">
        <v>-7600000</v>
      </c>
      <c r="AU65" s="229">
        <v>-0.37709999999999999</v>
      </c>
      <c r="AV65" s="230">
        <v>11345000</v>
      </c>
      <c r="AW65" s="230">
        <v>19135000</v>
      </c>
      <c r="AX65" s="230">
        <v>-7790000</v>
      </c>
      <c r="AY65" s="229">
        <v>-0.40710000000000002</v>
      </c>
      <c r="AZ65" s="230">
        <v>1085000</v>
      </c>
      <c r="BA65" s="230">
        <v>875000</v>
      </c>
      <c r="BB65" s="230">
        <v>210000</v>
      </c>
      <c r="BC65" s="229">
        <v>0.24</v>
      </c>
      <c r="BD65" s="230">
        <v>125000</v>
      </c>
      <c r="BE65" s="230">
        <v>145000</v>
      </c>
      <c r="BF65" s="230">
        <v>-20000</v>
      </c>
      <c r="BG65" s="229">
        <v>-0.13789999999999999</v>
      </c>
      <c r="BH65" s="230">
        <v>24745000</v>
      </c>
      <c r="BI65" s="230">
        <v>37125000</v>
      </c>
      <c r="BJ65" s="230">
        <v>-12380000</v>
      </c>
      <c r="BK65" s="229">
        <v>-0.33350000000000002</v>
      </c>
      <c r="BL65" s="230">
        <v>14685000</v>
      </c>
      <c r="BM65" s="230">
        <v>23730000</v>
      </c>
      <c r="BN65" s="230">
        <v>-9045000</v>
      </c>
      <c r="BO65" s="229">
        <v>-0.38119999999999998</v>
      </c>
      <c r="BP65" s="230">
        <v>51985000</v>
      </c>
      <c r="BQ65" s="230">
        <v>81010000</v>
      </c>
      <c r="BR65" s="230">
        <v>-29025000</v>
      </c>
      <c r="BS65" s="229">
        <v>-0.35830000000000001</v>
      </c>
      <c r="BT65" s="230">
        <v>4570182</v>
      </c>
      <c r="BU65" s="230">
        <v>8526736</v>
      </c>
      <c r="BV65" s="230">
        <v>-3956554</v>
      </c>
      <c r="BW65" s="229">
        <v>-0.46400000000000002</v>
      </c>
      <c r="BX65" s="230">
        <v>79675000</v>
      </c>
      <c r="BY65" s="230">
        <v>79800000</v>
      </c>
      <c r="BZ65" s="230">
        <v>-125000</v>
      </c>
      <c r="CA65" s="229">
        <v>-1.6000000000000001E-3</v>
      </c>
      <c r="CB65" s="230">
        <v>77125000</v>
      </c>
      <c r="CC65" s="230">
        <v>77750000</v>
      </c>
      <c r="CD65" s="230">
        <v>-625000</v>
      </c>
      <c r="CE65" s="229">
        <v>-8.0000000000000002E-3</v>
      </c>
      <c r="CF65" s="230">
        <v>2150000</v>
      </c>
      <c r="CG65" s="230">
        <v>1690000</v>
      </c>
      <c r="CH65" s="230">
        <v>460000</v>
      </c>
      <c r="CI65" s="229">
        <v>0.2722</v>
      </c>
      <c r="CJ65" s="230">
        <v>400000</v>
      </c>
      <c r="CK65" s="230">
        <v>360000</v>
      </c>
      <c r="CL65" s="230">
        <v>40000</v>
      </c>
      <c r="CM65" s="229">
        <v>0.1111</v>
      </c>
      <c r="CN65" s="230">
        <v>23530000</v>
      </c>
      <c r="CO65" s="230">
        <v>23080000</v>
      </c>
      <c r="CP65" s="230">
        <v>450000</v>
      </c>
      <c r="CQ65" s="229">
        <v>1.95E-2</v>
      </c>
      <c r="CR65" s="230">
        <v>21775000</v>
      </c>
      <c r="CS65" s="230">
        <v>21525000</v>
      </c>
      <c r="CT65" s="230">
        <v>250000</v>
      </c>
      <c r="CU65" s="229">
        <v>1.1599999999999999E-2</v>
      </c>
      <c r="CV65" s="230">
        <v>124980000</v>
      </c>
      <c r="CW65" s="230">
        <v>124405000</v>
      </c>
      <c r="CX65" s="230">
        <v>575000</v>
      </c>
      <c r="CY65" s="229">
        <v>4.5999999999999999E-3</v>
      </c>
      <c r="CZ65" s="228">
        <v>30.73</v>
      </c>
      <c r="DA65" s="228">
        <v>31.73</v>
      </c>
      <c r="DB65" s="228">
        <v>-1</v>
      </c>
      <c r="DC65" s="228">
        <v>-1</v>
      </c>
      <c r="DD65" s="228">
        <v>32.21</v>
      </c>
      <c r="DE65" s="228">
        <v>32.28</v>
      </c>
      <c r="DF65" s="228">
        <v>-1.48</v>
      </c>
      <c r="DG65" s="228">
        <v>-7.0000000000000007E-2</v>
      </c>
      <c r="DH65" s="228">
        <v>29.35</v>
      </c>
      <c r="DI65" s="228">
        <v>29.34</v>
      </c>
      <c r="DJ65" s="228">
        <v>0.01</v>
      </c>
      <c r="DK65" s="228">
        <v>0.01</v>
      </c>
      <c r="DL65" s="228">
        <v>33.049999999999997</v>
      </c>
      <c r="DM65" s="228">
        <v>35.47</v>
      </c>
      <c r="DN65" s="228">
        <v>-2.42</v>
      </c>
      <c r="DO65" s="228">
        <v>-2.42</v>
      </c>
      <c r="DP65" s="228">
        <v>0.93</v>
      </c>
      <c r="DQ65" s="228">
        <v>0.93</v>
      </c>
      <c r="DR65" s="228">
        <v>0</v>
      </c>
      <c r="DS65" s="229">
        <v>0</v>
      </c>
      <c r="DT65" s="228">
        <v>300</v>
      </c>
      <c r="DU65" s="228">
        <v>240</v>
      </c>
      <c r="DV65" s="228">
        <v>0.59</v>
      </c>
      <c r="DW65" s="228">
        <v>0.64</v>
      </c>
      <c r="DX65" s="228">
        <v>-0.05</v>
      </c>
      <c r="DY65" s="229">
        <v>-7.8100000000000003E-2</v>
      </c>
      <c r="DZ65" s="229">
        <v>3.2000000000000001E-2</v>
      </c>
      <c r="EA65" s="230">
        <v>2050000</v>
      </c>
      <c r="EB65" s="229">
        <v>6.0000000000000001E-3</v>
      </c>
      <c r="EC65" s="229">
        <v>3.2000000000000001E-2</v>
      </c>
      <c r="ED65" s="228">
        <v>1.74</v>
      </c>
      <c r="EE65" s="229">
        <v>6.1000000000000004E-3</v>
      </c>
      <c r="EF65" s="230">
        <v>2115496</v>
      </c>
      <c r="EG65" s="230">
        <v>4399220</v>
      </c>
      <c r="EH65" s="229">
        <v>-0.51910000000000001</v>
      </c>
      <c r="EI65" s="229">
        <v>0.46289999999999998</v>
      </c>
      <c r="EJ65" s="231">
        <v>73827.56</v>
      </c>
      <c r="EK65" s="231">
        <v>40541.74</v>
      </c>
      <c r="EL65" s="231">
        <v>35696.85</v>
      </c>
      <c r="EM65" s="231">
        <v>4103</v>
      </c>
      <c r="EN65" s="231">
        <v>150066.15</v>
      </c>
      <c r="EO65" s="231">
        <v>232937.87</v>
      </c>
      <c r="EP65" s="231">
        <v>-82871.72</v>
      </c>
      <c r="EQ65" s="229">
        <v>-0.35580000000000001</v>
      </c>
      <c r="ER65" s="231">
        <v>67297</v>
      </c>
      <c r="ES65" s="231">
        <v>57371</v>
      </c>
      <c r="ET65" s="231">
        <v>226247</v>
      </c>
      <c r="EU65" s="231">
        <v>359450597</v>
      </c>
      <c r="EV65" s="231">
        <v>350915</v>
      </c>
      <c r="EW65" s="231">
        <v>350245</v>
      </c>
      <c r="EX65" s="228">
        <v>670</v>
      </c>
      <c r="EY65" s="229">
        <v>1.9E-3</v>
      </c>
      <c r="EZ65" s="229">
        <v>0.34770000000000001</v>
      </c>
      <c r="FA65" s="227" t="s">
        <v>567</v>
      </c>
      <c r="FB65" s="161">
        <f t="shared" si="0"/>
        <v>2550000</v>
      </c>
    </row>
    <row r="66" spans="1:158" ht="17.25" thickBot="1" x14ac:dyDescent="0.3">
      <c r="A66" s="226">
        <v>46121</v>
      </c>
      <c r="B66" s="227" t="s">
        <v>181</v>
      </c>
      <c r="C66" s="227" t="s">
        <v>480</v>
      </c>
      <c r="D66" s="228">
        <v>60</v>
      </c>
      <c r="E66" s="231">
        <v>25808.6</v>
      </c>
      <c r="F66" s="231">
        <v>26167.9</v>
      </c>
      <c r="G66" s="228">
        <v>-359.3</v>
      </c>
      <c r="H66" s="229">
        <v>-1.37E-2</v>
      </c>
      <c r="I66" s="231">
        <v>25685.85</v>
      </c>
      <c r="J66" s="231">
        <v>26053.05</v>
      </c>
      <c r="K66" s="228">
        <v>-367.2</v>
      </c>
      <c r="L66" s="229">
        <v>-1.41E-2</v>
      </c>
      <c r="M66" s="231">
        <v>25808.6</v>
      </c>
      <c r="N66" s="231">
        <v>26167.9</v>
      </c>
      <c r="O66" s="228">
        <v>-359.3</v>
      </c>
      <c r="P66" s="229">
        <v>-1.37E-2</v>
      </c>
      <c r="Q66" s="231">
        <v>25985.1</v>
      </c>
      <c r="R66" s="231">
        <v>26364.1</v>
      </c>
      <c r="S66" s="228">
        <v>-379</v>
      </c>
      <c r="T66" s="229">
        <v>-1.44E-2</v>
      </c>
      <c r="U66" s="228">
        <v>0</v>
      </c>
      <c r="V66" s="228">
        <v>0</v>
      </c>
      <c r="W66" s="228">
        <v>0</v>
      </c>
      <c r="X66" s="229">
        <v>0</v>
      </c>
      <c r="Y66" s="228">
        <v>122.75</v>
      </c>
      <c r="Z66" s="228">
        <v>114.85</v>
      </c>
      <c r="AA66" s="228">
        <v>7.9</v>
      </c>
      <c r="AB66" s="229">
        <v>4.7999999999999996E-3</v>
      </c>
      <c r="AC66" s="228">
        <v>122.75</v>
      </c>
      <c r="AD66" s="228">
        <v>114.85</v>
      </c>
      <c r="AE66" s="228">
        <v>7.9</v>
      </c>
      <c r="AF66" s="229">
        <v>4.7999999999999996E-3</v>
      </c>
      <c r="AG66" s="228">
        <v>299.25</v>
      </c>
      <c r="AH66" s="228">
        <v>311.05</v>
      </c>
      <c r="AI66" s="228">
        <v>-11.8</v>
      </c>
      <c r="AJ66" s="229">
        <v>1.17E-2</v>
      </c>
      <c r="AK66" s="228">
        <v>0</v>
      </c>
      <c r="AL66" s="228">
        <v>0</v>
      </c>
      <c r="AM66" s="228">
        <v>0</v>
      </c>
      <c r="AN66" s="229">
        <v>0</v>
      </c>
      <c r="AO66" s="231">
        <v>25886.51</v>
      </c>
      <c r="AP66" s="231">
        <v>26137.78</v>
      </c>
      <c r="AQ66" s="228">
        <v>0</v>
      </c>
      <c r="AR66" s="230">
        <v>10020</v>
      </c>
      <c r="AS66" s="230">
        <v>17160</v>
      </c>
      <c r="AT66" s="230">
        <v>-7140</v>
      </c>
      <c r="AU66" s="229">
        <v>-0.41610000000000003</v>
      </c>
      <c r="AV66" s="230">
        <v>9120</v>
      </c>
      <c r="AW66" s="230">
        <v>16680</v>
      </c>
      <c r="AX66" s="230">
        <v>-7560</v>
      </c>
      <c r="AY66" s="229">
        <v>-0.45319999999999999</v>
      </c>
      <c r="AZ66" s="228">
        <v>900</v>
      </c>
      <c r="BA66" s="228">
        <v>480</v>
      </c>
      <c r="BB66" s="228">
        <v>420</v>
      </c>
      <c r="BC66" s="229">
        <v>0.875</v>
      </c>
      <c r="BD66" s="228">
        <v>0</v>
      </c>
      <c r="BE66" s="228">
        <v>0</v>
      </c>
      <c r="BF66" s="228">
        <v>0</v>
      </c>
      <c r="BG66" s="229">
        <v>0</v>
      </c>
      <c r="BH66" s="230">
        <v>209340</v>
      </c>
      <c r="BI66" s="230">
        <v>335460</v>
      </c>
      <c r="BJ66" s="230">
        <v>-126120</v>
      </c>
      <c r="BK66" s="229">
        <v>-0.376</v>
      </c>
      <c r="BL66" s="230">
        <v>191640</v>
      </c>
      <c r="BM66" s="230">
        <v>151080</v>
      </c>
      <c r="BN66" s="230">
        <v>40560</v>
      </c>
      <c r="BO66" s="229">
        <v>0.26850000000000002</v>
      </c>
      <c r="BP66" s="230">
        <v>411000</v>
      </c>
      <c r="BQ66" s="230">
        <v>503700</v>
      </c>
      <c r="BR66" s="230">
        <v>-92700</v>
      </c>
      <c r="BS66" s="229">
        <v>-0.184</v>
      </c>
      <c r="BT66" s="228">
        <v>0</v>
      </c>
      <c r="BU66" s="228">
        <v>0</v>
      </c>
      <c r="BV66" s="228">
        <v>0</v>
      </c>
      <c r="BW66" s="229">
        <v>0</v>
      </c>
      <c r="BX66" s="230">
        <v>27780</v>
      </c>
      <c r="BY66" s="230">
        <v>26640</v>
      </c>
      <c r="BZ66" s="230">
        <v>1140</v>
      </c>
      <c r="CA66" s="229">
        <v>4.2799999999999998E-2</v>
      </c>
      <c r="CB66" s="230">
        <v>26460</v>
      </c>
      <c r="CC66" s="230">
        <v>25860</v>
      </c>
      <c r="CD66" s="228">
        <v>600</v>
      </c>
      <c r="CE66" s="229">
        <v>2.3199999999999998E-2</v>
      </c>
      <c r="CF66" s="230">
        <v>1320</v>
      </c>
      <c r="CG66" s="228">
        <v>780</v>
      </c>
      <c r="CH66" s="228">
        <v>540</v>
      </c>
      <c r="CI66" s="229">
        <v>0.69230000000000003</v>
      </c>
      <c r="CJ66" s="228">
        <v>0</v>
      </c>
      <c r="CK66" s="228">
        <v>0</v>
      </c>
      <c r="CL66" s="228">
        <v>0</v>
      </c>
      <c r="CM66" s="229">
        <v>0</v>
      </c>
      <c r="CN66" s="230">
        <v>123120</v>
      </c>
      <c r="CO66" s="230">
        <v>112740</v>
      </c>
      <c r="CP66" s="230">
        <v>10380</v>
      </c>
      <c r="CQ66" s="229">
        <v>9.2100000000000001E-2</v>
      </c>
      <c r="CR66" s="230">
        <v>109320</v>
      </c>
      <c r="CS66" s="230">
        <v>85320</v>
      </c>
      <c r="CT66" s="230">
        <v>24000</v>
      </c>
      <c r="CU66" s="229">
        <v>0.28129999999999999</v>
      </c>
      <c r="CV66" s="230">
        <v>260220</v>
      </c>
      <c r="CW66" s="230">
        <v>224700</v>
      </c>
      <c r="CX66" s="230">
        <v>35520</v>
      </c>
      <c r="CY66" s="229">
        <v>0.15809999999999999</v>
      </c>
      <c r="CZ66" s="228">
        <v>23.9</v>
      </c>
      <c r="DA66" s="228">
        <v>22.55</v>
      </c>
      <c r="DB66" s="228">
        <v>1.35</v>
      </c>
      <c r="DC66" s="228">
        <v>1.35</v>
      </c>
      <c r="DD66" s="228">
        <v>21.72</v>
      </c>
      <c r="DE66" s="228">
        <v>21.69</v>
      </c>
      <c r="DF66" s="228">
        <v>2.1800000000000002</v>
      </c>
      <c r="DG66" s="228">
        <v>0.03</v>
      </c>
      <c r="DH66" s="228">
        <v>22.46</v>
      </c>
      <c r="DI66" s="228">
        <v>20.86</v>
      </c>
      <c r="DJ66" s="228">
        <v>1.6</v>
      </c>
      <c r="DK66" s="228">
        <v>1.6</v>
      </c>
      <c r="DL66" s="228">
        <v>25.47</v>
      </c>
      <c r="DM66" s="228">
        <v>26.31</v>
      </c>
      <c r="DN66" s="228">
        <v>-0.84</v>
      </c>
      <c r="DO66" s="228">
        <v>-0.84</v>
      </c>
      <c r="DP66" s="228">
        <v>0.89</v>
      </c>
      <c r="DQ66" s="228">
        <v>0.76</v>
      </c>
      <c r="DR66" s="228">
        <v>0.13</v>
      </c>
      <c r="DS66" s="229">
        <v>0.1711</v>
      </c>
      <c r="DT66" s="231">
        <v>28000</v>
      </c>
      <c r="DU66" s="231">
        <v>24000</v>
      </c>
      <c r="DV66" s="228">
        <v>0.92</v>
      </c>
      <c r="DW66" s="228">
        <v>0.45</v>
      </c>
      <c r="DX66" s="228">
        <v>0.47</v>
      </c>
      <c r="DY66" s="229">
        <v>1.0444</v>
      </c>
      <c r="DZ66" s="229">
        <v>4.7500000000000001E-2</v>
      </c>
      <c r="EA66" s="228">
        <v>780</v>
      </c>
      <c r="EB66" s="229">
        <v>6.7999999999999996E-3</v>
      </c>
      <c r="EC66" s="229">
        <v>4.7500000000000001E-2</v>
      </c>
      <c r="ED66" s="228">
        <v>251.27</v>
      </c>
      <c r="EE66" s="229">
        <v>9.7000000000000003E-3</v>
      </c>
      <c r="EF66" s="228">
        <v>0</v>
      </c>
      <c r="EG66" s="228">
        <v>0</v>
      </c>
      <c r="EH66" s="229">
        <v>0</v>
      </c>
      <c r="EI66" s="229">
        <v>0</v>
      </c>
      <c r="EJ66" s="231">
        <v>57563.44</v>
      </c>
      <c r="EK66" s="231">
        <v>47777.11</v>
      </c>
      <c r="EL66" s="231">
        <v>2596.09</v>
      </c>
      <c r="EM66" s="228">
        <v>0</v>
      </c>
      <c r="EN66" s="231">
        <v>107936.64</v>
      </c>
      <c r="EO66" s="231">
        <v>134753.09</v>
      </c>
      <c r="EP66" s="231">
        <v>-26816.45</v>
      </c>
      <c r="EQ66" s="229">
        <v>-0.19900000000000001</v>
      </c>
      <c r="ER66" s="231">
        <v>32902</v>
      </c>
      <c r="ES66" s="231">
        <v>26569</v>
      </c>
      <c r="ET66" s="231">
        <v>7172</v>
      </c>
      <c r="EU66" s="228">
        <v>0</v>
      </c>
      <c r="EV66" s="231">
        <v>66643</v>
      </c>
      <c r="EW66" s="231">
        <v>57819</v>
      </c>
      <c r="EX66" s="231">
        <v>8824</v>
      </c>
      <c r="EY66" s="229">
        <v>0.15260000000000001</v>
      </c>
      <c r="EZ66" s="229">
        <v>0</v>
      </c>
      <c r="FA66" s="227" t="s">
        <v>566</v>
      </c>
      <c r="FB66" s="161">
        <f t="shared" si="0"/>
        <v>1320</v>
      </c>
    </row>
    <row r="67" spans="1:158" ht="17.25" thickBot="1" x14ac:dyDescent="0.3">
      <c r="A67" s="226">
        <v>46121</v>
      </c>
      <c r="B67" s="227" t="s">
        <v>702</v>
      </c>
      <c r="C67" s="227" t="s">
        <v>701</v>
      </c>
      <c r="D67" s="228">
        <v>25</v>
      </c>
      <c r="E67" s="231">
        <v>22208</v>
      </c>
      <c r="F67" s="231">
        <v>22128</v>
      </c>
      <c r="G67" s="228">
        <v>80</v>
      </c>
      <c r="H67" s="229">
        <v>3.5999999999999999E-3</v>
      </c>
      <c r="I67" s="231">
        <v>22168</v>
      </c>
      <c r="J67" s="231">
        <v>22075</v>
      </c>
      <c r="K67" s="228">
        <v>93</v>
      </c>
      <c r="L67" s="229">
        <v>4.1999999999999997E-3</v>
      </c>
      <c r="M67" s="231">
        <v>22208</v>
      </c>
      <c r="N67" s="231">
        <v>22128</v>
      </c>
      <c r="O67" s="228">
        <v>80</v>
      </c>
      <c r="P67" s="229">
        <v>3.5999999999999999E-3</v>
      </c>
      <c r="Q67" s="231">
        <v>22156</v>
      </c>
      <c r="R67" s="231">
        <v>22073</v>
      </c>
      <c r="S67" s="228">
        <v>83</v>
      </c>
      <c r="T67" s="229">
        <v>3.8E-3</v>
      </c>
      <c r="U67" s="231">
        <v>22174</v>
      </c>
      <c r="V67" s="231">
        <v>22033</v>
      </c>
      <c r="W67" s="228">
        <v>141</v>
      </c>
      <c r="X67" s="229">
        <v>6.4000000000000003E-3</v>
      </c>
      <c r="Y67" s="228">
        <v>40</v>
      </c>
      <c r="Z67" s="228">
        <v>53</v>
      </c>
      <c r="AA67" s="228">
        <v>-13</v>
      </c>
      <c r="AB67" s="229">
        <v>1.8E-3</v>
      </c>
      <c r="AC67" s="228">
        <v>40</v>
      </c>
      <c r="AD67" s="228">
        <v>53</v>
      </c>
      <c r="AE67" s="228">
        <v>-13</v>
      </c>
      <c r="AF67" s="229">
        <v>1.8E-3</v>
      </c>
      <c r="AG67" s="228">
        <v>-12</v>
      </c>
      <c r="AH67" s="228">
        <v>-2</v>
      </c>
      <c r="AI67" s="228">
        <v>-10</v>
      </c>
      <c r="AJ67" s="229">
        <v>-5.0000000000000001E-4</v>
      </c>
      <c r="AK67" s="228">
        <v>6</v>
      </c>
      <c r="AL67" s="228">
        <v>-42</v>
      </c>
      <c r="AM67" s="228">
        <v>48</v>
      </c>
      <c r="AN67" s="229">
        <v>2.9999999999999997E-4</v>
      </c>
      <c r="AO67" s="231">
        <v>22138.12</v>
      </c>
      <c r="AP67" s="231">
        <v>22002.79</v>
      </c>
      <c r="AQ67" s="228">
        <v>0</v>
      </c>
      <c r="AR67" s="230">
        <v>56900</v>
      </c>
      <c r="AS67" s="230">
        <v>165150</v>
      </c>
      <c r="AT67" s="230">
        <v>-108250</v>
      </c>
      <c r="AU67" s="229">
        <v>-0.65549999999999997</v>
      </c>
      <c r="AV67" s="230">
        <v>48075</v>
      </c>
      <c r="AW67" s="230">
        <v>152800</v>
      </c>
      <c r="AX67" s="230">
        <v>-104725</v>
      </c>
      <c r="AY67" s="229">
        <v>-0.68540000000000001</v>
      </c>
      <c r="AZ67" s="230">
        <v>7525</v>
      </c>
      <c r="BA67" s="230">
        <v>10850</v>
      </c>
      <c r="BB67" s="230">
        <v>-3325</v>
      </c>
      <c r="BC67" s="229">
        <v>-0.30649999999999999</v>
      </c>
      <c r="BD67" s="230">
        <v>1300</v>
      </c>
      <c r="BE67" s="230">
        <v>1500</v>
      </c>
      <c r="BF67" s="228">
        <v>-200</v>
      </c>
      <c r="BG67" s="229">
        <v>-0.1333</v>
      </c>
      <c r="BH67" s="230">
        <v>86000</v>
      </c>
      <c r="BI67" s="230">
        <v>301375</v>
      </c>
      <c r="BJ67" s="230">
        <v>-215375</v>
      </c>
      <c r="BK67" s="229">
        <v>-0.71460000000000001</v>
      </c>
      <c r="BL67" s="230">
        <v>52550</v>
      </c>
      <c r="BM67" s="230">
        <v>84025</v>
      </c>
      <c r="BN67" s="230">
        <v>-31475</v>
      </c>
      <c r="BO67" s="229">
        <v>-0.37459999999999999</v>
      </c>
      <c r="BP67" s="230">
        <v>195450</v>
      </c>
      <c r="BQ67" s="230">
        <v>550550</v>
      </c>
      <c r="BR67" s="230">
        <v>-355100</v>
      </c>
      <c r="BS67" s="229">
        <v>-0.64500000000000002</v>
      </c>
      <c r="BT67" s="230">
        <v>199634</v>
      </c>
      <c r="BU67" s="230">
        <v>415312</v>
      </c>
      <c r="BV67" s="230">
        <v>-215678</v>
      </c>
      <c r="BW67" s="229">
        <v>-0.51929999999999998</v>
      </c>
      <c r="BX67" s="230">
        <v>85175</v>
      </c>
      <c r="BY67" s="230">
        <v>84975</v>
      </c>
      <c r="BZ67" s="228">
        <v>200</v>
      </c>
      <c r="CA67" s="229">
        <v>2.3999999999999998E-3</v>
      </c>
      <c r="CB67" s="230">
        <v>72400</v>
      </c>
      <c r="CC67" s="230">
        <v>76650</v>
      </c>
      <c r="CD67" s="230">
        <v>-4250</v>
      </c>
      <c r="CE67" s="229">
        <v>-5.5399999999999998E-2</v>
      </c>
      <c r="CF67" s="230">
        <v>11150</v>
      </c>
      <c r="CG67" s="230">
        <v>7500</v>
      </c>
      <c r="CH67" s="230">
        <v>3650</v>
      </c>
      <c r="CI67" s="229">
        <v>0.48670000000000002</v>
      </c>
      <c r="CJ67" s="230">
        <v>1625</v>
      </c>
      <c r="CK67" s="228">
        <v>825</v>
      </c>
      <c r="CL67" s="228">
        <v>800</v>
      </c>
      <c r="CM67" s="229">
        <v>0.96970000000000001</v>
      </c>
      <c r="CN67" s="230">
        <v>36450</v>
      </c>
      <c r="CO67" s="230">
        <v>32350</v>
      </c>
      <c r="CP67" s="230">
        <v>4100</v>
      </c>
      <c r="CQ67" s="229">
        <v>0.12670000000000001</v>
      </c>
      <c r="CR67" s="230">
        <v>19050</v>
      </c>
      <c r="CS67" s="230">
        <v>16975</v>
      </c>
      <c r="CT67" s="230">
        <v>2075</v>
      </c>
      <c r="CU67" s="229">
        <v>0.1222</v>
      </c>
      <c r="CV67" s="230">
        <v>140675</v>
      </c>
      <c r="CW67" s="230">
        <v>134300</v>
      </c>
      <c r="CX67" s="230">
        <v>6375</v>
      </c>
      <c r="CY67" s="229">
        <v>4.7500000000000001E-2</v>
      </c>
      <c r="CZ67" s="228">
        <v>60.25</v>
      </c>
      <c r="DA67" s="228">
        <v>58.75</v>
      </c>
      <c r="DB67" s="228">
        <v>1.5</v>
      </c>
      <c r="DC67" s="228">
        <v>1.5</v>
      </c>
      <c r="DD67" s="228">
        <v>66.39</v>
      </c>
      <c r="DE67" s="228">
        <v>66.56</v>
      </c>
      <c r="DF67" s="228">
        <v>-6.14</v>
      </c>
      <c r="DG67" s="228">
        <v>-0.17</v>
      </c>
      <c r="DH67" s="228">
        <v>58.86</v>
      </c>
      <c r="DI67" s="228">
        <v>57.28</v>
      </c>
      <c r="DJ67" s="228">
        <v>1.58</v>
      </c>
      <c r="DK67" s="228">
        <v>1.58</v>
      </c>
      <c r="DL67" s="228">
        <v>62.52</v>
      </c>
      <c r="DM67" s="228">
        <v>64.010000000000005</v>
      </c>
      <c r="DN67" s="228">
        <v>-1.49</v>
      </c>
      <c r="DO67" s="228">
        <v>-1.49</v>
      </c>
      <c r="DP67" s="228">
        <v>0.52</v>
      </c>
      <c r="DQ67" s="228">
        <v>0.52</v>
      </c>
      <c r="DR67" s="228">
        <v>0</v>
      </c>
      <c r="DS67" s="229">
        <v>0</v>
      </c>
      <c r="DT67" s="231">
        <v>24000</v>
      </c>
      <c r="DU67" s="231">
        <v>20000</v>
      </c>
      <c r="DV67" s="228">
        <v>0.61</v>
      </c>
      <c r="DW67" s="228">
        <v>0.28000000000000003</v>
      </c>
      <c r="DX67" s="228">
        <v>0.33</v>
      </c>
      <c r="DY67" s="229">
        <v>1.1786000000000001</v>
      </c>
      <c r="DZ67" s="229">
        <v>0.15</v>
      </c>
      <c r="EA67" s="230">
        <v>8325</v>
      </c>
      <c r="EB67" s="229">
        <v>-2.3E-3</v>
      </c>
      <c r="EC67" s="229">
        <v>0.15</v>
      </c>
      <c r="ED67" s="228">
        <v>-135.33000000000001</v>
      </c>
      <c r="EE67" s="229">
        <v>-6.1000000000000004E-3</v>
      </c>
      <c r="EF67" s="230">
        <v>36071</v>
      </c>
      <c r="EG67" s="230">
        <v>92895</v>
      </c>
      <c r="EH67" s="229">
        <v>-0.61170000000000002</v>
      </c>
      <c r="EI67" s="229">
        <v>0.1807</v>
      </c>
      <c r="EJ67" s="231">
        <v>20659.400000000001</v>
      </c>
      <c r="EK67" s="231">
        <v>11158.53</v>
      </c>
      <c r="EL67" s="231">
        <v>12586.34</v>
      </c>
      <c r="EM67" s="231">
        <v>3663</v>
      </c>
      <c r="EN67" s="231">
        <v>44404.27</v>
      </c>
      <c r="EO67" s="231">
        <v>122841.54</v>
      </c>
      <c r="EP67" s="231">
        <v>-78437.27</v>
      </c>
      <c r="EQ67" s="229">
        <v>-0.63849999999999996</v>
      </c>
      <c r="ER67" s="231">
        <v>8194</v>
      </c>
      <c r="ES67" s="231">
        <v>3857</v>
      </c>
      <c r="ET67" s="231">
        <v>18909</v>
      </c>
      <c r="EU67" s="231">
        <v>736885</v>
      </c>
      <c r="EV67" s="231">
        <v>30960</v>
      </c>
      <c r="EW67" s="231">
        <v>29387</v>
      </c>
      <c r="EX67" s="231">
        <v>1573</v>
      </c>
      <c r="EY67" s="229">
        <v>5.3499999999999999E-2</v>
      </c>
      <c r="EZ67" s="229">
        <v>0.19089999999999999</v>
      </c>
      <c r="FA67" s="227" t="s">
        <v>555</v>
      </c>
      <c r="FB67" s="161">
        <f t="shared" ref="FB67:FB130" si="1">BX67-CB67</f>
        <v>12775</v>
      </c>
    </row>
    <row r="68" spans="1:158" ht="17.25" thickBot="1" x14ac:dyDescent="0.3">
      <c r="A68" s="226">
        <v>46121</v>
      </c>
      <c r="B68" s="227" t="s">
        <v>170</v>
      </c>
      <c r="C68" s="227" t="s">
        <v>675</v>
      </c>
      <c r="D68" s="228">
        <v>775</v>
      </c>
      <c r="E68" s="228">
        <v>853.95</v>
      </c>
      <c r="F68" s="228">
        <v>842.2</v>
      </c>
      <c r="G68" s="228">
        <v>11.75</v>
      </c>
      <c r="H68" s="229">
        <v>1.4E-2</v>
      </c>
      <c r="I68" s="228">
        <v>850.05</v>
      </c>
      <c r="J68" s="228">
        <v>840.55</v>
      </c>
      <c r="K68" s="228">
        <v>9.5</v>
      </c>
      <c r="L68" s="229">
        <v>1.1299999999999999E-2</v>
      </c>
      <c r="M68" s="228">
        <v>853.95</v>
      </c>
      <c r="N68" s="228">
        <v>842.2</v>
      </c>
      <c r="O68" s="228">
        <v>11.75</v>
      </c>
      <c r="P68" s="229">
        <v>1.4E-2</v>
      </c>
      <c r="Q68" s="228">
        <v>858.15</v>
      </c>
      <c r="R68" s="228">
        <v>848.35</v>
      </c>
      <c r="S68" s="228">
        <v>9.8000000000000007</v>
      </c>
      <c r="T68" s="229">
        <v>1.1599999999999999E-2</v>
      </c>
      <c r="U68" s="228">
        <v>863.6</v>
      </c>
      <c r="V68" s="228">
        <v>852.65</v>
      </c>
      <c r="W68" s="228">
        <v>10.95</v>
      </c>
      <c r="X68" s="229">
        <v>1.2800000000000001E-2</v>
      </c>
      <c r="Y68" s="228">
        <v>3.9</v>
      </c>
      <c r="Z68" s="228">
        <v>1.65</v>
      </c>
      <c r="AA68" s="228">
        <v>2.25</v>
      </c>
      <c r="AB68" s="229">
        <v>4.5999999999999999E-3</v>
      </c>
      <c r="AC68" s="228">
        <v>3.9</v>
      </c>
      <c r="AD68" s="228">
        <v>1.65</v>
      </c>
      <c r="AE68" s="228">
        <v>2.25</v>
      </c>
      <c r="AF68" s="229">
        <v>4.5999999999999999E-3</v>
      </c>
      <c r="AG68" s="228">
        <v>8.1</v>
      </c>
      <c r="AH68" s="228">
        <v>7.8</v>
      </c>
      <c r="AI68" s="228">
        <v>0.3</v>
      </c>
      <c r="AJ68" s="229">
        <v>9.4999999999999998E-3</v>
      </c>
      <c r="AK68" s="228">
        <v>13.55</v>
      </c>
      <c r="AL68" s="228">
        <v>12.1</v>
      </c>
      <c r="AM68" s="228">
        <v>1.45</v>
      </c>
      <c r="AN68" s="229">
        <v>1.5900000000000001E-2</v>
      </c>
      <c r="AO68" s="228">
        <v>851.52</v>
      </c>
      <c r="AP68" s="228">
        <v>856.11</v>
      </c>
      <c r="AQ68" s="228">
        <v>0</v>
      </c>
      <c r="AR68" s="230">
        <v>1344625</v>
      </c>
      <c r="AS68" s="230">
        <v>2251375</v>
      </c>
      <c r="AT68" s="230">
        <v>-906750</v>
      </c>
      <c r="AU68" s="229">
        <v>-0.40279999999999999</v>
      </c>
      <c r="AV68" s="230">
        <v>1263250</v>
      </c>
      <c r="AW68" s="230">
        <v>2143650</v>
      </c>
      <c r="AX68" s="230">
        <v>-880400</v>
      </c>
      <c r="AY68" s="229">
        <v>-0.41070000000000001</v>
      </c>
      <c r="AZ68" s="230">
        <v>75175</v>
      </c>
      <c r="BA68" s="230">
        <v>105400</v>
      </c>
      <c r="BB68" s="230">
        <v>-30225</v>
      </c>
      <c r="BC68" s="229">
        <v>-0.2868</v>
      </c>
      <c r="BD68" s="230">
        <v>6200</v>
      </c>
      <c r="BE68" s="230">
        <v>2325</v>
      </c>
      <c r="BF68" s="230">
        <v>3875</v>
      </c>
      <c r="BG68" s="229">
        <v>1.6667000000000001</v>
      </c>
      <c r="BH68" s="230">
        <v>1865425</v>
      </c>
      <c r="BI68" s="230">
        <v>2478450</v>
      </c>
      <c r="BJ68" s="230">
        <v>-613025</v>
      </c>
      <c r="BK68" s="229">
        <v>-0.24729999999999999</v>
      </c>
      <c r="BL68" s="230">
        <v>502200</v>
      </c>
      <c r="BM68" s="230">
        <v>1172575</v>
      </c>
      <c r="BN68" s="230">
        <v>-670375</v>
      </c>
      <c r="BO68" s="229">
        <v>-0.57169999999999999</v>
      </c>
      <c r="BP68" s="230">
        <v>3712250</v>
      </c>
      <c r="BQ68" s="230">
        <v>5902400</v>
      </c>
      <c r="BR68" s="230">
        <v>-2190150</v>
      </c>
      <c r="BS68" s="229">
        <v>-0.37109999999999999</v>
      </c>
      <c r="BT68" s="230">
        <v>1549434</v>
      </c>
      <c r="BU68" s="230">
        <v>2223804</v>
      </c>
      <c r="BV68" s="230">
        <v>-674370</v>
      </c>
      <c r="BW68" s="229">
        <v>-0.30330000000000001</v>
      </c>
      <c r="BX68" s="230">
        <v>11944300</v>
      </c>
      <c r="BY68" s="230">
        <v>11882300</v>
      </c>
      <c r="BZ68" s="230">
        <v>62000</v>
      </c>
      <c r="CA68" s="229">
        <v>5.1999999999999998E-3</v>
      </c>
      <c r="CB68" s="230">
        <v>11792400</v>
      </c>
      <c r="CC68" s="230">
        <v>11752875</v>
      </c>
      <c r="CD68" s="230">
        <v>39525</v>
      </c>
      <c r="CE68" s="229">
        <v>3.3999999999999998E-3</v>
      </c>
      <c r="CF68" s="230">
        <v>142600</v>
      </c>
      <c r="CG68" s="230">
        <v>122450</v>
      </c>
      <c r="CH68" s="230">
        <v>20150</v>
      </c>
      <c r="CI68" s="229">
        <v>0.1646</v>
      </c>
      <c r="CJ68" s="230">
        <v>9300</v>
      </c>
      <c r="CK68" s="230">
        <v>6975</v>
      </c>
      <c r="CL68" s="230">
        <v>2325</v>
      </c>
      <c r="CM68" s="229">
        <v>0.33329999999999999</v>
      </c>
      <c r="CN68" s="230">
        <v>1756150</v>
      </c>
      <c r="CO68" s="230">
        <v>1843725</v>
      </c>
      <c r="CP68" s="230">
        <v>-87575</v>
      </c>
      <c r="CQ68" s="229">
        <v>-4.7500000000000001E-2</v>
      </c>
      <c r="CR68" s="230">
        <v>1229150</v>
      </c>
      <c r="CS68" s="230">
        <v>1187300</v>
      </c>
      <c r="CT68" s="230">
        <v>41850</v>
      </c>
      <c r="CU68" s="229">
        <v>3.5200000000000002E-2</v>
      </c>
      <c r="CV68" s="230">
        <v>14929600</v>
      </c>
      <c r="CW68" s="230">
        <v>14913325</v>
      </c>
      <c r="CX68" s="230">
        <v>16275</v>
      </c>
      <c r="CY68" s="229">
        <v>1.1000000000000001E-3</v>
      </c>
      <c r="CZ68" s="228">
        <v>35.520000000000003</v>
      </c>
      <c r="DA68" s="228">
        <v>36.64</v>
      </c>
      <c r="DB68" s="228">
        <v>-1.1200000000000001</v>
      </c>
      <c r="DC68" s="228">
        <v>-1.1200000000000001</v>
      </c>
      <c r="DD68" s="228">
        <v>35.49</v>
      </c>
      <c r="DE68" s="228">
        <v>35.549999999999997</v>
      </c>
      <c r="DF68" s="228">
        <v>0.03</v>
      </c>
      <c r="DG68" s="228">
        <v>-0.06</v>
      </c>
      <c r="DH68" s="228">
        <v>35.24</v>
      </c>
      <c r="DI68" s="228">
        <v>36.32</v>
      </c>
      <c r="DJ68" s="228">
        <v>-1.08</v>
      </c>
      <c r="DK68" s="228">
        <v>-1.08</v>
      </c>
      <c r="DL68" s="228">
        <v>36.54</v>
      </c>
      <c r="DM68" s="228">
        <v>37.299999999999997</v>
      </c>
      <c r="DN68" s="228">
        <v>-0.76</v>
      </c>
      <c r="DO68" s="228">
        <v>-0.76</v>
      </c>
      <c r="DP68" s="228">
        <v>0.7</v>
      </c>
      <c r="DQ68" s="228">
        <v>0.64</v>
      </c>
      <c r="DR68" s="228">
        <v>0.06</v>
      </c>
      <c r="DS68" s="229">
        <v>9.3700000000000006E-2</v>
      </c>
      <c r="DT68" s="228">
        <v>900</v>
      </c>
      <c r="DU68" s="228">
        <v>800</v>
      </c>
      <c r="DV68" s="228">
        <v>0.27</v>
      </c>
      <c r="DW68" s="228">
        <v>0.47</v>
      </c>
      <c r="DX68" s="228">
        <v>-0.2</v>
      </c>
      <c r="DY68" s="229">
        <v>-0.42549999999999999</v>
      </c>
      <c r="DZ68" s="229">
        <v>1.2699999999999999E-2</v>
      </c>
      <c r="EA68" s="230">
        <v>129425</v>
      </c>
      <c r="EB68" s="229">
        <v>4.8999999999999998E-3</v>
      </c>
      <c r="EC68" s="229">
        <v>1.2699999999999999E-2</v>
      </c>
      <c r="ED68" s="228">
        <v>4.59</v>
      </c>
      <c r="EE68" s="229">
        <v>5.4000000000000003E-3</v>
      </c>
      <c r="EF68" s="230">
        <v>751865</v>
      </c>
      <c r="EG68" s="230">
        <v>1141335</v>
      </c>
      <c r="EH68" s="229">
        <v>-0.3412</v>
      </c>
      <c r="EI68" s="229">
        <v>0.48530000000000001</v>
      </c>
      <c r="EJ68" s="231">
        <v>16699.849999999999</v>
      </c>
      <c r="EK68" s="231">
        <v>4198.3599999999997</v>
      </c>
      <c r="EL68" s="231">
        <v>11453.81</v>
      </c>
      <c r="EM68" s="231">
        <v>2750</v>
      </c>
      <c r="EN68" s="231">
        <v>32352.02</v>
      </c>
      <c r="EO68" s="231">
        <v>51036.38</v>
      </c>
      <c r="EP68" s="231">
        <v>-18684.36</v>
      </c>
      <c r="EQ68" s="229">
        <v>-0.36609999999999998</v>
      </c>
      <c r="ER68" s="231">
        <v>15147</v>
      </c>
      <c r="ES68" s="231">
        <v>9892</v>
      </c>
      <c r="ET68" s="231">
        <v>102005</v>
      </c>
      <c r="EU68" s="231">
        <v>70894446</v>
      </c>
      <c r="EV68" s="231">
        <v>127044</v>
      </c>
      <c r="EW68" s="231">
        <v>125504</v>
      </c>
      <c r="EX68" s="231">
        <v>1540</v>
      </c>
      <c r="EY68" s="229">
        <v>1.23E-2</v>
      </c>
      <c r="EZ68" s="229">
        <v>0.21060000000000001</v>
      </c>
      <c r="FA68" s="227" t="s">
        <v>555</v>
      </c>
      <c r="FB68" s="161">
        <f t="shared" si="1"/>
        <v>151900</v>
      </c>
    </row>
    <row r="69" spans="1:158" ht="17.25" thickBot="1" x14ac:dyDescent="0.3">
      <c r="A69" s="226">
        <v>46121</v>
      </c>
      <c r="B69" s="227" t="s">
        <v>193</v>
      </c>
      <c r="C69" s="227" t="s">
        <v>213</v>
      </c>
      <c r="D69" s="228">
        <v>3150</v>
      </c>
      <c r="E69" s="228">
        <v>152.6</v>
      </c>
      <c r="F69" s="228">
        <v>153.59</v>
      </c>
      <c r="G69" s="228">
        <v>-0.99</v>
      </c>
      <c r="H69" s="229">
        <v>-6.4000000000000003E-3</v>
      </c>
      <c r="I69" s="228">
        <v>152.22</v>
      </c>
      <c r="J69" s="228">
        <v>153.30000000000001</v>
      </c>
      <c r="K69" s="228">
        <v>-1.08</v>
      </c>
      <c r="L69" s="229">
        <v>-7.0000000000000001E-3</v>
      </c>
      <c r="M69" s="228">
        <v>152.6</v>
      </c>
      <c r="N69" s="228">
        <v>153.59</v>
      </c>
      <c r="O69" s="228">
        <v>-0.99</v>
      </c>
      <c r="P69" s="229">
        <v>-6.4000000000000003E-3</v>
      </c>
      <c r="Q69" s="228">
        <v>153.38999999999999</v>
      </c>
      <c r="R69" s="228">
        <v>154.41999999999999</v>
      </c>
      <c r="S69" s="228">
        <v>-1.03</v>
      </c>
      <c r="T69" s="229">
        <v>-6.7000000000000002E-3</v>
      </c>
      <c r="U69" s="228">
        <v>154.4</v>
      </c>
      <c r="V69" s="228">
        <v>155.19999999999999</v>
      </c>
      <c r="W69" s="228">
        <v>-0.8</v>
      </c>
      <c r="X69" s="229">
        <v>-5.1999999999999998E-3</v>
      </c>
      <c r="Y69" s="228">
        <v>0.38</v>
      </c>
      <c r="Z69" s="228">
        <v>0.28999999999999998</v>
      </c>
      <c r="AA69" s="228">
        <v>0.09</v>
      </c>
      <c r="AB69" s="229">
        <v>2.5000000000000001E-3</v>
      </c>
      <c r="AC69" s="228">
        <v>0.38</v>
      </c>
      <c r="AD69" s="228">
        <v>0.28999999999999998</v>
      </c>
      <c r="AE69" s="228">
        <v>0.09</v>
      </c>
      <c r="AF69" s="229">
        <v>2.5000000000000001E-3</v>
      </c>
      <c r="AG69" s="228">
        <v>1.17</v>
      </c>
      <c r="AH69" s="228">
        <v>1.1200000000000001</v>
      </c>
      <c r="AI69" s="228">
        <v>0.05</v>
      </c>
      <c r="AJ69" s="229">
        <v>7.7000000000000002E-3</v>
      </c>
      <c r="AK69" s="228">
        <v>2.1800000000000002</v>
      </c>
      <c r="AL69" s="228">
        <v>1.9</v>
      </c>
      <c r="AM69" s="228">
        <v>0.28000000000000003</v>
      </c>
      <c r="AN69" s="229">
        <v>1.43E-2</v>
      </c>
      <c r="AO69" s="228">
        <v>153.46</v>
      </c>
      <c r="AP69" s="228">
        <v>154.07</v>
      </c>
      <c r="AQ69" s="228">
        <v>0</v>
      </c>
      <c r="AR69" s="230">
        <v>8064000</v>
      </c>
      <c r="AS69" s="230">
        <v>21772800</v>
      </c>
      <c r="AT69" s="230">
        <v>-13708800</v>
      </c>
      <c r="AU69" s="229">
        <v>-0.62960000000000005</v>
      </c>
      <c r="AV69" s="230">
        <v>7235550</v>
      </c>
      <c r="AW69" s="230">
        <v>20626200</v>
      </c>
      <c r="AX69" s="230">
        <v>-13390650</v>
      </c>
      <c r="AY69" s="229">
        <v>-0.6492</v>
      </c>
      <c r="AZ69" s="230">
        <v>774900</v>
      </c>
      <c r="BA69" s="230">
        <v>1023750</v>
      </c>
      <c r="BB69" s="230">
        <v>-248850</v>
      </c>
      <c r="BC69" s="229">
        <v>-0.24310000000000001</v>
      </c>
      <c r="BD69" s="230">
        <v>53550</v>
      </c>
      <c r="BE69" s="230">
        <v>122850</v>
      </c>
      <c r="BF69" s="230">
        <v>-69300</v>
      </c>
      <c r="BG69" s="229">
        <v>-0.56410000000000005</v>
      </c>
      <c r="BH69" s="230">
        <v>12297600</v>
      </c>
      <c r="BI69" s="230">
        <v>40020750</v>
      </c>
      <c r="BJ69" s="230">
        <v>-27723150</v>
      </c>
      <c r="BK69" s="229">
        <v>-0.69269999999999998</v>
      </c>
      <c r="BL69" s="230">
        <v>8186850</v>
      </c>
      <c r="BM69" s="230">
        <v>29830500</v>
      </c>
      <c r="BN69" s="230">
        <v>-21643650</v>
      </c>
      <c r="BO69" s="229">
        <v>-0.72560000000000002</v>
      </c>
      <c r="BP69" s="230">
        <v>28548450</v>
      </c>
      <c r="BQ69" s="230">
        <v>91624050</v>
      </c>
      <c r="BR69" s="230">
        <v>-63075600</v>
      </c>
      <c r="BS69" s="229">
        <v>-0.68840000000000001</v>
      </c>
      <c r="BT69" s="230">
        <v>10712190</v>
      </c>
      <c r="BU69" s="230">
        <v>22348523</v>
      </c>
      <c r="BV69" s="230">
        <v>-11636333</v>
      </c>
      <c r="BW69" s="229">
        <v>-0.52070000000000005</v>
      </c>
      <c r="BX69" s="230">
        <v>81405450</v>
      </c>
      <c r="BY69" s="230">
        <v>82003950</v>
      </c>
      <c r="BZ69" s="230">
        <v>-598500</v>
      </c>
      <c r="CA69" s="229">
        <v>-7.3000000000000001E-3</v>
      </c>
      <c r="CB69" s="230">
        <v>78535800</v>
      </c>
      <c r="CC69" s="230">
        <v>79254000</v>
      </c>
      <c r="CD69" s="230">
        <v>-718200</v>
      </c>
      <c r="CE69" s="229">
        <v>-9.1000000000000004E-3</v>
      </c>
      <c r="CF69" s="230">
        <v>2677500</v>
      </c>
      <c r="CG69" s="230">
        <v>2583000</v>
      </c>
      <c r="CH69" s="230">
        <v>94500</v>
      </c>
      <c r="CI69" s="229">
        <v>3.6600000000000001E-2</v>
      </c>
      <c r="CJ69" s="230">
        <v>192150</v>
      </c>
      <c r="CK69" s="230">
        <v>166950</v>
      </c>
      <c r="CL69" s="230">
        <v>25200</v>
      </c>
      <c r="CM69" s="229">
        <v>0.15090000000000001</v>
      </c>
      <c r="CN69" s="230">
        <v>26809650</v>
      </c>
      <c r="CO69" s="230">
        <v>26699400</v>
      </c>
      <c r="CP69" s="230">
        <v>110250</v>
      </c>
      <c r="CQ69" s="229">
        <v>4.1000000000000003E-3</v>
      </c>
      <c r="CR69" s="230">
        <v>29808450</v>
      </c>
      <c r="CS69" s="230">
        <v>29713950</v>
      </c>
      <c r="CT69" s="230">
        <v>94500</v>
      </c>
      <c r="CU69" s="229">
        <v>3.2000000000000002E-3</v>
      </c>
      <c r="CV69" s="230">
        <v>138023550</v>
      </c>
      <c r="CW69" s="230">
        <v>138417300</v>
      </c>
      <c r="CX69" s="230">
        <v>-393750</v>
      </c>
      <c r="CY69" s="229">
        <v>-2.8E-3</v>
      </c>
      <c r="CZ69" s="228">
        <v>31.45</v>
      </c>
      <c r="DA69" s="228">
        <v>32.590000000000003</v>
      </c>
      <c r="DB69" s="228">
        <v>-1.1399999999999999</v>
      </c>
      <c r="DC69" s="228">
        <v>-1.1399999999999999</v>
      </c>
      <c r="DD69" s="228">
        <v>35.85</v>
      </c>
      <c r="DE69" s="228">
        <v>35.93</v>
      </c>
      <c r="DF69" s="228">
        <v>-4.4000000000000004</v>
      </c>
      <c r="DG69" s="228">
        <v>-0.08</v>
      </c>
      <c r="DH69" s="228">
        <v>30.45</v>
      </c>
      <c r="DI69" s="228">
        <v>30.5</v>
      </c>
      <c r="DJ69" s="228">
        <v>-0.05</v>
      </c>
      <c r="DK69" s="228">
        <v>-0.05</v>
      </c>
      <c r="DL69" s="228">
        <v>32.950000000000003</v>
      </c>
      <c r="DM69" s="228">
        <v>35.380000000000003</v>
      </c>
      <c r="DN69" s="228">
        <v>-2.4300000000000002</v>
      </c>
      <c r="DO69" s="228">
        <v>-2.4300000000000002</v>
      </c>
      <c r="DP69" s="228">
        <v>1.1100000000000001</v>
      </c>
      <c r="DQ69" s="228">
        <v>1.1100000000000001</v>
      </c>
      <c r="DR69" s="228">
        <v>0</v>
      </c>
      <c r="DS69" s="229">
        <v>0</v>
      </c>
      <c r="DT69" s="228">
        <v>144</v>
      </c>
      <c r="DU69" s="228">
        <v>130</v>
      </c>
      <c r="DV69" s="228">
        <v>0.67</v>
      </c>
      <c r="DW69" s="228">
        <v>0.75</v>
      </c>
      <c r="DX69" s="228">
        <v>-0.08</v>
      </c>
      <c r="DY69" s="229">
        <v>-0.1067</v>
      </c>
      <c r="DZ69" s="229">
        <v>3.5299999999999998E-2</v>
      </c>
      <c r="EA69" s="230">
        <v>2749950</v>
      </c>
      <c r="EB69" s="229">
        <v>5.1999999999999998E-3</v>
      </c>
      <c r="EC69" s="229">
        <v>3.5299999999999998E-2</v>
      </c>
      <c r="ED69" s="228">
        <v>0.61</v>
      </c>
      <c r="EE69" s="229">
        <v>4.0000000000000001E-3</v>
      </c>
      <c r="EF69" s="230">
        <v>5709963</v>
      </c>
      <c r="EG69" s="230">
        <v>11208610</v>
      </c>
      <c r="EH69" s="229">
        <v>-0.49059999999999998</v>
      </c>
      <c r="EI69" s="229">
        <v>0.53300000000000003</v>
      </c>
      <c r="EJ69" s="231">
        <v>19832.46</v>
      </c>
      <c r="EK69" s="231">
        <v>12191.34</v>
      </c>
      <c r="EL69" s="231">
        <v>12381.1</v>
      </c>
      <c r="EM69" s="231">
        <v>4560</v>
      </c>
      <c r="EN69" s="231">
        <v>44404.9</v>
      </c>
      <c r="EO69" s="231">
        <v>141088.73000000001</v>
      </c>
      <c r="EP69" s="231">
        <v>-96683.83</v>
      </c>
      <c r="EQ69" s="229">
        <v>-0.68530000000000002</v>
      </c>
      <c r="ER69" s="231">
        <v>40915</v>
      </c>
      <c r="ES69" s="231">
        <v>44026</v>
      </c>
      <c r="ET69" s="231">
        <v>124249</v>
      </c>
      <c r="EU69" s="231">
        <v>471255857</v>
      </c>
      <c r="EV69" s="231">
        <v>209190</v>
      </c>
      <c r="EW69" s="231">
        <v>210490</v>
      </c>
      <c r="EX69" s="231">
        <v>-1300</v>
      </c>
      <c r="EY69" s="229">
        <v>-6.1999999999999998E-3</v>
      </c>
      <c r="EZ69" s="229">
        <v>0.29289999999999999</v>
      </c>
      <c r="FA69" s="227" t="s">
        <v>567</v>
      </c>
      <c r="FB69" s="161">
        <f t="shared" si="1"/>
        <v>2869650</v>
      </c>
    </row>
    <row r="70" spans="1:158" ht="17.25" thickBot="1" x14ac:dyDescent="0.3">
      <c r="A70" s="226">
        <v>46121</v>
      </c>
      <c r="B70" s="227" t="s">
        <v>170</v>
      </c>
      <c r="C70" s="227" t="s">
        <v>214</v>
      </c>
      <c r="D70" s="228">
        <v>375</v>
      </c>
      <c r="E70" s="231">
        <v>2173.3000000000002</v>
      </c>
      <c r="F70" s="231">
        <v>2177.6</v>
      </c>
      <c r="G70" s="228">
        <v>-4.3</v>
      </c>
      <c r="H70" s="229">
        <v>-2E-3</v>
      </c>
      <c r="I70" s="231">
        <v>2169.1</v>
      </c>
      <c r="J70" s="231">
        <v>2173.5</v>
      </c>
      <c r="K70" s="228">
        <v>-4.4000000000000004</v>
      </c>
      <c r="L70" s="229">
        <v>-2E-3</v>
      </c>
      <c r="M70" s="231">
        <v>2173.3000000000002</v>
      </c>
      <c r="N70" s="231">
        <v>2177.6</v>
      </c>
      <c r="O70" s="228">
        <v>-4.3</v>
      </c>
      <c r="P70" s="229">
        <v>-2E-3</v>
      </c>
      <c r="Q70" s="231">
        <v>2183.6</v>
      </c>
      <c r="R70" s="231">
        <v>2186.6</v>
      </c>
      <c r="S70" s="228">
        <v>-3</v>
      </c>
      <c r="T70" s="229">
        <v>-1.4E-3</v>
      </c>
      <c r="U70" s="231">
        <v>2194.1999999999998</v>
      </c>
      <c r="V70" s="231">
        <v>2200</v>
      </c>
      <c r="W70" s="228">
        <v>-5.8</v>
      </c>
      <c r="X70" s="229">
        <v>-2.5999999999999999E-3</v>
      </c>
      <c r="Y70" s="228">
        <v>4.2</v>
      </c>
      <c r="Z70" s="228">
        <v>4.0999999999999996</v>
      </c>
      <c r="AA70" s="228">
        <v>0.1</v>
      </c>
      <c r="AB70" s="229">
        <v>1.9E-3</v>
      </c>
      <c r="AC70" s="228">
        <v>4.2</v>
      </c>
      <c r="AD70" s="228">
        <v>4.0999999999999996</v>
      </c>
      <c r="AE70" s="228">
        <v>0.1</v>
      </c>
      <c r="AF70" s="229">
        <v>1.9E-3</v>
      </c>
      <c r="AG70" s="228">
        <v>14.5</v>
      </c>
      <c r="AH70" s="228">
        <v>13.1</v>
      </c>
      <c r="AI70" s="228">
        <v>1.4</v>
      </c>
      <c r="AJ70" s="229">
        <v>6.7000000000000002E-3</v>
      </c>
      <c r="AK70" s="228">
        <v>25.1</v>
      </c>
      <c r="AL70" s="228">
        <v>26.5</v>
      </c>
      <c r="AM70" s="228">
        <v>-1.4</v>
      </c>
      <c r="AN70" s="229">
        <v>1.1599999999999999E-2</v>
      </c>
      <c r="AO70" s="231">
        <v>2168</v>
      </c>
      <c r="AP70" s="231">
        <v>2176.94</v>
      </c>
      <c r="AQ70" s="228">
        <v>0</v>
      </c>
      <c r="AR70" s="230">
        <v>850125</v>
      </c>
      <c r="AS70" s="230">
        <v>1027125</v>
      </c>
      <c r="AT70" s="230">
        <v>-177000</v>
      </c>
      <c r="AU70" s="229">
        <v>-0.17230000000000001</v>
      </c>
      <c r="AV70" s="230">
        <v>835875</v>
      </c>
      <c r="AW70" s="230">
        <v>1006875</v>
      </c>
      <c r="AX70" s="230">
        <v>-171000</v>
      </c>
      <c r="AY70" s="229">
        <v>-0.16980000000000001</v>
      </c>
      <c r="AZ70" s="230">
        <v>13875</v>
      </c>
      <c r="BA70" s="230">
        <v>19125</v>
      </c>
      <c r="BB70" s="230">
        <v>-5250</v>
      </c>
      <c r="BC70" s="229">
        <v>-0.27450000000000002</v>
      </c>
      <c r="BD70" s="228">
        <v>375</v>
      </c>
      <c r="BE70" s="230">
        <v>1125</v>
      </c>
      <c r="BF70" s="228">
        <v>-750</v>
      </c>
      <c r="BG70" s="229">
        <v>-0.66669999999999996</v>
      </c>
      <c r="BH70" s="230">
        <v>1550625</v>
      </c>
      <c r="BI70" s="230">
        <v>2265375</v>
      </c>
      <c r="BJ70" s="230">
        <v>-714750</v>
      </c>
      <c r="BK70" s="229">
        <v>-0.3155</v>
      </c>
      <c r="BL70" s="230">
        <v>1185375</v>
      </c>
      <c r="BM70" s="230">
        <v>1039125</v>
      </c>
      <c r="BN70" s="230">
        <v>146250</v>
      </c>
      <c r="BO70" s="229">
        <v>0.14069999999999999</v>
      </c>
      <c r="BP70" s="230">
        <v>3586125</v>
      </c>
      <c r="BQ70" s="230">
        <v>4331625</v>
      </c>
      <c r="BR70" s="230">
        <v>-745500</v>
      </c>
      <c r="BS70" s="229">
        <v>-0.1721</v>
      </c>
      <c r="BT70" s="230">
        <v>684219</v>
      </c>
      <c r="BU70" s="230">
        <v>572344</v>
      </c>
      <c r="BV70" s="230">
        <v>111875</v>
      </c>
      <c r="BW70" s="229">
        <v>0.19550000000000001</v>
      </c>
      <c r="BX70" s="230">
        <v>10438875</v>
      </c>
      <c r="BY70" s="230">
        <v>10695000</v>
      </c>
      <c r="BZ70" s="230">
        <v>-256125</v>
      </c>
      <c r="CA70" s="229">
        <v>-2.3900000000000001E-2</v>
      </c>
      <c r="CB70" s="230">
        <v>10374750</v>
      </c>
      <c r="CC70" s="230">
        <v>10632375</v>
      </c>
      <c r="CD70" s="230">
        <v>-257625</v>
      </c>
      <c r="CE70" s="229">
        <v>-2.4199999999999999E-2</v>
      </c>
      <c r="CF70" s="230">
        <v>59250</v>
      </c>
      <c r="CG70" s="230">
        <v>58125</v>
      </c>
      <c r="CH70" s="230">
        <v>1125</v>
      </c>
      <c r="CI70" s="229">
        <v>1.9400000000000001E-2</v>
      </c>
      <c r="CJ70" s="230">
        <v>4875</v>
      </c>
      <c r="CK70" s="230">
        <v>4500</v>
      </c>
      <c r="CL70" s="228">
        <v>375</v>
      </c>
      <c r="CM70" s="229">
        <v>8.3299999999999999E-2</v>
      </c>
      <c r="CN70" s="230">
        <v>1429125</v>
      </c>
      <c r="CO70" s="230">
        <v>1367625</v>
      </c>
      <c r="CP70" s="230">
        <v>61500</v>
      </c>
      <c r="CQ70" s="229">
        <v>4.4999999999999998E-2</v>
      </c>
      <c r="CR70" s="230">
        <v>836625</v>
      </c>
      <c r="CS70" s="230">
        <v>775875</v>
      </c>
      <c r="CT70" s="230">
        <v>60750</v>
      </c>
      <c r="CU70" s="229">
        <v>7.8299999999999995E-2</v>
      </c>
      <c r="CV70" s="230">
        <v>12704625</v>
      </c>
      <c r="CW70" s="230">
        <v>12838500</v>
      </c>
      <c r="CX70" s="230">
        <v>-133875</v>
      </c>
      <c r="CY70" s="229">
        <v>-1.04E-2</v>
      </c>
      <c r="CZ70" s="228">
        <v>34.130000000000003</v>
      </c>
      <c r="DA70" s="228">
        <v>31.68</v>
      </c>
      <c r="DB70" s="228">
        <v>2.4500000000000002</v>
      </c>
      <c r="DC70" s="228">
        <v>2.4500000000000002</v>
      </c>
      <c r="DD70" s="228">
        <v>36.229999999999997</v>
      </c>
      <c r="DE70" s="228">
        <v>36.32</v>
      </c>
      <c r="DF70" s="228">
        <v>-2.1</v>
      </c>
      <c r="DG70" s="228">
        <v>-0.09</v>
      </c>
      <c r="DH70" s="228">
        <v>31.41</v>
      </c>
      <c r="DI70" s="228">
        <v>30.76</v>
      </c>
      <c r="DJ70" s="228">
        <v>0.65</v>
      </c>
      <c r="DK70" s="228">
        <v>0.65</v>
      </c>
      <c r="DL70" s="228">
        <v>37.69</v>
      </c>
      <c r="DM70" s="228">
        <v>33.67</v>
      </c>
      <c r="DN70" s="228">
        <v>4.0199999999999996</v>
      </c>
      <c r="DO70" s="228">
        <v>4.0199999999999996</v>
      </c>
      <c r="DP70" s="228">
        <v>0.59</v>
      </c>
      <c r="DQ70" s="228">
        <v>0.56999999999999995</v>
      </c>
      <c r="DR70" s="228">
        <v>0.02</v>
      </c>
      <c r="DS70" s="229">
        <v>3.5099999999999999E-2</v>
      </c>
      <c r="DT70" s="231">
        <v>2200</v>
      </c>
      <c r="DU70" s="231">
        <v>2100</v>
      </c>
      <c r="DV70" s="228">
        <v>0.76</v>
      </c>
      <c r="DW70" s="228">
        <v>0.46</v>
      </c>
      <c r="DX70" s="228">
        <v>0.3</v>
      </c>
      <c r="DY70" s="229">
        <v>0.6522</v>
      </c>
      <c r="DZ70" s="229">
        <v>6.1000000000000004E-3</v>
      </c>
      <c r="EA70" s="230">
        <v>62625</v>
      </c>
      <c r="EB70" s="229">
        <v>4.7000000000000002E-3</v>
      </c>
      <c r="EC70" s="229">
        <v>6.1000000000000004E-3</v>
      </c>
      <c r="ED70" s="228">
        <v>8.94</v>
      </c>
      <c r="EE70" s="229">
        <v>4.1000000000000003E-3</v>
      </c>
      <c r="EF70" s="230">
        <v>420057</v>
      </c>
      <c r="EG70" s="230">
        <v>281002</v>
      </c>
      <c r="EH70" s="229">
        <v>0.49490000000000001</v>
      </c>
      <c r="EI70" s="229">
        <v>0.6139</v>
      </c>
      <c r="EJ70" s="231">
        <v>35363.21</v>
      </c>
      <c r="EK70" s="231">
        <v>24012.16</v>
      </c>
      <c r="EL70" s="231">
        <v>18432.04</v>
      </c>
      <c r="EM70" s="231">
        <v>2665</v>
      </c>
      <c r="EN70" s="231">
        <v>77807.41</v>
      </c>
      <c r="EO70" s="231">
        <v>95605.99</v>
      </c>
      <c r="EP70" s="231">
        <v>-17798.580000000002</v>
      </c>
      <c r="EQ70" s="229">
        <v>-0.1862</v>
      </c>
      <c r="ER70" s="231">
        <v>31626</v>
      </c>
      <c r="ES70" s="231">
        <v>16976</v>
      </c>
      <c r="ET70" s="231">
        <v>226875</v>
      </c>
      <c r="EU70" s="231">
        <v>15844372</v>
      </c>
      <c r="EV70" s="231">
        <v>275477</v>
      </c>
      <c r="EW70" s="231">
        <v>278844</v>
      </c>
      <c r="EX70" s="231">
        <v>-3367</v>
      </c>
      <c r="EY70" s="229">
        <v>-1.21E-2</v>
      </c>
      <c r="EZ70" s="229">
        <v>0.80179999999999996</v>
      </c>
      <c r="FA70" s="227" t="s">
        <v>567</v>
      </c>
      <c r="FB70" s="161">
        <f t="shared" si="1"/>
        <v>64125</v>
      </c>
    </row>
    <row r="71" spans="1:158" ht="17.25" thickBot="1" x14ac:dyDescent="0.3">
      <c r="A71" s="226">
        <v>46121</v>
      </c>
      <c r="B71" s="227" t="s">
        <v>215</v>
      </c>
      <c r="C71" s="227" t="s">
        <v>630</v>
      </c>
      <c r="D71" s="228">
        <v>6975</v>
      </c>
      <c r="E71" s="228">
        <v>94.97</v>
      </c>
      <c r="F71" s="228">
        <v>96.28</v>
      </c>
      <c r="G71" s="228">
        <v>-1.31</v>
      </c>
      <c r="H71" s="229">
        <v>-1.3599999999999999E-2</v>
      </c>
      <c r="I71" s="228">
        <v>94.53</v>
      </c>
      <c r="J71" s="228">
        <v>95.82</v>
      </c>
      <c r="K71" s="228">
        <v>-1.29</v>
      </c>
      <c r="L71" s="229">
        <v>-1.35E-2</v>
      </c>
      <c r="M71" s="228">
        <v>94.97</v>
      </c>
      <c r="N71" s="228">
        <v>96.28</v>
      </c>
      <c r="O71" s="228">
        <v>-1.31</v>
      </c>
      <c r="P71" s="229">
        <v>-1.3599999999999999E-2</v>
      </c>
      <c r="Q71" s="228">
        <v>95.47</v>
      </c>
      <c r="R71" s="228">
        <v>96.7</v>
      </c>
      <c r="S71" s="228">
        <v>-1.23</v>
      </c>
      <c r="T71" s="229">
        <v>-1.2699999999999999E-2</v>
      </c>
      <c r="U71" s="228">
        <v>96.09</v>
      </c>
      <c r="V71" s="228">
        <v>97.5</v>
      </c>
      <c r="W71" s="228">
        <v>-1.41</v>
      </c>
      <c r="X71" s="229">
        <v>-1.4500000000000001E-2</v>
      </c>
      <c r="Y71" s="228">
        <v>0.44</v>
      </c>
      <c r="Z71" s="228">
        <v>0.46</v>
      </c>
      <c r="AA71" s="228">
        <v>-0.02</v>
      </c>
      <c r="AB71" s="229">
        <v>4.7000000000000002E-3</v>
      </c>
      <c r="AC71" s="228">
        <v>0.44</v>
      </c>
      <c r="AD71" s="228">
        <v>0.46</v>
      </c>
      <c r="AE71" s="228">
        <v>-0.02</v>
      </c>
      <c r="AF71" s="229">
        <v>4.7000000000000002E-3</v>
      </c>
      <c r="AG71" s="228">
        <v>0.94</v>
      </c>
      <c r="AH71" s="228">
        <v>0.88</v>
      </c>
      <c r="AI71" s="228">
        <v>0.06</v>
      </c>
      <c r="AJ71" s="229">
        <v>9.9000000000000008E-3</v>
      </c>
      <c r="AK71" s="228">
        <v>1.56</v>
      </c>
      <c r="AL71" s="228">
        <v>1.68</v>
      </c>
      <c r="AM71" s="228">
        <v>-0.12</v>
      </c>
      <c r="AN71" s="229">
        <v>1.6500000000000001E-2</v>
      </c>
      <c r="AO71" s="228">
        <v>95.05</v>
      </c>
      <c r="AP71" s="228">
        <v>95.49</v>
      </c>
      <c r="AQ71" s="228">
        <v>0</v>
      </c>
      <c r="AR71" s="230">
        <v>18916200</v>
      </c>
      <c r="AS71" s="230">
        <v>24084675</v>
      </c>
      <c r="AT71" s="230">
        <v>-5168475</v>
      </c>
      <c r="AU71" s="229">
        <v>-0.21460000000000001</v>
      </c>
      <c r="AV71" s="230">
        <v>17535150</v>
      </c>
      <c r="AW71" s="230">
        <v>22313025</v>
      </c>
      <c r="AX71" s="230">
        <v>-4777875</v>
      </c>
      <c r="AY71" s="229">
        <v>-0.21410000000000001</v>
      </c>
      <c r="AZ71" s="230">
        <v>760275</v>
      </c>
      <c r="BA71" s="230">
        <v>1185750</v>
      </c>
      <c r="BB71" s="230">
        <v>-425475</v>
      </c>
      <c r="BC71" s="229">
        <v>-0.35880000000000001</v>
      </c>
      <c r="BD71" s="230">
        <v>620775</v>
      </c>
      <c r="BE71" s="230">
        <v>585900</v>
      </c>
      <c r="BF71" s="230">
        <v>34875</v>
      </c>
      <c r="BG71" s="229">
        <v>5.9499999999999997E-2</v>
      </c>
      <c r="BH71" s="230">
        <v>28688175</v>
      </c>
      <c r="BI71" s="230">
        <v>37950975</v>
      </c>
      <c r="BJ71" s="230">
        <v>-9262800</v>
      </c>
      <c r="BK71" s="229">
        <v>-0.24410000000000001</v>
      </c>
      <c r="BL71" s="230">
        <v>14242950</v>
      </c>
      <c r="BM71" s="230">
        <v>22473450</v>
      </c>
      <c r="BN71" s="230">
        <v>-8230500</v>
      </c>
      <c r="BO71" s="229">
        <v>-0.36620000000000003</v>
      </c>
      <c r="BP71" s="230">
        <v>61847325</v>
      </c>
      <c r="BQ71" s="230">
        <v>84509100</v>
      </c>
      <c r="BR71" s="230">
        <v>-22661775</v>
      </c>
      <c r="BS71" s="229">
        <v>-0.26819999999999999</v>
      </c>
      <c r="BT71" s="230">
        <v>11784121</v>
      </c>
      <c r="BU71" s="230">
        <v>14529232</v>
      </c>
      <c r="BV71" s="230">
        <v>-2745111</v>
      </c>
      <c r="BW71" s="229">
        <v>-0.18890000000000001</v>
      </c>
      <c r="BX71" s="230">
        <v>141174000</v>
      </c>
      <c r="BY71" s="230">
        <v>140392800</v>
      </c>
      <c r="BZ71" s="230">
        <v>781200</v>
      </c>
      <c r="CA71" s="229">
        <v>5.5999999999999999E-3</v>
      </c>
      <c r="CB71" s="230">
        <v>136765800</v>
      </c>
      <c r="CC71" s="230">
        <v>136242675</v>
      </c>
      <c r="CD71" s="230">
        <v>523125</v>
      </c>
      <c r="CE71" s="229">
        <v>3.8E-3</v>
      </c>
      <c r="CF71" s="230">
        <v>3871125</v>
      </c>
      <c r="CG71" s="230">
        <v>3661875</v>
      </c>
      <c r="CH71" s="230">
        <v>209250</v>
      </c>
      <c r="CI71" s="229">
        <v>5.7099999999999998E-2</v>
      </c>
      <c r="CJ71" s="230">
        <v>537075</v>
      </c>
      <c r="CK71" s="230">
        <v>488250</v>
      </c>
      <c r="CL71" s="230">
        <v>48825</v>
      </c>
      <c r="CM71" s="229">
        <v>0.1</v>
      </c>
      <c r="CN71" s="230">
        <v>30948075</v>
      </c>
      <c r="CO71" s="230">
        <v>26602650</v>
      </c>
      <c r="CP71" s="230">
        <v>4345425</v>
      </c>
      <c r="CQ71" s="229">
        <v>0.1633</v>
      </c>
      <c r="CR71" s="230">
        <v>23791725</v>
      </c>
      <c r="CS71" s="230">
        <v>22884975</v>
      </c>
      <c r="CT71" s="230">
        <v>906750</v>
      </c>
      <c r="CU71" s="229">
        <v>3.9600000000000003E-2</v>
      </c>
      <c r="CV71" s="230">
        <v>195913800</v>
      </c>
      <c r="CW71" s="230">
        <v>189880425</v>
      </c>
      <c r="CX71" s="230">
        <v>6033375</v>
      </c>
      <c r="CY71" s="229">
        <v>3.1800000000000002E-2</v>
      </c>
      <c r="CZ71" s="228">
        <v>37.369999999999997</v>
      </c>
      <c r="DA71" s="228">
        <v>38.409999999999997</v>
      </c>
      <c r="DB71" s="228">
        <v>-1.04</v>
      </c>
      <c r="DC71" s="228">
        <v>-1.04</v>
      </c>
      <c r="DD71" s="228">
        <v>41.4</v>
      </c>
      <c r="DE71" s="228">
        <v>41.47</v>
      </c>
      <c r="DF71" s="228">
        <v>-4.03</v>
      </c>
      <c r="DG71" s="228">
        <v>-7.0000000000000007E-2</v>
      </c>
      <c r="DH71" s="228">
        <v>36.89</v>
      </c>
      <c r="DI71" s="228">
        <v>37.1</v>
      </c>
      <c r="DJ71" s="228">
        <v>-0.21</v>
      </c>
      <c r="DK71" s="228">
        <v>-0.21</v>
      </c>
      <c r="DL71" s="228">
        <v>38.33</v>
      </c>
      <c r="DM71" s="228">
        <v>40.619999999999997</v>
      </c>
      <c r="DN71" s="228">
        <v>-2.29</v>
      </c>
      <c r="DO71" s="228">
        <v>-2.29</v>
      </c>
      <c r="DP71" s="228">
        <v>0.77</v>
      </c>
      <c r="DQ71" s="228">
        <v>0.86</v>
      </c>
      <c r="DR71" s="228">
        <v>-0.09</v>
      </c>
      <c r="DS71" s="229">
        <v>-0.1047</v>
      </c>
      <c r="DT71" s="228">
        <v>95</v>
      </c>
      <c r="DU71" s="228">
        <v>95</v>
      </c>
      <c r="DV71" s="228">
        <v>0.5</v>
      </c>
      <c r="DW71" s="228">
        <v>0.59</v>
      </c>
      <c r="DX71" s="228">
        <v>-0.09</v>
      </c>
      <c r="DY71" s="229">
        <v>-0.1525</v>
      </c>
      <c r="DZ71" s="229">
        <v>3.1199999999999999E-2</v>
      </c>
      <c r="EA71" s="230">
        <v>4150125</v>
      </c>
      <c r="EB71" s="229">
        <v>5.3E-3</v>
      </c>
      <c r="EC71" s="229">
        <v>3.1199999999999999E-2</v>
      </c>
      <c r="ED71" s="228">
        <v>0.44</v>
      </c>
      <c r="EE71" s="229">
        <v>4.5999999999999999E-3</v>
      </c>
      <c r="EF71" s="230">
        <v>5538366</v>
      </c>
      <c r="EG71" s="230">
        <v>7565527</v>
      </c>
      <c r="EH71" s="229">
        <v>-0.26790000000000003</v>
      </c>
      <c r="EI71" s="229">
        <v>0.47</v>
      </c>
      <c r="EJ71" s="231">
        <v>28825.42</v>
      </c>
      <c r="EK71" s="231">
        <v>13317.3</v>
      </c>
      <c r="EL71" s="231">
        <v>17989.63</v>
      </c>
      <c r="EM71" s="231">
        <v>2556</v>
      </c>
      <c r="EN71" s="231">
        <v>60132.35</v>
      </c>
      <c r="EO71" s="231">
        <v>82089.179999999993</v>
      </c>
      <c r="EP71" s="231">
        <v>-21956.83</v>
      </c>
      <c r="EQ71" s="229">
        <v>-0.26750000000000002</v>
      </c>
      <c r="ER71" s="231">
        <v>29962</v>
      </c>
      <c r="ES71" s="231">
        <v>21557</v>
      </c>
      <c r="ET71" s="231">
        <v>134098</v>
      </c>
      <c r="EU71" s="231">
        <v>534704421</v>
      </c>
      <c r="EV71" s="231">
        <v>185617</v>
      </c>
      <c r="EW71" s="231">
        <v>181459</v>
      </c>
      <c r="EX71" s="231">
        <v>4158</v>
      </c>
      <c r="EY71" s="229">
        <v>2.29E-2</v>
      </c>
      <c r="EZ71" s="229">
        <v>0.3664</v>
      </c>
      <c r="FA71" s="227" t="s">
        <v>566</v>
      </c>
      <c r="FB71" s="161">
        <f t="shared" si="1"/>
        <v>4408200</v>
      </c>
    </row>
    <row r="72" spans="1:158" ht="17.25" thickBot="1" x14ac:dyDescent="0.3">
      <c r="A72" s="226">
        <v>46121</v>
      </c>
      <c r="B72" s="227" t="s">
        <v>702</v>
      </c>
      <c r="C72" s="227" t="s">
        <v>700</v>
      </c>
      <c r="D72" s="228">
        <v>275</v>
      </c>
      <c r="E72" s="231">
        <v>2038.7</v>
      </c>
      <c r="F72" s="231">
        <v>2013.8</v>
      </c>
      <c r="G72" s="228">
        <v>24.9</v>
      </c>
      <c r="H72" s="229">
        <v>1.24E-2</v>
      </c>
      <c r="I72" s="231">
        <v>2034.8</v>
      </c>
      <c r="J72" s="231">
        <v>2005.6</v>
      </c>
      <c r="K72" s="228">
        <v>29.2</v>
      </c>
      <c r="L72" s="229">
        <v>1.46E-2</v>
      </c>
      <c r="M72" s="231">
        <v>2038.7</v>
      </c>
      <c r="N72" s="231">
        <v>2013.8</v>
      </c>
      <c r="O72" s="228">
        <v>24.9</v>
      </c>
      <c r="P72" s="229">
        <v>1.24E-2</v>
      </c>
      <c r="Q72" s="231">
        <v>2039.9</v>
      </c>
      <c r="R72" s="231">
        <v>2011.9</v>
      </c>
      <c r="S72" s="228">
        <v>28</v>
      </c>
      <c r="T72" s="229">
        <v>1.3899999999999999E-2</v>
      </c>
      <c r="U72" s="231">
        <v>2048.4</v>
      </c>
      <c r="V72" s="231">
        <v>2025.4</v>
      </c>
      <c r="W72" s="228">
        <v>23</v>
      </c>
      <c r="X72" s="229">
        <v>1.14E-2</v>
      </c>
      <c r="Y72" s="228">
        <v>3.9</v>
      </c>
      <c r="Z72" s="228">
        <v>8.1999999999999993</v>
      </c>
      <c r="AA72" s="228">
        <v>-4.3</v>
      </c>
      <c r="AB72" s="229">
        <v>1.9E-3</v>
      </c>
      <c r="AC72" s="228">
        <v>3.9</v>
      </c>
      <c r="AD72" s="228">
        <v>8.1999999999999993</v>
      </c>
      <c r="AE72" s="228">
        <v>-4.3</v>
      </c>
      <c r="AF72" s="229">
        <v>1.9E-3</v>
      </c>
      <c r="AG72" s="228">
        <v>5.0999999999999996</v>
      </c>
      <c r="AH72" s="228">
        <v>6.3</v>
      </c>
      <c r="AI72" s="228">
        <v>-1.2</v>
      </c>
      <c r="AJ72" s="229">
        <v>2.5000000000000001E-3</v>
      </c>
      <c r="AK72" s="228">
        <v>13.6</v>
      </c>
      <c r="AL72" s="228">
        <v>19.8</v>
      </c>
      <c r="AM72" s="228">
        <v>-6.2</v>
      </c>
      <c r="AN72" s="229">
        <v>6.7000000000000002E-3</v>
      </c>
      <c r="AO72" s="231">
        <v>2053.5700000000002</v>
      </c>
      <c r="AP72" s="231">
        <v>2053.52</v>
      </c>
      <c r="AQ72" s="228">
        <v>0</v>
      </c>
      <c r="AR72" s="230">
        <v>325325</v>
      </c>
      <c r="AS72" s="230">
        <v>198275</v>
      </c>
      <c r="AT72" s="230">
        <v>127050</v>
      </c>
      <c r="AU72" s="229">
        <v>0.64080000000000004</v>
      </c>
      <c r="AV72" s="230">
        <v>305800</v>
      </c>
      <c r="AW72" s="230">
        <v>171875</v>
      </c>
      <c r="AX72" s="230">
        <v>133925</v>
      </c>
      <c r="AY72" s="229">
        <v>0.7792</v>
      </c>
      <c r="AZ72" s="230">
        <v>16500</v>
      </c>
      <c r="BA72" s="230">
        <v>21725</v>
      </c>
      <c r="BB72" s="230">
        <v>-5225</v>
      </c>
      <c r="BC72" s="229">
        <v>-0.24049999999999999</v>
      </c>
      <c r="BD72" s="230">
        <v>3025</v>
      </c>
      <c r="BE72" s="230">
        <v>4675</v>
      </c>
      <c r="BF72" s="230">
        <v>-1650</v>
      </c>
      <c r="BG72" s="229">
        <v>-0.35289999999999999</v>
      </c>
      <c r="BH72" s="230">
        <v>681725</v>
      </c>
      <c r="BI72" s="230">
        <v>170500</v>
      </c>
      <c r="BJ72" s="230">
        <v>511225</v>
      </c>
      <c r="BK72" s="229">
        <v>2.9984000000000002</v>
      </c>
      <c r="BL72" s="230">
        <v>124025</v>
      </c>
      <c r="BM72" s="230">
        <v>71775</v>
      </c>
      <c r="BN72" s="230">
        <v>52250</v>
      </c>
      <c r="BO72" s="229">
        <v>0.72799999999999998</v>
      </c>
      <c r="BP72" s="230">
        <v>1131075</v>
      </c>
      <c r="BQ72" s="230">
        <v>440550</v>
      </c>
      <c r="BR72" s="230">
        <v>690525</v>
      </c>
      <c r="BS72" s="229">
        <v>1.5673999999999999</v>
      </c>
      <c r="BT72" s="230">
        <v>1281411</v>
      </c>
      <c r="BU72" s="230">
        <v>1050645</v>
      </c>
      <c r="BV72" s="230">
        <v>230766</v>
      </c>
      <c r="BW72" s="229">
        <v>0.21959999999999999</v>
      </c>
      <c r="BX72" s="230">
        <v>287925</v>
      </c>
      <c r="BY72" s="230">
        <v>229075</v>
      </c>
      <c r="BZ72" s="230">
        <v>58850</v>
      </c>
      <c r="CA72" s="229">
        <v>0.25690000000000002</v>
      </c>
      <c r="CB72" s="230">
        <v>258775</v>
      </c>
      <c r="CC72" s="230">
        <v>207350</v>
      </c>
      <c r="CD72" s="230">
        <v>51425</v>
      </c>
      <c r="CE72" s="229">
        <v>0.248</v>
      </c>
      <c r="CF72" s="230">
        <v>17050</v>
      </c>
      <c r="CG72" s="230">
        <v>12650</v>
      </c>
      <c r="CH72" s="230">
        <v>4400</v>
      </c>
      <c r="CI72" s="229">
        <v>0.3478</v>
      </c>
      <c r="CJ72" s="230">
        <v>12100</v>
      </c>
      <c r="CK72" s="230">
        <v>9075</v>
      </c>
      <c r="CL72" s="230">
        <v>3025</v>
      </c>
      <c r="CM72" s="229">
        <v>0.33329999999999999</v>
      </c>
      <c r="CN72" s="230">
        <v>155925</v>
      </c>
      <c r="CO72" s="230">
        <v>67375</v>
      </c>
      <c r="CP72" s="230">
        <v>88550</v>
      </c>
      <c r="CQ72" s="229">
        <v>1.3143</v>
      </c>
      <c r="CR72" s="230">
        <v>78100</v>
      </c>
      <c r="CS72" s="230">
        <v>66550</v>
      </c>
      <c r="CT72" s="230">
        <v>11550</v>
      </c>
      <c r="CU72" s="229">
        <v>0.1736</v>
      </c>
      <c r="CV72" s="230">
        <v>521950</v>
      </c>
      <c r="CW72" s="230">
        <v>363000</v>
      </c>
      <c r="CX72" s="230">
        <v>158950</v>
      </c>
      <c r="CY72" s="229">
        <v>0.43790000000000001</v>
      </c>
      <c r="CZ72" s="228">
        <v>51.56</v>
      </c>
      <c r="DA72" s="228">
        <v>48.79</v>
      </c>
      <c r="DB72" s="228">
        <v>2.77</v>
      </c>
      <c r="DC72" s="228">
        <v>2.77</v>
      </c>
      <c r="DD72" s="228">
        <v>71.64</v>
      </c>
      <c r="DE72" s="228">
        <v>71.8</v>
      </c>
      <c r="DF72" s="228">
        <v>-20.079999999999998</v>
      </c>
      <c r="DG72" s="228">
        <v>-0.16</v>
      </c>
      <c r="DH72" s="228">
        <v>50.64</v>
      </c>
      <c r="DI72" s="228">
        <v>46.54</v>
      </c>
      <c r="DJ72" s="228">
        <v>4.0999999999999996</v>
      </c>
      <c r="DK72" s="228">
        <v>4.0999999999999996</v>
      </c>
      <c r="DL72" s="228">
        <v>56.62</v>
      </c>
      <c r="DM72" s="228">
        <v>54.12</v>
      </c>
      <c r="DN72" s="228">
        <v>2.5</v>
      </c>
      <c r="DO72" s="228">
        <v>2.5</v>
      </c>
      <c r="DP72" s="228">
        <v>0.5</v>
      </c>
      <c r="DQ72" s="228">
        <v>0.99</v>
      </c>
      <c r="DR72" s="228">
        <v>-0.49</v>
      </c>
      <c r="DS72" s="229">
        <v>-0.49490000000000001</v>
      </c>
      <c r="DT72" s="231">
        <v>2100</v>
      </c>
      <c r="DU72" s="231">
        <v>2000</v>
      </c>
      <c r="DV72" s="228">
        <v>0.18</v>
      </c>
      <c r="DW72" s="228">
        <v>0.42</v>
      </c>
      <c r="DX72" s="228">
        <v>-0.24</v>
      </c>
      <c r="DY72" s="229">
        <v>-0.57140000000000002</v>
      </c>
      <c r="DZ72" s="229">
        <v>0.1012</v>
      </c>
      <c r="EA72" s="230">
        <v>21725</v>
      </c>
      <c r="EB72" s="229">
        <v>5.9999999999999995E-4</v>
      </c>
      <c r="EC72" s="229">
        <v>0.1012</v>
      </c>
      <c r="ED72" s="228">
        <v>-0.05</v>
      </c>
      <c r="EE72" s="229">
        <v>0</v>
      </c>
      <c r="EF72" s="230">
        <v>247736</v>
      </c>
      <c r="EG72" s="230">
        <v>287253</v>
      </c>
      <c r="EH72" s="229">
        <v>-0.1376</v>
      </c>
      <c r="EI72" s="229">
        <v>0.1933</v>
      </c>
      <c r="EJ72" s="231">
        <v>14971.14</v>
      </c>
      <c r="EK72" s="231">
        <v>2357.36</v>
      </c>
      <c r="EL72" s="231">
        <v>6681.33</v>
      </c>
      <c r="EM72" s="228">
        <v>541</v>
      </c>
      <c r="EN72" s="231">
        <v>24009.83</v>
      </c>
      <c r="EO72" s="231">
        <v>8970.5300000000007</v>
      </c>
      <c r="EP72" s="231">
        <v>15039.3</v>
      </c>
      <c r="EQ72" s="229">
        <v>1.6765000000000001</v>
      </c>
      <c r="ER72" s="231">
        <v>3269</v>
      </c>
      <c r="ES72" s="231">
        <v>1464</v>
      </c>
      <c r="ET72" s="231">
        <v>5871</v>
      </c>
      <c r="EU72" s="231">
        <v>6329596</v>
      </c>
      <c r="EV72" s="231">
        <v>10604</v>
      </c>
      <c r="EW72" s="231">
        <v>7209</v>
      </c>
      <c r="EX72" s="231">
        <v>3395</v>
      </c>
      <c r="EY72" s="229">
        <v>0.47089999999999999</v>
      </c>
      <c r="EZ72" s="229">
        <v>8.2500000000000004E-2</v>
      </c>
      <c r="FA72" s="227" t="s">
        <v>555</v>
      </c>
      <c r="FB72" s="161">
        <f t="shared" si="1"/>
        <v>29150</v>
      </c>
    </row>
    <row r="73" spans="1:158" ht="17.25" thickBot="1" x14ac:dyDescent="0.3">
      <c r="A73" s="226">
        <v>46121</v>
      </c>
      <c r="B73" s="227" t="s">
        <v>168</v>
      </c>
      <c r="C73" s="227" t="s">
        <v>217</v>
      </c>
      <c r="D73" s="228">
        <v>500</v>
      </c>
      <c r="E73" s="231">
        <v>1066.8</v>
      </c>
      <c r="F73" s="231">
        <v>1080.7</v>
      </c>
      <c r="G73" s="228">
        <v>-13.9</v>
      </c>
      <c r="H73" s="229">
        <v>-1.29E-2</v>
      </c>
      <c r="I73" s="231">
        <v>1063.3499999999999</v>
      </c>
      <c r="J73" s="231">
        <v>1075.1500000000001</v>
      </c>
      <c r="K73" s="228">
        <v>-11.8</v>
      </c>
      <c r="L73" s="229">
        <v>-1.0999999999999999E-2</v>
      </c>
      <c r="M73" s="231">
        <v>1066.8</v>
      </c>
      <c r="N73" s="231">
        <v>1080.7</v>
      </c>
      <c r="O73" s="228">
        <v>-13.9</v>
      </c>
      <c r="P73" s="229">
        <v>-1.29E-2</v>
      </c>
      <c r="Q73" s="231">
        <v>1066.95</v>
      </c>
      <c r="R73" s="231">
        <v>1083.25</v>
      </c>
      <c r="S73" s="228">
        <v>-16.3</v>
      </c>
      <c r="T73" s="229">
        <v>-1.4999999999999999E-2</v>
      </c>
      <c r="U73" s="231">
        <v>1091</v>
      </c>
      <c r="V73" s="231">
        <v>1085</v>
      </c>
      <c r="W73" s="228">
        <v>6</v>
      </c>
      <c r="X73" s="229">
        <v>5.4999999999999997E-3</v>
      </c>
      <c r="Y73" s="228">
        <v>3.45</v>
      </c>
      <c r="Z73" s="228">
        <v>5.55</v>
      </c>
      <c r="AA73" s="228">
        <v>-2.1</v>
      </c>
      <c r="AB73" s="229">
        <v>3.2000000000000002E-3</v>
      </c>
      <c r="AC73" s="228">
        <v>3.45</v>
      </c>
      <c r="AD73" s="228">
        <v>5.55</v>
      </c>
      <c r="AE73" s="228">
        <v>-2.1</v>
      </c>
      <c r="AF73" s="229">
        <v>3.2000000000000002E-3</v>
      </c>
      <c r="AG73" s="228">
        <v>3.6</v>
      </c>
      <c r="AH73" s="228">
        <v>8.1</v>
      </c>
      <c r="AI73" s="228">
        <v>-4.5</v>
      </c>
      <c r="AJ73" s="229">
        <v>3.3999999999999998E-3</v>
      </c>
      <c r="AK73" s="228">
        <v>27.65</v>
      </c>
      <c r="AL73" s="228">
        <v>9.85</v>
      </c>
      <c r="AM73" s="228">
        <v>17.8</v>
      </c>
      <c r="AN73" s="229">
        <v>2.5999999999999999E-2</v>
      </c>
      <c r="AO73" s="231">
        <v>1070.8399999999999</v>
      </c>
      <c r="AP73" s="231">
        <v>1074.42</v>
      </c>
      <c r="AQ73" s="228">
        <v>0</v>
      </c>
      <c r="AR73" s="230">
        <v>1332000</v>
      </c>
      <c r="AS73" s="230">
        <v>3478500</v>
      </c>
      <c r="AT73" s="230">
        <v>-2146500</v>
      </c>
      <c r="AU73" s="229">
        <v>-0.61709999999999998</v>
      </c>
      <c r="AV73" s="230">
        <v>1310000</v>
      </c>
      <c r="AW73" s="230">
        <v>3443500</v>
      </c>
      <c r="AX73" s="230">
        <v>-2133500</v>
      </c>
      <c r="AY73" s="229">
        <v>-0.61960000000000004</v>
      </c>
      <c r="AZ73" s="230">
        <v>21500</v>
      </c>
      <c r="BA73" s="230">
        <v>33500</v>
      </c>
      <c r="BB73" s="230">
        <v>-12000</v>
      </c>
      <c r="BC73" s="229">
        <v>-0.35820000000000002</v>
      </c>
      <c r="BD73" s="228">
        <v>500</v>
      </c>
      <c r="BE73" s="230">
        <v>1500</v>
      </c>
      <c r="BF73" s="230">
        <v>-1000</v>
      </c>
      <c r="BG73" s="229">
        <v>-0.66669999999999996</v>
      </c>
      <c r="BH73" s="230">
        <v>819000</v>
      </c>
      <c r="BI73" s="230">
        <v>2893500</v>
      </c>
      <c r="BJ73" s="230">
        <v>-2074500</v>
      </c>
      <c r="BK73" s="229">
        <v>-0.71699999999999997</v>
      </c>
      <c r="BL73" s="230">
        <v>540500</v>
      </c>
      <c r="BM73" s="230">
        <v>1582500</v>
      </c>
      <c r="BN73" s="230">
        <v>-1042000</v>
      </c>
      <c r="BO73" s="229">
        <v>-0.65849999999999997</v>
      </c>
      <c r="BP73" s="230">
        <v>2691500</v>
      </c>
      <c r="BQ73" s="230">
        <v>7954500</v>
      </c>
      <c r="BR73" s="230">
        <v>-5263000</v>
      </c>
      <c r="BS73" s="229">
        <v>-0.66159999999999997</v>
      </c>
      <c r="BT73" s="230">
        <v>1207544</v>
      </c>
      <c r="BU73" s="230">
        <v>3362644</v>
      </c>
      <c r="BV73" s="230">
        <v>-2155100</v>
      </c>
      <c r="BW73" s="229">
        <v>-0.64090000000000003</v>
      </c>
      <c r="BX73" s="230">
        <v>12480000</v>
      </c>
      <c r="BY73" s="230">
        <v>12270000</v>
      </c>
      <c r="BZ73" s="230">
        <v>210000</v>
      </c>
      <c r="CA73" s="229">
        <v>1.7100000000000001E-2</v>
      </c>
      <c r="CB73" s="230">
        <v>12400500</v>
      </c>
      <c r="CC73" s="230">
        <v>12191500</v>
      </c>
      <c r="CD73" s="230">
        <v>209000</v>
      </c>
      <c r="CE73" s="229">
        <v>1.7100000000000001E-2</v>
      </c>
      <c r="CF73" s="230">
        <v>77000</v>
      </c>
      <c r="CG73" s="230">
        <v>76500</v>
      </c>
      <c r="CH73" s="228">
        <v>500</v>
      </c>
      <c r="CI73" s="229">
        <v>6.4999999999999997E-3</v>
      </c>
      <c r="CJ73" s="230">
        <v>2500</v>
      </c>
      <c r="CK73" s="230">
        <v>2000</v>
      </c>
      <c r="CL73" s="228">
        <v>500</v>
      </c>
      <c r="CM73" s="229">
        <v>0.25</v>
      </c>
      <c r="CN73" s="230">
        <v>1142000</v>
      </c>
      <c r="CO73" s="230">
        <v>1100500</v>
      </c>
      <c r="CP73" s="230">
        <v>41500</v>
      </c>
      <c r="CQ73" s="229">
        <v>3.7699999999999997E-2</v>
      </c>
      <c r="CR73" s="230">
        <v>1055500</v>
      </c>
      <c r="CS73" s="230">
        <v>1025500</v>
      </c>
      <c r="CT73" s="230">
        <v>30000</v>
      </c>
      <c r="CU73" s="229">
        <v>2.93E-2</v>
      </c>
      <c r="CV73" s="230">
        <v>14677500</v>
      </c>
      <c r="CW73" s="230">
        <v>14396000</v>
      </c>
      <c r="CX73" s="230">
        <v>281500</v>
      </c>
      <c r="CY73" s="229">
        <v>1.9599999999999999E-2</v>
      </c>
      <c r="CZ73" s="228">
        <v>31.47</v>
      </c>
      <c r="DA73" s="228">
        <v>30.98</v>
      </c>
      <c r="DB73" s="228">
        <v>0.49</v>
      </c>
      <c r="DC73" s="228">
        <v>0.49</v>
      </c>
      <c r="DD73" s="228">
        <v>30.26</v>
      </c>
      <c r="DE73" s="228">
        <v>30.3</v>
      </c>
      <c r="DF73" s="228">
        <v>1.21</v>
      </c>
      <c r="DG73" s="228">
        <v>-0.04</v>
      </c>
      <c r="DH73" s="228">
        <v>30.62</v>
      </c>
      <c r="DI73" s="228">
        <v>30.32</v>
      </c>
      <c r="DJ73" s="228">
        <v>0.3</v>
      </c>
      <c r="DK73" s="228">
        <v>0.3</v>
      </c>
      <c r="DL73" s="228">
        <v>32.76</v>
      </c>
      <c r="DM73" s="228">
        <v>32.18</v>
      </c>
      <c r="DN73" s="228">
        <v>0.57999999999999996</v>
      </c>
      <c r="DO73" s="228">
        <v>0.57999999999999996</v>
      </c>
      <c r="DP73" s="228">
        <v>0.92</v>
      </c>
      <c r="DQ73" s="228">
        <v>0.93</v>
      </c>
      <c r="DR73" s="228">
        <v>-0.01</v>
      </c>
      <c r="DS73" s="229">
        <v>-1.0800000000000001E-2</v>
      </c>
      <c r="DT73" s="231">
        <v>1100</v>
      </c>
      <c r="DU73" s="231">
        <v>1000</v>
      </c>
      <c r="DV73" s="228">
        <v>0.66</v>
      </c>
      <c r="DW73" s="228">
        <v>0.55000000000000004</v>
      </c>
      <c r="DX73" s="228">
        <v>0.11</v>
      </c>
      <c r="DY73" s="229">
        <v>0.2</v>
      </c>
      <c r="DZ73" s="229">
        <v>6.4000000000000003E-3</v>
      </c>
      <c r="EA73" s="230">
        <v>78500</v>
      </c>
      <c r="EB73" s="229">
        <v>1E-4</v>
      </c>
      <c r="EC73" s="229">
        <v>6.4000000000000003E-3</v>
      </c>
      <c r="ED73" s="228">
        <v>3.58</v>
      </c>
      <c r="EE73" s="229">
        <v>3.3E-3</v>
      </c>
      <c r="EF73" s="230">
        <v>644734</v>
      </c>
      <c r="EG73" s="230">
        <v>2143424</v>
      </c>
      <c r="EH73" s="229">
        <v>-0.69920000000000004</v>
      </c>
      <c r="EI73" s="229">
        <v>0.53390000000000004</v>
      </c>
      <c r="EJ73" s="231">
        <v>9171.2900000000009</v>
      </c>
      <c r="EK73" s="231">
        <v>5722.63</v>
      </c>
      <c r="EL73" s="231">
        <v>14264.47</v>
      </c>
      <c r="EM73" s="231">
        <v>5343</v>
      </c>
      <c r="EN73" s="231">
        <v>29158.39</v>
      </c>
      <c r="EO73" s="231">
        <v>86826.5</v>
      </c>
      <c r="EP73" s="231">
        <v>-57668.11</v>
      </c>
      <c r="EQ73" s="229">
        <v>-0.66420000000000001</v>
      </c>
      <c r="ER73" s="231">
        <v>12304</v>
      </c>
      <c r="ES73" s="231">
        <v>10694</v>
      </c>
      <c r="ET73" s="231">
        <v>133137</v>
      </c>
      <c r="EU73" s="231">
        <v>53250524</v>
      </c>
      <c r="EV73" s="231">
        <v>156136</v>
      </c>
      <c r="EW73" s="231">
        <v>154877</v>
      </c>
      <c r="EX73" s="231">
        <v>1259</v>
      </c>
      <c r="EY73" s="229">
        <v>8.0999999999999996E-3</v>
      </c>
      <c r="EZ73" s="229">
        <v>0.27560000000000001</v>
      </c>
      <c r="FA73" s="227" t="s">
        <v>566</v>
      </c>
      <c r="FB73" s="161">
        <f t="shared" si="1"/>
        <v>79500</v>
      </c>
    </row>
    <row r="74" spans="1:158" ht="17.25" thickBot="1" x14ac:dyDescent="0.3">
      <c r="A74" s="226">
        <v>46121</v>
      </c>
      <c r="B74" s="227" t="s">
        <v>206</v>
      </c>
      <c r="C74" s="227" t="s">
        <v>218</v>
      </c>
      <c r="D74" s="228">
        <v>275</v>
      </c>
      <c r="E74" s="231">
        <v>1700.1</v>
      </c>
      <c r="F74" s="231">
        <v>1711.3</v>
      </c>
      <c r="G74" s="228">
        <v>-11.2</v>
      </c>
      <c r="H74" s="229">
        <v>-6.4999999999999997E-3</v>
      </c>
      <c r="I74" s="231">
        <v>1695.5</v>
      </c>
      <c r="J74" s="231">
        <v>1702.2</v>
      </c>
      <c r="K74" s="228">
        <v>-6.7</v>
      </c>
      <c r="L74" s="229">
        <v>-3.8999999999999998E-3</v>
      </c>
      <c r="M74" s="231">
        <v>1700.1</v>
      </c>
      <c r="N74" s="231">
        <v>1711.3</v>
      </c>
      <c r="O74" s="228">
        <v>-11.2</v>
      </c>
      <c r="P74" s="229">
        <v>-6.4999999999999997E-3</v>
      </c>
      <c r="Q74" s="231">
        <v>1709.6</v>
      </c>
      <c r="R74" s="231">
        <v>1722</v>
      </c>
      <c r="S74" s="228">
        <v>-12.4</v>
      </c>
      <c r="T74" s="229">
        <v>-7.1999999999999998E-3</v>
      </c>
      <c r="U74" s="231">
        <v>1713.3</v>
      </c>
      <c r="V74" s="231">
        <v>1732.2</v>
      </c>
      <c r="W74" s="228">
        <v>-18.899999999999999</v>
      </c>
      <c r="X74" s="229">
        <v>-1.09E-2</v>
      </c>
      <c r="Y74" s="228">
        <v>4.5999999999999996</v>
      </c>
      <c r="Z74" s="228">
        <v>9.1</v>
      </c>
      <c r="AA74" s="228">
        <v>-4.5</v>
      </c>
      <c r="AB74" s="229">
        <v>2.7000000000000001E-3</v>
      </c>
      <c r="AC74" s="228">
        <v>4.5999999999999996</v>
      </c>
      <c r="AD74" s="228">
        <v>9.1</v>
      </c>
      <c r="AE74" s="228">
        <v>-4.5</v>
      </c>
      <c r="AF74" s="229">
        <v>2.7000000000000001E-3</v>
      </c>
      <c r="AG74" s="228">
        <v>14.1</v>
      </c>
      <c r="AH74" s="228">
        <v>19.8</v>
      </c>
      <c r="AI74" s="228">
        <v>-5.7</v>
      </c>
      <c r="AJ74" s="229">
        <v>8.3000000000000001E-3</v>
      </c>
      <c r="AK74" s="228">
        <v>17.8</v>
      </c>
      <c r="AL74" s="228">
        <v>30</v>
      </c>
      <c r="AM74" s="228">
        <v>-12.2</v>
      </c>
      <c r="AN74" s="229">
        <v>1.0500000000000001E-2</v>
      </c>
      <c r="AO74" s="231">
        <v>1700.1</v>
      </c>
      <c r="AP74" s="231">
        <v>1709.39</v>
      </c>
      <c r="AQ74" s="228">
        <v>0</v>
      </c>
      <c r="AR74" s="230">
        <v>929775</v>
      </c>
      <c r="AS74" s="230">
        <v>1379675</v>
      </c>
      <c r="AT74" s="230">
        <v>-449900</v>
      </c>
      <c r="AU74" s="229">
        <v>-0.3261</v>
      </c>
      <c r="AV74" s="230">
        <v>877800</v>
      </c>
      <c r="AW74" s="230">
        <v>1283150</v>
      </c>
      <c r="AX74" s="230">
        <v>-405350</v>
      </c>
      <c r="AY74" s="229">
        <v>-0.31590000000000001</v>
      </c>
      <c r="AZ74" s="230">
        <v>44000</v>
      </c>
      <c r="BA74" s="230">
        <v>73700</v>
      </c>
      <c r="BB74" s="230">
        <v>-29700</v>
      </c>
      <c r="BC74" s="229">
        <v>-0.40300000000000002</v>
      </c>
      <c r="BD74" s="230">
        <v>7975</v>
      </c>
      <c r="BE74" s="230">
        <v>22825</v>
      </c>
      <c r="BF74" s="230">
        <v>-14850</v>
      </c>
      <c r="BG74" s="229">
        <v>-0.65059999999999996</v>
      </c>
      <c r="BH74" s="230">
        <v>1310100</v>
      </c>
      <c r="BI74" s="230">
        <v>3469400</v>
      </c>
      <c r="BJ74" s="230">
        <v>-2159300</v>
      </c>
      <c r="BK74" s="229">
        <v>-0.62239999999999995</v>
      </c>
      <c r="BL74" s="230">
        <v>1218525</v>
      </c>
      <c r="BM74" s="230">
        <v>2023175</v>
      </c>
      <c r="BN74" s="230">
        <v>-804650</v>
      </c>
      <c r="BO74" s="229">
        <v>-0.3977</v>
      </c>
      <c r="BP74" s="230">
        <v>3458400</v>
      </c>
      <c r="BQ74" s="230">
        <v>6872250</v>
      </c>
      <c r="BR74" s="230">
        <v>-3413850</v>
      </c>
      <c r="BS74" s="229">
        <v>-0.49680000000000002</v>
      </c>
      <c r="BT74" s="230">
        <v>822104</v>
      </c>
      <c r="BU74" s="230">
        <v>1522339</v>
      </c>
      <c r="BV74" s="230">
        <v>-700235</v>
      </c>
      <c r="BW74" s="229">
        <v>-0.46</v>
      </c>
      <c r="BX74" s="230">
        <v>7997000</v>
      </c>
      <c r="BY74" s="230">
        <v>7956025</v>
      </c>
      <c r="BZ74" s="230">
        <v>40975</v>
      </c>
      <c r="CA74" s="229">
        <v>5.1999999999999998E-3</v>
      </c>
      <c r="CB74" s="230">
        <v>7762425</v>
      </c>
      <c r="CC74" s="230">
        <v>7736025</v>
      </c>
      <c r="CD74" s="230">
        <v>26400</v>
      </c>
      <c r="CE74" s="229">
        <v>3.3999999999999998E-3</v>
      </c>
      <c r="CF74" s="230">
        <v>212300</v>
      </c>
      <c r="CG74" s="230">
        <v>195250</v>
      </c>
      <c r="CH74" s="230">
        <v>17050</v>
      </c>
      <c r="CI74" s="229">
        <v>8.7300000000000003E-2</v>
      </c>
      <c r="CJ74" s="230">
        <v>22275</v>
      </c>
      <c r="CK74" s="230">
        <v>24750</v>
      </c>
      <c r="CL74" s="230">
        <v>-2475</v>
      </c>
      <c r="CM74" s="229">
        <v>-0.1</v>
      </c>
      <c r="CN74" s="230">
        <v>2150225</v>
      </c>
      <c r="CO74" s="230">
        <v>2194775</v>
      </c>
      <c r="CP74" s="230">
        <v>-44550</v>
      </c>
      <c r="CQ74" s="229">
        <v>-2.0299999999999999E-2</v>
      </c>
      <c r="CR74" s="230">
        <v>1721500</v>
      </c>
      <c r="CS74" s="230">
        <v>1672275</v>
      </c>
      <c r="CT74" s="230">
        <v>49225</v>
      </c>
      <c r="CU74" s="229">
        <v>2.9399999999999999E-2</v>
      </c>
      <c r="CV74" s="230">
        <v>11868725</v>
      </c>
      <c r="CW74" s="230">
        <v>11823075</v>
      </c>
      <c r="CX74" s="230">
        <v>45650</v>
      </c>
      <c r="CY74" s="229">
        <v>3.8999999999999998E-3</v>
      </c>
      <c r="CZ74" s="228">
        <v>42.82</v>
      </c>
      <c r="DA74" s="228">
        <v>42.81</v>
      </c>
      <c r="DB74" s="228">
        <v>0.01</v>
      </c>
      <c r="DC74" s="228">
        <v>0.01</v>
      </c>
      <c r="DD74" s="228">
        <v>46.2</v>
      </c>
      <c r="DE74" s="228">
        <v>46.31</v>
      </c>
      <c r="DF74" s="228">
        <v>-3.38</v>
      </c>
      <c r="DG74" s="228">
        <v>-0.11</v>
      </c>
      <c r="DH74" s="228">
        <v>41.1</v>
      </c>
      <c r="DI74" s="228">
        <v>40.89</v>
      </c>
      <c r="DJ74" s="228">
        <v>0.21</v>
      </c>
      <c r="DK74" s="228">
        <v>0.21</v>
      </c>
      <c r="DL74" s="228">
        <v>44.66</v>
      </c>
      <c r="DM74" s="228">
        <v>46.09</v>
      </c>
      <c r="DN74" s="228">
        <v>-1.43</v>
      </c>
      <c r="DO74" s="228">
        <v>-1.43</v>
      </c>
      <c r="DP74" s="228">
        <v>0.8</v>
      </c>
      <c r="DQ74" s="228">
        <v>0.76</v>
      </c>
      <c r="DR74" s="228">
        <v>0.04</v>
      </c>
      <c r="DS74" s="229">
        <v>5.2600000000000001E-2</v>
      </c>
      <c r="DT74" s="231">
        <v>1700</v>
      </c>
      <c r="DU74" s="231">
        <v>1500</v>
      </c>
      <c r="DV74" s="228">
        <v>0.93</v>
      </c>
      <c r="DW74" s="228">
        <v>0.57999999999999996</v>
      </c>
      <c r="DX74" s="228">
        <v>0.35</v>
      </c>
      <c r="DY74" s="229">
        <v>0.60340000000000005</v>
      </c>
      <c r="DZ74" s="229">
        <v>2.93E-2</v>
      </c>
      <c r="EA74" s="230">
        <v>220000</v>
      </c>
      <c r="EB74" s="229">
        <v>5.5999999999999999E-3</v>
      </c>
      <c r="EC74" s="229">
        <v>2.93E-2</v>
      </c>
      <c r="ED74" s="228">
        <v>9.2899999999999991</v>
      </c>
      <c r="EE74" s="229">
        <v>5.4999999999999997E-3</v>
      </c>
      <c r="EF74" s="230">
        <v>353841</v>
      </c>
      <c r="EG74" s="230">
        <v>720759</v>
      </c>
      <c r="EH74" s="229">
        <v>-0.5091</v>
      </c>
      <c r="EI74" s="229">
        <v>0.4304</v>
      </c>
      <c r="EJ74" s="231">
        <v>23667.71</v>
      </c>
      <c r="EK74" s="231">
        <v>20216.46</v>
      </c>
      <c r="EL74" s="231">
        <v>15812.57</v>
      </c>
      <c r="EM74" s="231">
        <v>5057</v>
      </c>
      <c r="EN74" s="231">
        <v>59696.74</v>
      </c>
      <c r="EO74" s="231">
        <v>118913.69</v>
      </c>
      <c r="EP74" s="231">
        <v>-59216.95</v>
      </c>
      <c r="EQ74" s="229">
        <v>-0.498</v>
      </c>
      <c r="ER74" s="231">
        <v>36303</v>
      </c>
      <c r="ES74" s="231">
        <v>26571</v>
      </c>
      <c r="ET74" s="231">
        <v>135980</v>
      </c>
      <c r="EU74" s="231">
        <v>23870110</v>
      </c>
      <c r="EV74" s="231">
        <v>198854</v>
      </c>
      <c r="EW74" s="231">
        <v>198949</v>
      </c>
      <c r="EX74" s="228">
        <v>-95</v>
      </c>
      <c r="EY74" s="229">
        <v>-5.0000000000000001E-4</v>
      </c>
      <c r="EZ74" s="229">
        <v>0.49719999999999998</v>
      </c>
      <c r="FA74" s="227" t="s">
        <v>566</v>
      </c>
      <c r="FB74" s="161">
        <f t="shared" si="1"/>
        <v>234575</v>
      </c>
    </row>
    <row r="75" spans="1:158" ht="17.25" thickBot="1" x14ac:dyDescent="0.3">
      <c r="A75" s="226">
        <v>46121</v>
      </c>
      <c r="B75" s="227" t="s">
        <v>157</v>
      </c>
      <c r="C75" s="227" t="s">
        <v>219</v>
      </c>
      <c r="D75" s="228">
        <v>250</v>
      </c>
      <c r="E75" s="231">
        <v>2746.7</v>
      </c>
      <c r="F75" s="231">
        <v>2766.4</v>
      </c>
      <c r="G75" s="228">
        <v>-19.7</v>
      </c>
      <c r="H75" s="229">
        <v>-7.1000000000000004E-3</v>
      </c>
      <c r="I75" s="231">
        <v>2740.5</v>
      </c>
      <c r="J75" s="231">
        <v>2756.2</v>
      </c>
      <c r="K75" s="228">
        <v>-15.7</v>
      </c>
      <c r="L75" s="229">
        <v>-5.7000000000000002E-3</v>
      </c>
      <c r="M75" s="231">
        <v>2746.7</v>
      </c>
      <c r="N75" s="231">
        <v>2766.4</v>
      </c>
      <c r="O75" s="228">
        <v>-19.7</v>
      </c>
      <c r="P75" s="229">
        <v>-7.1000000000000004E-3</v>
      </c>
      <c r="Q75" s="231">
        <v>2760.2</v>
      </c>
      <c r="R75" s="231">
        <v>2785.6</v>
      </c>
      <c r="S75" s="228">
        <v>-25.4</v>
      </c>
      <c r="T75" s="229">
        <v>-9.1000000000000004E-3</v>
      </c>
      <c r="U75" s="231">
        <v>2777.6</v>
      </c>
      <c r="V75" s="231">
        <v>2798.6</v>
      </c>
      <c r="W75" s="228">
        <v>-21</v>
      </c>
      <c r="X75" s="229">
        <v>-7.4999999999999997E-3</v>
      </c>
      <c r="Y75" s="228">
        <v>6.2</v>
      </c>
      <c r="Z75" s="228">
        <v>10.199999999999999</v>
      </c>
      <c r="AA75" s="228">
        <v>-4</v>
      </c>
      <c r="AB75" s="229">
        <v>2.3E-3</v>
      </c>
      <c r="AC75" s="228">
        <v>6.2</v>
      </c>
      <c r="AD75" s="228">
        <v>10.199999999999999</v>
      </c>
      <c r="AE75" s="228">
        <v>-4</v>
      </c>
      <c r="AF75" s="229">
        <v>2.3E-3</v>
      </c>
      <c r="AG75" s="228">
        <v>19.7</v>
      </c>
      <c r="AH75" s="228">
        <v>29.4</v>
      </c>
      <c r="AI75" s="228">
        <v>-9.6999999999999993</v>
      </c>
      <c r="AJ75" s="229">
        <v>7.1999999999999998E-3</v>
      </c>
      <c r="AK75" s="228">
        <v>37.1</v>
      </c>
      <c r="AL75" s="228">
        <v>42.4</v>
      </c>
      <c r="AM75" s="228">
        <v>-5.3</v>
      </c>
      <c r="AN75" s="229">
        <v>1.35E-2</v>
      </c>
      <c r="AO75" s="231">
        <v>2750.96</v>
      </c>
      <c r="AP75" s="231">
        <v>2770.33</v>
      </c>
      <c r="AQ75" s="228">
        <v>0</v>
      </c>
      <c r="AR75" s="230">
        <v>777500</v>
      </c>
      <c r="AS75" s="230">
        <v>1109500</v>
      </c>
      <c r="AT75" s="230">
        <v>-332000</v>
      </c>
      <c r="AU75" s="229">
        <v>-0.29920000000000002</v>
      </c>
      <c r="AV75" s="230">
        <v>742500</v>
      </c>
      <c r="AW75" s="230">
        <v>1065000</v>
      </c>
      <c r="AX75" s="230">
        <v>-322500</v>
      </c>
      <c r="AY75" s="229">
        <v>-0.30280000000000001</v>
      </c>
      <c r="AZ75" s="230">
        <v>32250</v>
      </c>
      <c r="BA75" s="230">
        <v>40750</v>
      </c>
      <c r="BB75" s="230">
        <v>-8500</v>
      </c>
      <c r="BC75" s="229">
        <v>-0.20860000000000001</v>
      </c>
      <c r="BD75" s="230">
        <v>2750</v>
      </c>
      <c r="BE75" s="230">
        <v>3750</v>
      </c>
      <c r="BF75" s="230">
        <v>-1000</v>
      </c>
      <c r="BG75" s="229">
        <v>-0.26669999999999999</v>
      </c>
      <c r="BH75" s="230">
        <v>738000</v>
      </c>
      <c r="BI75" s="230">
        <v>1599000</v>
      </c>
      <c r="BJ75" s="230">
        <v>-861000</v>
      </c>
      <c r="BK75" s="229">
        <v>-0.53849999999999998</v>
      </c>
      <c r="BL75" s="230">
        <v>561500</v>
      </c>
      <c r="BM75" s="230">
        <v>1075000</v>
      </c>
      <c r="BN75" s="230">
        <v>-513500</v>
      </c>
      <c r="BO75" s="229">
        <v>-0.47770000000000001</v>
      </c>
      <c r="BP75" s="230">
        <v>2077000</v>
      </c>
      <c r="BQ75" s="230">
        <v>3783500</v>
      </c>
      <c r="BR75" s="230">
        <v>-1706500</v>
      </c>
      <c r="BS75" s="229">
        <v>-0.45100000000000001</v>
      </c>
      <c r="BT75" s="230">
        <v>822992</v>
      </c>
      <c r="BU75" s="230">
        <v>828080</v>
      </c>
      <c r="BV75" s="230">
        <v>-5088</v>
      </c>
      <c r="BW75" s="229">
        <v>-6.1000000000000004E-3</v>
      </c>
      <c r="BX75" s="230">
        <v>14093750</v>
      </c>
      <c r="BY75" s="230">
        <v>14198750</v>
      </c>
      <c r="BZ75" s="230">
        <v>-105000</v>
      </c>
      <c r="CA75" s="229">
        <v>-7.4000000000000003E-3</v>
      </c>
      <c r="CB75" s="230">
        <v>13797750</v>
      </c>
      <c r="CC75" s="230">
        <v>13912000</v>
      </c>
      <c r="CD75" s="230">
        <v>-114250</v>
      </c>
      <c r="CE75" s="229">
        <v>-8.2000000000000007E-3</v>
      </c>
      <c r="CF75" s="230">
        <v>184500</v>
      </c>
      <c r="CG75" s="230">
        <v>176250</v>
      </c>
      <c r="CH75" s="230">
        <v>8250</v>
      </c>
      <c r="CI75" s="229">
        <v>4.6800000000000001E-2</v>
      </c>
      <c r="CJ75" s="230">
        <v>111500</v>
      </c>
      <c r="CK75" s="230">
        <v>110500</v>
      </c>
      <c r="CL75" s="230">
        <v>1000</v>
      </c>
      <c r="CM75" s="229">
        <v>8.9999999999999993E-3</v>
      </c>
      <c r="CN75" s="230">
        <v>1669000</v>
      </c>
      <c r="CO75" s="230">
        <v>1545750</v>
      </c>
      <c r="CP75" s="230">
        <v>123250</v>
      </c>
      <c r="CQ75" s="229">
        <v>7.9699999999999993E-2</v>
      </c>
      <c r="CR75" s="230">
        <v>1220750</v>
      </c>
      <c r="CS75" s="230">
        <v>1143750</v>
      </c>
      <c r="CT75" s="230">
        <v>77000</v>
      </c>
      <c r="CU75" s="229">
        <v>6.7299999999999999E-2</v>
      </c>
      <c r="CV75" s="230">
        <v>16983500</v>
      </c>
      <c r="CW75" s="230">
        <v>16888250</v>
      </c>
      <c r="CX75" s="230">
        <v>95250</v>
      </c>
      <c r="CY75" s="229">
        <v>5.5999999999999999E-3</v>
      </c>
      <c r="CZ75" s="228">
        <v>30.28</v>
      </c>
      <c r="DA75" s="228">
        <v>29.97</v>
      </c>
      <c r="DB75" s="228">
        <v>0.31</v>
      </c>
      <c r="DC75" s="228">
        <v>0.31</v>
      </c>
      <c r="DD75" s="228">
        <v>28.61</v>
      </c>
      <c r="DE75" s="228">
        <v>28.66</v>
      </c>
      <c r="DF75" s="228">
        <v>1.67</v>
      </c>
      <c r="DG75" s="228">
        <v>-0.05</v>
      </c>
      <c r="DH75" s="228">
        <v>28.34</v>
      </c>
      <c r="DI75" s="228">
        <v>28.59</v>
      </c>
      <c r="DJ75" s="228">
        <v>-0.25</v>
      </c>
      <c r="DK75" s="228">
        <v>-0.25</v>
      </c>
      <c r="DL75" s="228">
        <v>32.83</v>
      </c>
      <c r="DM75" s="228">
        <v>32.020000000000003</v>
      </c>
      <c r="DN75" s="228">
        <v>0.81</v>
      </c>
      <c r="DO75" s="228">
        <v>0.81</v>
      </c>
      <c r="DP75" s="228">
        <v>0.73</v>
      </c>
      <c r="DQ75" s="228">
        <v>0.74</v>
      </c>
      <c r="DR75" s="228">
        <v>-0.01</v>
      </c>
      <c r="DS75" s="229">
        <v>-1.35E-2</v>
      </c>
      <c r="DT75" s="231">
        <v>2620</v>
      </c>
      <c r="DU75" s="231">
        <v>2600</v>
      </c>
      <c r="DV75" s="228">
        <v>0.76</v>
      </c>
      <c r="DW75" s="228">
        <v>0.67</v>
      </c>
      <c r="DX75" s="228">
        <v>0.09</v>
      </c>
      <c r="DY75" s="229">
        <v>0.1343</v>
      </c>
      <c r="DZ75" s="229">
        <v>2.1000000000000001E-2</v>
      </c>
      <c r="EA75" s="230">
        <v>286750</v>
      </c>
      <c r="EB75" s="229">
        <v>4.8999999999999998E-3</v>
      </c>
      <c r="EC75" s="229">
        <v>2.1000000000000001E-2</v>
      </c>
      <c r="ED75" s="228">
        <v>19.37</v>
      </c>
      <c r="EE75" s="229">
        <v>7.0000000000000001E-3</v>
      </c>
      <c r="EF75" s="230">
        <v>487131</v>
      </c>
      <c r="EG75" s="230">
        <v>402735</v>
      </c>
      <c r="EH75" s="229">
        <v>0.20960000000000001</v>
      </c>
      <c r="EI75" s="229">
        <v>0.59189999999999998</v>
      </c>
      <c r="EJ75" s="231">
        <v>21225.42</v>
      </c>
      <c r="EK75" s="231">
        <v>14963.22</v>
      </c>
      <c r="EL75" s="231">
        <v>21395.93</v>
      </c>
      <c r="EM75" s="231">
        <v>3979</v>
      </c>
      <c r="EN75" s="231">
        <v>57584.57</v>
      </c>
      <c r="EO75" s="231">
        <v>105612.6</v>
      </c>
      <c r="EP75" s="231">
        <v>-48028.03</v>
      </c>
      <c r="EQ75" s="229">
        <v>-0.45479999999999998</v>
      </c>
      <c r="ER75" s="231">
        <v>45799</v>
      </c>
      <c r="ES75" s="231">
        <v>31241</v>
      </c>
      <c r="ET75" s="231">
        <v>387172</v>
      </c>
      <c r="EU75" s="231">
        <v>38401443</v>
      </c>
      <c r="EV75" s="231">
        <v>464212</v>
      </c>
      <c r="EW75" s="231">
        <v>464424</v>
      </c>
      <c r="EX75" s="228">
        <v>-212</v>
      </c>
      <c r="EY75" s="229">
        <v>-5.0000000000000001E-4</v>
      </c>
      <c r="EZ75" s="229">
        <v>0.44230000000000003</v>
      </c>
      <c r="FA75" s="227" t="s">
        <v>567</v>
      </c>
      <c r="FB75" s="161">
        <f t="shared" si="1"/>
        <v>296000</v>
      </c>
    </row>
    <row r="76" spans="1:158" ht="17.25" thickBot="1" x14ac:dyDescent="0.3">
      <c r="A76" s="226">
        <v>46121</v>
      </c>
      <c r="B76" s="227" t="s">
        <v>184</v>
      </c>
      <c r="C76" s="227" t="s">
        <v>513</v>
      </c>
      <c r="D76" s="228">
        <v>150</v>
      </c>
      <c r="E76" s="231">
        <v>4052.7</v>
      </c>
      <c r="F76" s="231">
        <v>3917.5</v>
      </c>
      <c r="G76" s="228">
        <v>135.19999999999999</v>
      </c>
      <c r="H76" s="229">
        <v>3.4500000000000003E-2</v>
      </c>
      <c r="I76" s="231">
        <v>4032.9</v>
      </c>
      <c r="J76" s="231">
        <v>3907.5</v>
      </c>
      <c r="K76" s="228">
        <v>125.4</v>
      </c>
      <c r="L76" s="229">
        <v>3.2099999999999997E-2</v>
      </c>
      <c r="M76" s="231">
        <v>4052.7</v>
      </c>
      <c r="N76" s="231">
        <v>3917.5</v>
      </c>
      <c r="O76" s="228">
        <v>135.19999999999999</v>
      </c>
      <c r="P76" s="229">
        <v>3.4500000000000003E-2</v>
      </c>
      <c r="Q76" s="231">
        <v>4074</v>
      </c>
      <c r="R76" s="231">
        <v>3941.4</v>
      </c>
      <c r="S76" s="228">
        <v>132.6</v>
      </c>
      <c r="T76" s="229">
        <v>3.3599999999999998E-2</v>
      </c>
      <c r="U76" s="231">
        <v>4100.1000000000004</v>
      </c>
      <c r="V76" s="231">
        <v>3962.2</v>
      </c>
      <c r="W76" s="228">
        <v>137.9</v>
      </c>
      <c r="X76" s="229">
        <v>3.4799999999999998E-2</v>
      </c>
      <c r="Y76" s="228">
        <v>19.8</v>
      </c>
      <c r="Z76" s="228">
        <v>10</v>
      </c>
      <c r="AA76" s="228">
        <v>9.8000000000000007</v>
      </c>
      <c r="AB76" s="229">
        <v>4.8999999999999998E-3</v>
      </c>
      <c r="AC76" s="228">
        <v>19.8</v>
      </c>
      <c r="AD76" s="228">
        <v>10</v>
      </c>
      <c r="AE76" s="228">
        <v>9.8000000000000007</v>
      </c>
      <c r="AF76" s="229">
        <v>4.8999999999999998E-3</v>
      </c>
      <c r="AG76" s="228">
        <v>41.1</v>
      </c>
      <c r="AH76" s="228">
        <v>33.9</v>
      </c>
      <c r="AI76" s="228">
        <v>7.2</v>
      </c>
      <c r="AJ76" s="229">
        <v>1.0200000000000001E-2</v>
      </c>
      <c r="AK76" s="228">
        <v>67.2</v>
      </c>
      <c r="AL76" s="228">
        <v>54.7</v>
      </c>
      <c r="AM76" s="228">
        <v>12.5</v>
      </c>
      <c r="AN76" s="229">
        <v>1.67E-2</v>
      </c>
      <c r="AO76" s="231">
        <v>4049.59</v>
      </c>
      <c r="AP76" s="231">
        <v>4071.67</v>
      </c>
      <c r="AQ76" s="228">
        <v>0</v>
      </c>
      <c r="AR76" s="230">
        <v>2257800</v>
      </c>
      <c r="AS76" s="230">
        <v>1186800</v>
      </c>
      <c r="AT76" s="230">
        <v>1071000</v>
      </c>
      <c r="AU76" s="229">
        <v>0.90239999999999998</v>
      </c>
      <c r="AV76" s="230">
        <v>1982400</v>
      </c>
      <c r="AW76" s="230">
        <v>1055250</v>
      </c>
      <c r="AX76" s="230">
        <v>927150</v>
      </c>
      <c r="AY76" s="229">
        <v>0.87860000000000005</v>
      </c>
      <c r="AZ76" s="230">
        <v>237600</v>
      </c>
      <c r="BA76" s="230">
        <v>106800</v>
      </c>
      <c r="BB76" s="230">
        <v>130800</v>
      </c>
      <c r="BC76" s="229">
        <v>1.2246999999999999</v>
      </c>
      <c r="BD76" s="230">
        <v>37800</v>
      </c>
      <c r="BE76" s="230">
        <v>24750</v>
      </c>
      <c r="BF76" s="230">
        <v>13050</v>
      </c>
      <c r="BG76" s="229">
        <v>0.52729999999999999</v>
      </c>
      <c r="BH76" s="230">
        <v>15709350</v>
      </c>
      <c r="BI76" s="230">
        <v>3928350</v>
      </c>
      <c r="BJ76" s="230">
        <v>11781000</v>
      </c>
      <c r="BK76" s="229">
        <v>2.9990000000000001</v>
      </c>
      <c r="BL76" s="230">
        <v>5842800</v>
      </c>
      <c r="BM76" s="230">
        <v>1945200</v>
      </c>
      <c r="BN76" s="230">
        <v>3897600</v>
      </c>
      <c r="BO76" s="229">
        <v>2.0036999999999998</v>
      </c>
      <c r="BP76" s="230">
        <v>23809950</v>
      </c>
      <c r="BQ76" s="230">
        <v>7060350</v>
      </c>
      <c r="BR76" s="230">
        <v>16749600</v>
      </c>
      <c r="BS76" s="229">
        <v>2.3723000000000001</v>
      </c>
      <c r="BT76" s="230">
        <v>2953099</v>
      </c>
      <c r="BU76" s="230">
        <v>1507741</v>
      </c>
      <c r="BV76" s="230">
        <v>1445358</v>
      </c>
      <c r="BW76" s="229">
        <v>0.95860000000000001</v>
      </c>
      <c r="BX76" s="230">
        <v>7890900</v>
      </c>
      <c r="BY76" s="230">
        <v>8063850</v>
      </c>
      <c r="BZ76" s="230">
        <v>-172950</v>
      </c>
      <c r="CA76" s="229">
        <v>-2.1399999999999999E-2</v>
      </c>
      <c r="CB76" s="230">
        <v>7399650</v>
      </c>
      <c r="CC76" s="230">
        <v>7609200</v>
      </c>
      <c r="CD76" s="230">
        <v>-209550</v>
      </c>
      <c r="CE76" s="229">
        <v>-2.75E-2</v>
      </c>
      <c r="CF76" s="230">
        <v>445650</v>
      </c>
      <c r="CG76" s="230">
        <v>415050</v>
      </c>
      <c r="CH76" s="230">
        <v>30600</v>
      </c>
      <c r="CI76" s="229">
        <v>7.3700000000000002E-2</v>
      </c>
      <c r="CJ76" s="230">
        <v>45600</v>
      </c>
      <c r="CK76" s="230">
        <v>39600</v>
      </c>
      <c r="CL76" s="230">
        <v>6000</v>
      </c>
      <c r="CM76" s="229">
        <v>0.1515</v>
      </c>
      <c r="CN76" s="230">
        <v>3264300</v>
      </c>
      <c r="CO76" s="230">
        <v>2799600</v>
      </c>
      <c r="CP76" s="230">
        <v>464700</v>
      </c>
      <c r="CQ76" s="229">
        <v>0.16600000000000001</v>
      </c>
      <c r="CR76" s="230">
        <v>2837550</v>
      </c>
      <c r="CS76" s="230">
        <v>2543250</v>
      </c>
      <c r="CT76" s="230">
        <v>294300</v>
      </c>
      <c r="CU76" s="229">
        <v>0.1157</v>
      </c>
      <c r="CV76" s="230">
        <v>13992750</v>
      </c>
      <c r="CW76" s="230">
        <v>13406700</v>
      </c>
      <c r="CX76" s="230">
        <v>586050</v>
      </c>
      <c r="CY76" s="229">
        <v>4.3700000000000003E-2</v>
      </c>
      <c r="CZ76" s="228">
        <v>33.26</v>
      </c>
      <c r="DA76" s="228">
        <v>32.14</v>
      </c>
      <c r="DB76" s="228">
        <v>1.1200000000000001</v>
      </c>
      <c r="DC76" s="228">
        <v>1.1200000000000001</v>
      </c>
      <c r="DD76" s="228">
        <v>39.159999999999997</v>
      </c>
      <c r="DE76" s="228">
        <v>38.99</v>
      </c>
      <c r="DF76" s="228">
        <v>-5.9</v>
      </c>
      <c r="DG76" s="228">
        <v>0.17</v>
      </c>
      <c r="DH76" s="228">
        <v>32.65</v>
      </c>
      <c r="DI76" s="228">
        <v>30.69</v>
      </c>
      <c r="DJ76" s="228">
        <v>1.96</v>
      </c>
      <c r="DK76" s="228">
        <v>1.96</v>
      </c>
      <c r="DL76" s="228">
        <v>34.880000000000003</v>
      </c>
      <c r="DM76" s="228">
        <v>35.07</v>
      </c>
      <c r="DN76" s="228">
        <v>-0.19</v>
      </c>
      <c r="DO76" s="228">
        <v>-0.19</v>
      </c>
      <c r="DP76" s="228">
        <v>0.87</v>
      </c>
      <c r="DQ76" s="228">
        <v>0.91</v>
      </c>
      <c r="DR76" s="228">
        <v>-0.04</v>
      </c>
      <c r="DS76" s="229">
        <v>-4.3999999999999997E-2</v>
      </c>
      <c r="DT76" s="231">
        <v>4500</v>
      </c>
      <c r="DU76" s="231">
        <v>3600</v>
      </c>
      <c r="DV76" s="228">
        <v>0.37</v>
      </c>
      <c r="DW76" s="228">
        <v>0.5</v>
      </c>
      <c r="DX76" s="228">
        <v>-0.13</v>
      </c>
      <c r="DY76" s="229">
        <v>-0.26</v>
      </c>
      <c r="DZ76" s="229">
        <v>6.2300000000000001E-2</v>
      </c>
      <c r="EA76" s="230">
        <v>454650</v>
      </c>
      <c r="EB76" s="229">
        <v>5.3E-3</v>
      </c>
      <c r="EC76" s="229">
        <v>6.2300000000000001E-2</v>
      </c>
      <c r="ED76" s="228">
        <v>22.08</v>
      </c>
      <c r="EE76" s="229">
        <v>5.4999999999999997E-3</v>
      </c>
      <c r="EF76" s="230">
        <v>893543</v>
      </c>
      <c r="EG76" s="230">
        <v>764724</v>
      </c>
      <c r="EH76" s="229">
        <v>0.16850000000000001</v>
      </c>
      <c r="EI76" s="229">
        <v>0.30259999999999998</v>
      </c>
      <c r="EJ76" s="231">
        <v>671784.62</v>
      </c>
      <c r="EK76" s="231">
        <v>233281.18</v>
      </c>
      <c r="EL76" s="231">
        <v>91498.559999999998</v>
      </c>
      <c r="EM76" s="231">
        <v>9409</v>
      </c>
      <c r="EN76" s="231">
        <v>996564.36</v>
      </c>
      <c r="EO76" s="231">
        <v>281749.40000000002</v>
      </c>
      <c r="EP76" s="231">
        <v>714814.96</v>
      </c>
      <c r="EQ76" s="229">
        <v>2.5371000000000001</v>
      </c>
      <c r="ER76" s="231">
        <v>132293</v>
      </c>
      <c r="ES76" s="231">
        <v>107943</v>
      </c>
      <c r="ET76" s="231">
        <v>319911</v>
      </c>
      <c r="EU76" s="231">
        <v>28450886</v>
      </c>
      <c r="EV76" s="231">
        <v>560148</v>
      </c>
      <c r="EW76" s="231">
        <v>522745</v>
      </c>
      <c r="EX76" s="231">
        <v>37403</v>
      </c>
      <c r="EY76" s="229">
        <v>7.1599999999999997E-2</v>
      </c>
      <c r="EZ76" s="229">
        <v>0.49180000000000001</v>
      </c>
      <c r="FA76" s="227" t="s">
        <v>694</v>
      </c>
      <c r="FB76" s="161">
        <f t="shared" si="1"/>
        <v>491250</v>
      </c>
    </row>
    <row r="77" spans="1:158" ht="17.25" thickBot="1" x14ac:dyDescent="0.3">
      <c r="A77" s="226">
        <v>46121</v>
      </c>
      <c r="B77" s="227" t="s">
        <v>184</v>
      </c>
      <c r="C77" s="227" t="s">
        <v>220</v>
      </c>
      <c r="D77" s="228">
        <v>500</v>
      </c>
      <c r="E77" s="231">
        <v>1258.5</v>
      </c>
      <c r="F77" s="231">
        <v>1249</v>
      </c>
      <c r="G77" s="228">
        <v>9.5</v>
      </c>
      <c r="H77" s="229">
        <v>7.6E-3</v>
      </c>
      <c r="I77" s="231">
        <v>1257</v>
      </c>
      <c r="J77" s="231">
        <v>1246.4000000000001</v>
      </c>
      <c r="K77" s="228">
        <v>10.6</v>
      </c>
      <c r="L77" s="229">
        <v>8.5000000000000006E-3</v>
      </c>
      <c r="M77" s="231">
        <v>1258.5</v>
      </c>
      <c r="N77" s="231">
        <v>1249</v>
      </c>
      <c r="O77" s="228">
        <v>9.5</v>
      </c>
      <c r="P77" s="229">
        <v>7.6E-3</v>
      </c>
      <c r="Q77" s="231">
        <v>1263.5999999999999</v>
      </c>
      <c r="R77" s="231">
        <v>1254.0999999999999</v>
      </c>
      <c r="S77" s="228">
        <v>9.5</v>
      </c>
      <c r="T77" s="229">
        <v>7.6E-3</v>
      </c>
      <c r="U77" s="231">
        <v>1266.5</v>
      </c>
      <c r="V77" s="231">
        <v>1258</v>
      </c>
      <c r="W77" s="228">
        <v>8.5</v>
      </c>
      <c r="X77" s="229">
        <v>6.7999999999999996E-3</v>
      </c>
      <c r="Y77" s="228">
        <v>1.5</v>
      </c>
      <c r="Z77" s="228">
        <v>2.6</v>
      </c>
      <c r="AA77" s="228">
        <v>-1.1000000000000001</v>
      </c>
      <c r="AB77" s="229">
        <v>1.1999999999999999E-3</v>
      </c>
      <c r="AC77" s="228">
        <v>1.5</v>
      </c>
      <c r="AD77" s="228">
        <v>2.6</v>
      </c>
      <c r="AE77" s="228">
        <v>-1.1000000000000001</v>
      </c>
      <c r="AF77" s="229">
        <v>1.1999999999999999E-3</v>
      </c>
      <c r="AG77" s="228">
        <v>6.6</v>
      </c>
      <c r="AH77" s="228">
        <v>7.7</v>
      </c>
      <c r="AI77" s="228">
        <v>-1.1000000000000001</v>
      </c>
      <c r="AJ77" s="229">
        <v>5.3E-3</v>
      </c>
      <c r="AK77" s="228">
        <v>9.5</v>
      </c>
      <c r="AL77" s="228">
        <v>11.6</v>
      </c>
      <c r="AM77" s="228">
        <v>-2.1</v>
      </c>
      <c r="AN77" s="229">
        <v>7.6E-3</v>
      </c>
      <c r="AO77" s="231">
        <v>1257.69</v>
      </c>
      <c r="AP77" s="231">
        <v>1260.96</v>
      </c>
      <c r="AQ77" s="228">
        <v>0</v>
      </c>
      <c r="AR77" s="230">
        <v>1299500</v>
      </c>
      <c r="AS77" s="230">
        <v>1543000</v>
      </c>
      <c r="AT77" s="230">
        <v>-243500</v>
      </c>
      <c r="AU77" s="229">
        <v>-0.1578</v>
      </c>
      <c r="AV77" s="230">
        <v>1248500</v>
      </c>
      <c r="AW77" s="230">
        <v>1453000</v>
      </c>
      <c r="AX77" s="230">
        <v>-204500</v>
      </c>
      <c r="AY77" s="229">
        <v>-0.14069999999999999</v>
      </c>
      <c r="AZ77" s="230">
        <v>45000</v>
      </c>
      <c r="BA77" s="230">
        <v>81500</v>
      </c>
      <c r="BB77" s="230">
        <v>-36500</v>
      </c>
      <c r="BC77" s="229">
        <v>-0.44790000000000002</v>
      </c>
      <c r="BD77" s="230">
        <v>6000</v>
      </c>
      <c r="BE77" s="230">
        <v>8500</v>
      </c>
      <c r="BF77" s="230">
        <v>-2500</v>
      </c>
      <c r="BG77" s="229">
        <v>-0.29409999999999997</v>
      </c>
      <c r="BH77" s="230">
        <v>1392500</v>
      </c>
      <c r="BI77" s="230">
        <v>2413500</v>
      </c>
      <c r="BJ77" s="230">
        <v>-1021000</v>
      </c>
      <c r="BK77" s="229">
        <v>-0.42299999999999999</v>
      </c>
      <c r="BL77" s="230">
        <v>635000</v>
      </c>
      <c r="BM77" s="230">
        <v>1385000</v>
      </c>
      <c r="BN77" s="230">
        <v>-750000</v>
      </c>
      <c r="BO77" s="229">
        <v>-0.54149999999999998</v>
      </c>
      <c r="BP77" s="230">
        <v>3327000</v>
      </c>
      <c r="BQ77" s="230">
        <v>5341500</v>
      </c>
      <c r="BR77" s="230">
        <v>-2014500</v>
      </c>
      <c r="BS77" s="229">
        <v>-0.37709999999999999</v>
      </c>
      <c r="BT77" s="230">
        <v>1049652</v>
      </c>
      <c r="BU77" s="230">
        <v>784012</v>
      </c>
      <c r="BV77" s="230">
        <v>265640</v>
      </c>
      <c r="BW77" s="229">
        <v>0.33879999999999999</v>
      </c>
      <c r="BX77" s="230">
        <v>8408000</v>
      </c>
      <c r="BY77" s="230">
        <v>8494000</v>
      </c>
      <c r="BZ77" s="230">
        <v>-86000</v>
      </c>
      <c r="CA77" s="229">
        <v>-1.01E-2</v>
      </c>
      <c r="CB77" s="230">
        <v>8237000</v>
      </c>
      <c r="CC77" s="230">
        <v>8323000</v>
      </c>
      <c r="CD77" s="230">
        <v>-86000</v>
      </c>
      <c r="CE77" s="229">
        <v>-1.03E-2</v>
      </c>
      <c r="CF77" s="230">
        <v>152000</v>
      </c>
      <c r="CG77" s="230">
        <v>153500</v>
      </c>
      <c r="CH77" s="230">
        <v>-1500</v>
      </c>
      <c r="CI77" s="229">
        <v>-9.7999999999999997E-3</v>
      </c>
      <c r="CJ77" s="230">
        <v>19000</v>
      </c>
      <c r="CK77" s="230">
        <v>17500</v>
      </c>
      <c r="CL77" s="230">
        <v>1500</v>
      </c>
      <c r="CM77" s="229">
        <v>8.5699999999999998E-2</v>
      </c>
      <c r="CN77" s="230">
        <v>1866500</v>
      </c>
      <c r="CO77" s="230">
        <v>1814000</v>
      </c>
      <c r="CP77" s="230">
        <v>52500</v>
      </c>
      <c r="CQ77" s="229">
        <v>2.8899999999999999E-2</v>
      </c>
      <c r="CR77" s="230">
        <v>1606500</v>
      </c>
      <c r="CS77" s="230">
        <v>1584000</v>
      </c>
      <c r="CT77" s="230">
        <v>22500</v>
      </c>
      <c r="CU77" s="229">
        <v>1.4200000000000001E-2</v>
      </c>
      <c r="CV77" s="230">
        <v>11881000</v>
      </c>
      <c r="CW77" s="230">
        <v>11892000</v>
      </c>
      <c r="CX77" s="230">
        <v>-11000</v>
      </c>
      <c r="CY77" s="229">
        <v>-8.9999999999999998E-4</v>
      </c>
      <c r="CZ77" s="228">
        <v>35.64</v>
      </c>
      <c r="DA77" s="228">
        <v>36.270000000000003</v>
      </c>
      <c r="DB77" s="228">
        <v>-0.63</v>
      </c>
      <c r="DC77" s="228">
        <v>-0.63</v>
      </c>
      <c r="DD77" s="228">
        <v>29.77</v>
      </c>
      <c r="DE77" s="228">
        <v>29.82</v>
      </c>
      <c r="DF77" s="228">
        <v>5.87</v>
      </c>
      <c r="DG77" s="228">
        <v>-0.05</v>
      </c>
      <c r="DH77" s="228">
        <v>34.89</v>
      </c>
      <c r="DI77" s="228">
        <v>35.479999999999997</v>
      </c>
      <c r="DJ77" s="228">
        <v>-0.59</v>
      </c>
      <c r="DK77" s="228">
        <v>-0.59</v>
      </c>
      <c r="DL77" s="228">
        <v>37.299999999999997</v>
      </c>
      <c r="DM77" s="228">
        <v>37.67</v>
      </c>
      <c r="DN77" s="228">
        <v>-0.37</v>
      </c>
      <c r="DO77" s="228">
        <v>-0.37</v>
      </c>
      <c r="DP77" s="228">
        <v>0.86</v>
      </c>
      <c r="DQ77" s="228">
        <v>0.87</v>
      </c>
      <c r="DR77" s="228">
        <v>-0.01</v>
      </c>
      <c r="DS77" s="229">
        <v>-1.15E-2</v>
      </c>
      <c r="DT77" s="231">
        <v>1300</v>
      </c>
      <c r="DU77" s="231">
        <v>1200</v>
      </c>
      <c r="DV77" s="228">
        <v>0.46</v>
      </c>
      <c r="DW77" s="228">
        <v>0.56999999999999995</v>
      </c>
      <c r="DX77" s="228">
        <v>-0.11</v>
      </c>
      <c r="DY77" s="229">
        <v>-0.193</v>
      </c>
      <c r="DZ77" s="229">
        <v>2.0299999999999999E-2</v>
      </c>
      <c r="EA77" s="230">
        <v>171000</v>
      </c>
      <c r="EB77" s="229">
        <v>4.1000000000000003E-3</v>
      </c>
      <c r="EC77" s="229">
        <v>2.0299999999999999E-2</v>
      </c>
      <c r="ED77" s="228">
        <v>3.27</v>
      </c>
      <c r="EE77" s="229">
        <v>2.5999999999999999E-3</v>
      </c>
      <c r="EF77" s="230">
        <v>610366</v>
      </c>
      <c r="EG77" s="230">
        <v>426513</v>
      </c>
      <c r="EH77" s="229">
        <v>0.43109999999999998</v>
      </c>
      <c r="EI77" s="229">
        <v>0.58150000000000002</v>
      </c>
      <c r="EJ77" s="231">
        <v>18620.900000000001</v>
      </c>
      <c r="EK77" s="231">
        <v>7892.38</v>
      </c>
      <c r="EL77" s="231">
        <v>16345.73</v>
      </c>
      <c r="EM77" s="231">
        <v>2976</v>
      </c>
      <c r="EN77" s="231">
        <v>42859.01</v>
      </c>
      <c r="EO77" s="231">
        <v>68902.45</v>
      </c>
      <c r="EP77" s="231">
        <v>-26043.439999999999</v>
      </c>
      <c r="EQ77" s="229">
        <v>-0.378</v>
      </c>
      <c r="ER77" s="231">
        <v>24268</v>
      </c>
      <c r="ES77" s="231">
        <v>19469</v>
      </c>
      <c r="ET77" s="231">
        <v>105824</v>
      </c>
      <c r="EU77" s="231">
        <v>29751886</v>
      </c>
      <c r="EV77" s="231">
        <v>149561</v>
      </c>
      <c r="EW77" s="231">
        <v>148829</v>
      </c>
      <c r="EX77" s="228">
        <v>732</v>
      </c>
      <c r="EY77" s="229">
        <v>4.8999999999999998E-3</v>
      </c>
      <c r="EZ77" s="229">
        <v>0.39929999999999999</v>
      </c>
      <c r="FA77" s="227" t="s">
        <v>694</v>
      </c>
      <c r="FB77" s="161">
        <f t="shared" si="1"/>
        <v>171000</v>
      </c>
    </row>
    <row r="78" spans="1:158" ht="17.25" thickBot="1" x14ac:dyDescent="0.3">
      <c r="A78" s="226">
        <v>46121</v>
      </c>
      <c r="B78" s="227" t="s">
        <v>221</v>
      </c>
      <c r="C78" s="227" t="s">
        <v>222</v>
      </c>
      <c r="D78" s="228">
        <v>350</v>
      </c>
      <c r="E78" s="231">
        <v>1444.3</v>
      </c>
      <c r="F78" s="231">
        <v>1427.4</v>
      </c>
      <c r="G78" s="228">
        <v>16.899999999999999</v>
      </c>
      <c r="H78" s="229">
        <v>1.18E-2</v>
      </c>
      <c r="I78" s="231">
        <v>1464.9</v>
      </c>
      <c r="J78" s="231">
        <v>1461</v>
      </c>
      <c r="K78" s="228">
        <v>3.9</v>
      </c>
      <c r="L78" s="229">
        <v>2.7000000000000001E-3</v>
      </c>
      <c r="M78" s="231">
        <v>1444.3</v>
      </c>
      <c r="N78" s="231">
        <v>1427.4</v>
      </c>
      <c r="O78" s="228">
        <v>16.899999999999999</v>
      </c>
      <c r="P78" s="229">
        <v>1.18E-2</v>
      </c>
      <c r="Q78" s="231">
        <v>1434.7</v>
      </c>
      <c r="R78" s="231">
        <v>1419.2</v>
      </c>
      <c r="S78" s="228">
        <v>15.5</v>
      </c>
      <c r="T78" s="229">
        <v>1.09E-2</v>
      </c>
      <c r="U78" s="231">
        <v>1428.6</v>
      </c>
      <c r="V78" s="231">
        <v>1413.7</v>
      </c>
      <c r="W78" s="228">
        <v>14.9</v>
      </c>
      <c r="X78" s="229">
        <v>1.0500000000000001E-2</v>
      </c>
      <c r="Y78" s="228">
        <v>-20.6</v>
      </c>
      <c r="Z78" s="228">
        <v>-33.6</v>
      </c>
      <c r="AA78" s="228">
        <v>13</v>
      </c>
      <c r="AB78" s="229">
        <v>-1.41E-2</v>
      </c>
      <c r="AC78" s="228">
        <v>-20.6</v>
      </c>
      <c r="AD78" s="228">
        <v>-33.6</v>
      </c>
      <c r="AE78" s="228">
        <v>13</v>
      </c>
      <c r="AF78" s="229">
        <v>-1.41E-2</v>
      </c>
      <c r="AG78" s="228">
        <v>-30.2</v>
      </c>
      <c r="AH78" s="228">
        <v>-41.8</v>
      </c>
      <c r="AI78" s="228">
        <v>11.6</v>
      </c>
      <c r="AJ78" s="229">
        <v>-2.06E-2</v>
      </c>
      <c r="AK78" s="228">
        <v>-36.299999999999997</v>
      </c>
      <c r="AL78" s="228">
        <v>-47.3</v>
      </c>
      <c r="AM78" s="228">
        <v>11</v>
      </c>
      <c r="AN78" s="229">
        <v>-2.4799999999999999E-2</v>
      </c>
      <c r="AO78" s="231">
        <v>1428.31</v>
      </c>
      <c r="AP78" s="231">
        <v>1416.2</v>
      </c>
      <c r="AQ78" s="228">
        <v>0</v>
      </c>
      <c r="AR78" s="230">
        <v>3706500</v>
      </c>
      <c r="AS78" s="230">
        <v>3941700</v>
      </c>
      <c r="AT78" s="230">
        <v>-235200</v>
      </c>
      <c r="AU78" s="229">
        <v>-5.9700000000000003E-2</v>
      </c>
      <c r="AV78" s="230">
        <v>3390100</v>
      </c>
      <c r="AW78" s="230">
        <v>3116050</v>
      </c>
      <c r="AX78" s="230">
        <v>274050</v>
      </c>
      <c r="AY78" s="229">
        <v>8.7900000000000006E-2</v>
      </c>
      <c r="AZ78" s="230">
        <v>269850</v>
      </c>
      <c r="BA78" s="230">
        <v>763350</v>
      </c>
      <c r="BB78" s="230">
        <v>-493500</v>
      </c>
      <c r="BC78" s="229">
        <v>-0.64649999999999996</v>
      </c>
      <c r="BD78" s="230">
        <v>46550</v>
      </c>
      <c r="BE78" s="230">
        <v>62300</v>
      </c>
      <c r="BF78" s="230">
        <v>-15750</v>
      </c>
      <c r="BG78" s="229">
        <v>-0.25280000000000002</v>
      </c>
      <c r="BH78" s="230">
        <v>9136750</v>
      </c>
      <c r="BI78" s="230">
        <v>7868000</v>
      </c>
      <c r="BJ78" s="230">
        <v>1268750</v>
      </c>
      <c r="BK78" s="229">
        <v>0.1613</v>
      </c>
      <c r="BL78" s="230">
        <v>6011950</v>
      </c>
      <c r="BM78" s="230">
        <v>3979850</v>
      </c>
      <c r="BN78" s="230">
        <v>2032100</v>
      </c>
      <c r="BO78" s="229">
        <v>0.51060000000000005</v>
      </c>
      <c r="BP78" s="230">
        <v>18855200</v>
      </c>
      <c r="BQ78" s="230">
        <v>15789550</v>
      </c>
      <c r="BR78" s="230">
        <v>3065650</v>
      </c>
      <c r="BS78" s="229">
        <v>0.19420000000000001</v>
      </c>
      <c r="BT78" s="230">
        <v>4052080</v>
      </c>
      <c r="BU78" s="230">
        <v>4478980</v>
      </c>
      <c r="BV78" s="230">
        <v>-426900</v>
      </c>
      <c r="BW78" s="229">
        <v>-9.5299999999999996E-2</v>
      </c>
      <c r="BX78" s="230">
        <v>37048550</v>
      </c>
      <c r="BY78" s="230">
        <v>36820000</v>
      </c>
      <c r="BZ78" s="230">
        <v>228550</v>
      </c>
      <c r="CA78" s="229">
        <v>6.1999999999999998E-3</v>
      </c>
      <c r="CB78" s="230">
        <v>35074200</v>
      </c>
      <c r="CC78" s="230">
        <v>34950650</v>
      </c>
      <c r="CD78" s="230">
        <v>123550</v>
      </c>
      <c r="CE78" s="229">
        <v>3.5000000000000001E-3</v>
      </c>
      <c r="CF78" s="230">
        <v>1828050</v>
      </c>
      <c r="CG78" s="230">
        <v>1728300</v>
      </c>
      <c r="CH78" s="230">
        <v>99750</v>
      </c>
      <c r="CI78" s="229">
        <v>5.7700000000000001E-2</v>
      </c>
      <c r="CJ78" s="230">
        <v>146300</v>
      </c>
      <c r="CK78" s="230">
        <v>141050</v>
      </c>
      <c r="CL78" s="230">
        <v>5250</v>
      </c>
      <c r="CM78" s="229">
        <v>3.7199999999999997E-2</v>
      </c>
      <c r="CN78" s="230">
        <v>4880050</v>
      </c>
      <c r="CO78" s="230">
        <v>3860150</v>
      </c>
      <c r="CP78" s="230">
        <v>1019900</v>
      </c>
      <c r="CQ78" s="229">
        <v>0.26419999999999999</v>
      </c>
      <c r="CR78" s="230">
        <v>4959150</v>
      </c>
      <c r="CS78" s="230">
        <v>3788750</v>
      </c>
      <c r="CT78" s="230">
        <v>1170400</v>
      </c>
      <c r="CU78" s="229">
        <v>0.30890000000000001</v>
      </c>
      <c r="CV78" s="230">
        <v>46887750</v>
      </c>
      <c r="CW78" s="230">
        <v>44468900</v>
      </c>
      <c r="CX78" s="230">
        <v>2418850</v>
      </c>
      <c r="CY78" s="229">
        <v>5.4399999999999997E-2</v>
      </c>
      <c r="CZ78" s="228">
        <v>34.39</v>
      </c>
      <c r="DA78" s="228">
        <v>34.07</v>
      </c>
      <c r="DB78" s="228">
        <v>0.32</v>
      </c>
      <c r="DC78" s="228">
        <v>0.32</v>
      </c>
      <c r="DD78" s="228">
        <v>29.53</v>
      </c>
      <c r="DE78" s="228">
        <v>29.6</v>
      </c>
      <c r="DF78" s="228">
        <v>4.8600000000000003</v>
      </c>
      <c r="DG78" s="228">
        <v>-7.0000000000000007E-2</v>
      </c>
      <c r="DH78" s="228">
        <v>33.04</v>
      </c>
      <c r="DI78" s="228">
        <v>33.21</v>
      </c>
      <c r="DJ78" s="228">
        <v>-0.17</v>
      </c>
      <c r="DK78" s="228">
        <v>-0.17</v>
      </c>
      <c r="DL78" s="228">
        <v>36.450000000000003</v>
      </c>
      <c r="DM78" s="228">
        <v>35.75</v>
      </c>
      <c r="DN78" s="228">
        <v>0.7</v>
      </c>
      <c r="DO78" s="228">
        <v>0.7</v>
      </c>
      <c r="DP78" s="228">
        <v>1.02</v>
      </c>
      <c r="DQ78" s="228">
        <v>0.98</v>
      </c>
      <c r="DR78" s="228">
        <v>0.04</v>
      </c>
      <c r="DS78" s="229">
        <v>4.0800000000000003E-2</v>
      </c>
      <c r="DT78" s="231">
        <v>1500</v>
      </c>
      <c r="DU78" s="231">
        <v>1360</v>
      </c>
      <c r="DV78" s="228">
        <v>0.66</v>
      </c>
      <c r="DW78" s="228">
        <v>0.51</v>
      </c>
      <c r="DX78" s="228">
        <v>0.15</v>
      </c>
      <c r="DY78" s="229">
        <v>0.29409999999999997</v>
      </c>
      <c r="DZ78" s="229">
        <v>5.33E-2</v>
      </c>
      <c r="EA78" s="230">
        <v>1869350</v>
      </c>
      <c r="EB78" s="229">
        <v>-6.6E-3</v>
      </c>
      <c r="EC78" s="229">
        <v>5.33E-2</v>
      </c>
      <c r="ED78" s="228">
        <v>-12.11</v>
      </c>
      <c r="EE78" s="229">
        <v>-8.5000000000000006E-3</v>
      </c>
      <c r="EF78" s="230">
        <v>2584221</v>
      </c>
      <c r="EG78" s="230">
        <v>2510607</v>
      </c>
      <c r="EH78" s="229">
        <v>2.93E-2</v>
      </c>
      <c r="EI78" s="229">
        <v>0.63780000000000003</v>
      </c>
      <c r="EJ78" s="231">
        <v>137001.81</v>
      </c>
      <c r="EK78" s="231">
        <v>84953.38</v>
      </c>
      <c r="EL78" s="231">
        <v>52901.49</v>
      </c>
      <c r="EM78" s="231">
        <v>10813</v>
      </c>
      <c r="EN78" s="231">
        <v>274856.68</v>
      </c>
      <c r="EO78" s="231">
        <v>229598.07999999999</v>
      </c>
      <c r="EP78" s="231">
        <v>45258.6</v>
      </c>
      <c r="EQ78" s="229">
        <v>0.1971</v>
      </c>
      <c r="ER78" s="231">
        <v>71172</v>
      </c>
      <c r="ES78" s="231">
        <v>66970</v>
      </c>
      <c r="ET78" s="231">
        <v>534894</v>
      </c>
      <c r="EU78" s="231">
        <v>145140505</v>
      </c>
      <c r="EV78" s="231">
        <v>673036</v>
      </c>
      <c r="EW78" s="231">
        <v>632233</v>
      </c>
      <c r="EX78" s="231">
        <v>40803</v>
      </c>
      <c r="EY78" s="229">
        <v>6.4500000000000002E-2</v>
      </c>
      <c r="EZ78" s="229">
        <v>0.3231</v>
      </c>
      <c r="FA78" s="227" t="s">
        <v>555</v>
      </c>
      <c r="FB78" s="161">
        <f t="shared" si="1"/>
        <v>1974350</v>
      </c>
    </row>
    <row r="79" spans="1:158" ht="17.25" thickBot="1" x14ac:dyDescent="0.3">
      <c r="A79" s="226">
        <v>46121</v>
      </c>
      <c r="B79" s="227" t="s">
        <v>175</v>
      </c>
      <c r="C79" s="227" t="s">
        <v>475</v>
      </c>
      <c r="D79" s="228">
        <v>300</v>
      </c>
      <c r="E79" s="231">
        <v>2523.6999999999998</v>
      </c>
      <c r="F79" s="231">
        <v>2546.8000000000002</v>
      </c>
      <c r="G79" s="228">
        <v>-23.1</v>
      </c>
      <c r="H79" s="229">
        <v>-9.1000000000000004E-3</v>
      </c>
      <c r="I79" s="231">
        <v>2515</v>
      </c>
      <c r="J79" s="231">
        <v>2539.4</v>
      </c>
      <c r="K79" s="228">
        <v>-24.4</v>
      </c>
      <c r="L79" s="229">
        <v>-9.5999999999999992E-3</v>
      </c>
      <c r="M79" s="231">
        <v>2523.6999999999998</v>
      </c>
      <c r="N79" s="231">
        <v>2546.8000000000002</v>
      </c>
      <c r="O79" s="228">
        <v>-23.1</v>
      </c>
      <c r="P79" s="229">
        <v>-9.1000000000000004E-3</v>
      </c>
      <c r="Q79" s="231">
        <v>2530.1</v>
      </c>
      <c r="R79" s="231">
        <v>2563.3000000000002</v>
      </c>
      <c r="S79" s="228">
        <v>-33.200000000000003</v>
      </c>
      <c r="T79" s="229">
        <v>-1.2999999999999999E-2</v>
      </c>
      <c r="U79" s="231">
        <v>2529.4</v>
      </c>
      <c r="V79" s="231">
        <v>2565.9</v>
      </c>
      <c r="W79" s="228">
        <v>-36.5</v>
      </c>
      <c r="X79" s="229">
        <v>-1.4200000000000001E-2</v>
      </c>
      <c r="Y79" s="228">
        <v>8.6999999999999993</v>
      </c>
      <c r="Z79" s="228">
        <v>7.4</v>
      </c>
      <c r="AA79" s="228">
        <v>1.3</v>
      </c>
      <c r="AB79" s="229">
        <v>3.5000000000000001E-3</v>
      </c>
      <c r="AC79" s="228">
        <v>8.6999999999999993</v>
      </c>
      <c r="AD79" s="228">
        <v>7.4</v>
      </c>
      <c r="AE79" s="228">
        <v>1.3</v>
      </c>
      <c r="AF79" s="229">
        <v>3.5000000000000001E-3</v>
      </c>
      <c r="AG79" s="228">
        <v>15.1</v>
      </c>
      <c r="AH79" s="228">
        <v>23.9</v>
      </c>
      <c r="AI79" s="228">
        <v>-8.8000000000000007</v>
      </c>
      <c r="AJ79" s="229">
        <v>6.0000000000000001E-3</v>
      </c>
      <c r="AK79" s="228">
        <v>14.4</v>
      </c>
      <c r="AL79" s="228">
        <v>26.5</v>
      </c>
      <c r="AM79" s="228">
        <v>-12.1</v>
      </c>
      <c r="AN79" s="229">
        <v>5.7000000000000002E-3</v>
      </c>
      <c r="AO79" s="231">
        <v>2526.5100000000002</v>
      </c>
      <c r="AP79" s="231">
        <v>2538.13</v>
      </c>
      <c r="AQ79" s="228">
        <v>0</v>
      </c>
      <c r="AR79" s="230">
        <v>1098000</v>
      </c>
      <c r="AS79" s="230">
        <v>2341800</v>
      </c>
      <c r="AT79" s="230">
        <v>-1243800</v>
      </c>
      <c r="AU79" s="229">
        <v>-0.53110000000000002</v>
      </c>
      <c r="AV79" s="230">
        <v>1061400</v>
      </c>
      <c r="AW79" s="230">
        <v>2258400</v>
      </c>
      <c r="AX79" s="230">
        <v>-1197000</v>
      </c>
      <c r="AY79" s="229">
        <v>-0.53</v>
      </c>
      <c r="AZ79" s="230">
        <v>31500</v>
      </c>
      <c r="BA79" s="230">
        <v>77400</v>
      </c>
      <c r="BB79" s="230">
        <v>-45900</v>
      </c>
      <c r="BC79" s="229">
        <v>-0.59299999999999997</v>
      </c>
      <c r="BD79" s="230">
        <v>5100</v>
      </c>
      <c r="BE79" s="230">
        <v>6000</v>
      </c>
      <c r="BF79" s="228">
        <v>-900</v>
      </c>
      <c r="BG79" s="229">
        <v>-0.15</v>
      </c>
      <c r="BH79" s="230">
        <v>1051800</v>
      </c>
      <c r="BI79" s="230">
        <v>2764200</v>
      </c>
      <c r="BJ79" s="230">
        <v>-1712400</v>
      </c>
      <c r="BK79" s="229">
        <v>-0.61950000000000005</v>
      </c>
      <c r="BL79" s="230">
        <v>772800</v>
      </c>
      <c r="BM79" s="230">
        <v>1284900</v>
      </c>
      <c r="BN79" s="230">
        <v>-512100</v>
      </c>
      <c r="BO79" s="229">
        <v>-0.39860000000000001</v>
      </c>
      <c r="BP79" s="230">
        <v>2922600</v>
      </c>
      <c r="BQ79" s="230">
        <v>6390900</v>
      </c>
      <c r="BR79" s="230">
        <v>-3468300</v>
      </c>
      <c r="BS79" s="229">
        <v>-0.54269999999999996</v>
      </c>
      <c r="BT79" s="230">
        <v>1305014</v>
      </c>
      <c r="BU79" s="230">
        <v>2176725</v>
      </c>
      <c r="BV79" s="230">
        <v>-871711</v>
      </c>
      <c r="BW79" s="229">
        <v>-0.40050000000000002</v>
      </c>
      <c r="BX79" s="230">
        <v>5902200</v>
      </c>
      <c r="BY79" s="230">
        <v>5793600</v>
      </c>
      <c r="BZ79" s="230">
        <v>108600</v>
      </c>
      <c r="CA79" s="229">
        <v>1.8700000000000001E-2</v>
      </c>
      <c r="CB79" s="230">
        <v>5809200</v>
      </c>
      <c r="CC79" s="230">
        <v>5704200</v>
      </c>
      <c r="CD79" s="230">
        <v>105000</v>
      </c>
      <c r="CE79" s="229">
        <v>1.84E-2</v>
      </c>
      <c r="CF79" s="230">
        <v>86100</v>
      </c>
      <c r="CG79" s="230">
        <v>83700</v>
      </c>
      <c r="CH79" s="230">
        <v>2400</v>
      </c>
      <c r="CI79" s="229">
        <v>2.87E-2</v>
      </c>
      <c r="CJ79" s="230">
        <v>6900</v>
      </c>
      <c r="CK79" s="230">
        <v>5700</v>
      </c>
      <c r="CL79" s="230">
        <v>1200</v>
      </c>
      <c r="CM79" s="229">
        <v>0.21049999999999999</v>
      </c>
      <c r="CN79" s="230">
        <v>914100</v>
      </c>
      <c r="CO79" s="230">
        <v>855900</v>
      </c>
      <c r="CP79" s="230">
        <v>58200</v>
      </c>
      <c r="CQ79" s="229">
        <v>6.8000000000000005E-2</v>
      </c>
      <c r="CR79" s="230">
        <v>704700</v>
      </c>
      <c r="CS79" s="230">
        <v>706800</v>
      </c>
      <c r="CT79" s="230">
        <v>-2100</v>
      </c>
      <c r="CU79" s="229">
        <v>-3.0000000000000001E-3</v>
      </c>
      <c r="CV79" s="230">
        <v>7521000</v>
      </c>
      <c r="CW79" s="230">
        <v>7356300</v>
      </c>
      <c r="CX79" s="230">
        <v>164700</v>
      </c>
      <c r="CY79" s="229">
        <v>2.24E-2</v>
      </c>
      <c r="CZ79" s="228">
        <v>38.97</v>
      </c>
      <c r="DA79" s="228">
        <v>38.659999999999997</v>
      </c>
      <c r="DB79" s="228">
        <v>0.31</v>
      </c>
      <c r="DC79" s="228">
        <v>0.31</v>
      </c>
      <c r="DD79" s="228">
        <v>38.31</v>
      </c>
      <c r="DE79" s="228">
        <v>38.380000000000003</v>
      </c>
      <c r="DF79" s="228">
        <v>0.66</v>
      </c>
      <c r="DG79" s="228">
        <v>-7.0000000000000007E-2</v>
      </c>
      <c r="DH79" s="228">
        <v>38.08</v>
      </c>
      <c r="DI79" s="228">
        <v>37.5</v>
      </c>
      <c r="DJ79" s="228">
        <v>0.57999999999999996</v>
      </c>
      <c r="DK79" s="228">
        <v>0.57999999999999996</v>
      </c>
      <c r="DL79" s="228">
        <v>40.17</v>
      </c>
      <c r="DM79" s="228">
        <v>41.16</v>
      </c>
      <c r="DN79" s="228">
        <v>-0.99</v>
      </c>
      <c r="DO79" s="228">
        <v>-0.99</v>
      </c>
      <c r="DP79" s="228">
        <v>0.77</v>
      </c>
      <c r="DQ79" s="228">
        <v>0.83</v>
      </c>
      <c r="DR79" s="228">
        <v>-0.06</v>
      </c>
      <c r="DS79" s="229">
        <v>-7.2300000000000003E-2</v>
      </c>
      <c r="DT79" s="231">
        <v>2400</v>
      </c>
      <c r="DU79" s="231">
        <v>2500</v>
      </c>
      <c r="DV79" s="228">
        <v>0.73</v>
      </c>
      <c r="DW79" s="228">
        <v>0.46</v>
      </c>
      <c r="DX79" s="228">
        <v>0.27</v>
      </c>
      <c r="DY79" s="229">
        <v>0.58699999999999997</v>
      </c>
      <c r="DZ79" s="229">
        <v>1.5800000000000002E-2</v>
      </c>
      <c r="EA79" s="230">
        <v>89400</v>
      </c>
      <c r="EB79" s="229">
        <v>2.5000000000000001E-3</v>
      </c>
      <c r="EC79" s="229">
        <v>1.5800000000000002E-2</v>
      </c>
      <c r="ED79" s="228">
        <v>11.62</v>
      </c>
      <c r="EE79" s="229">
        <v>4.5999999999999999E-3</v>
      </c>
      <c r="EF79" s="230">
        <v>783836</v>
      </c>
      <c r="EG79" s="230">
        <v>1243776</v>
      </c>
      <c r="EH79" s="229">
        <v>-0.36980000000000002</v>
      </c>
      <c r="EI79" s="229">
        <v>0.60060000000000002</v>
      </c>
      <c r="EJ79" s="231">
        <v>28315.7</v>
      </c>
      <c r="EK79" s="231">
        <v>19281.169999999998</v>
      </c>
      <c r="EL79" s="231">
        <v>27745.3</v>
      </c>
      <c r="EM79" s="231">
        <v>5587</v>
      </c>
      <c r="EN79" s="231">
        <v>75342.17</v>
      </c>
      <c r="EO79" s="231">
        <v>163991.88</v>
      </c>
      <c r="EP79" s="231">
        <v>-88649.71</v>
      </c>
      <c r="EQ79" s="229">
        <v>-0.54059999999999997</v>
      </c>
      <c r="ER79" s="231">
        <v>23437</v>
      </c>
      <c r="ES79" s="231">
        <v>16204</v>
      </c>
      <c r="ET79" s="231">
        <v>148960</v>
      </c>
      <c r="EU79" s="231">
        <v>30592324</v>
      </c>
      <c r="EV79" s="231">
        <v>188601</v>
      </c>
      <c r="EW79" s="231">
        <v>185612</v>
      </c>
      <c r="EX79" s="231">
        <v>2989</v>
      </c>
      <c r="EY79" s="229">
        <v>1.61E-2</v>
      </c>
      <c r="EZ79" s="229">
        <v>0.24579999999999999</v>
      </c>
      <c r="FA79" s="227" t="s">
        <v>566</v>
      </c>
      <c r="FB79" s="161">
        <f t="shared" si="1"/>
        <v>93000</v>
      </c>
    </row>
    <row r="80" spans="1:158" ht="17.25" thickBot="1" x14ac:dyDescent="0.3">
      <c r="A80" s="226">
        <v>46121</v>
      </c>
      <c r="B80" s="227" t="s">
        <v>172</v>
      </c>
      <c r="C80" s="227" t="s">
        <v>224</v>
      </c>
      <c r="D80" s="228">
        <v>550</v>
      </c>
      <c r="E80" s="228">
        <v>801.1</v>
      </c>
      <c r="F80" s="228">
        <v>818.05</v>
      </c>
      <c r="G80" s="228">
        <v>-16.95</v>
      </c>
      <c r="H80" s="229">
        <v>-2.07E-2</v>
      </c>
      <c r="I80" s="228">
        <v>797.7</v>
      </c>
      <c r="J80" s="228">
        <v>816.1</v>
      </c>
      <c r="K80" s="228">
        <v>-18.399999999999999</v>
      </c>
      <c r="L80" s="229">
        <v>-2.2499999999999999E-2</v>
      </c>
      <c r="M80" s="228">
        <v>801.1</v>
      </c>
      <c r="N80" s="228">
        <v>818.05</v>
      </c>
      <c r="O80" s="228">
        <v>-16.95</v>
      </c>
      <c r="P80" s="229">
        <v>-2.07E-2</v>
      </c>
      <c r="Q80" s="228">
        <v>801.95</v>
      </c>
      <c r="R80" s="228">
        <v>819.3</v>
      </c>
      <c r="S80" s="228">
        <v>-17.350000000000001</v>
      </c>
      <c r="T80" s="229">
        <v>-2.12E-2</v>
      </c>
      <c r="U80" s="228">
        <v>798.8</v>
      </c>
      <c r="V80" s="228">
        <v>817.35</v>
      </c>
      <c r="W80" s="228">
        <v>-18.55</v>
      </c>
      <c r="X80" s="229">
        <v>-2.2700000000000001E-2</v>
      </c>
      <c r="Y80" s="228">
        <v>3.4</v>
      </c>
      <c r="Z80" s="228">
        <v>1.95</v>
      </c>
      <c r="AA80" s="228">
        <v>1.45</v>
      </c>
      <c r="AB80" s="229">
        <v>4.3E-3</v>
      </c>
      <c r="AC80" s="228">
        <v>3.4</v>
      </c>
      <c r="AD80" s="228">
        <v>1.95</v>
      </c>
      <c r="AE80" s="228">
        <v>1.45</v>
      </c>
      <c r="AF80" s="229">
        <v>4.3E-3</v>
      </c>
      <c r="AG80" s="228">
        <v>4.25</v>
      </c>
      <c r="AH80" s="228">
        <v>3.2</v>
      </c>
      <c r="AI80" s="228">
        <v>1.05</v>
      </c>
      <c r="AJ80" s="229">
        <v>5.3E-3</v>
      </c>
      <c r="AK80" s="228">
        <v>1.1000000000000001</v>
      </c>
      <c r="AL80" s="228">
        <v>1.25</v>
      </c>
      <c r="AM80" s="228">
        <v>-0.15</v>
      </c>
      <c r="AN80" s="229">
        <v>1.4E-3</v>
      </c>
      <c r="AO80" s="228">
        <v>803.05</v>
      </c>
      <c r="AP80" s="228">
        <v>804.63</v>
      </c>
      <c r="AQ80" s="228">
        <v>0</v>
      </c>
      <c r="AR80" s="230">
        <v>49290450</v>
      </c>
      <c r="AS80" s="230">
        <v>49116650</v>
      </c>
      <c r="AT80" s="230">
        <v>173800</v>
      </c>
      <c r="AU80" s="229">
        <v>3.5000000000000001E-3</v>
      </c>
      <c r="AV80" s="230">
        <v>36511200</v>
      </c>
      <c r="AW80" s="230">
        <v>44968550</v>
      </c>
      <c r="AX80" s="230">
        <v>-8457350</v>
      </c>
      <c r="AY80" s="229">
        <v>-0.18809999999999999</v>
      </c>
      <c r="AZ80" s="230">
        <v>2730200</v>
      </c>
      <c r="BA80" s="230">
        <v>3181200</v>
      </c>
      <c r="BB80" s="230">
        <v>-451000</v>
      </c>
      <c r="BC80" s="229">
        <v>-0.14180000000000001</v>
      </c>
      <c r="BD80" s="230">
        <v>10049050</v>
      </c>
      <c r="BE80" s="230">
        <v>966900</v>
      </c>
      <c r="BF80" s="230">
        <v>9082150</v>
      </c>
      <c r="BG80" s="229">
        <v>9.3931000000000004</v>
      </c>
      <c r="BH80" s="230">
        <v>69197700</v>
      </c>
      <c r="BI80" s="230">
        <v>126590750</v>
      </c>
      <c r="BJ80" s="230">
        <v>-57393050</v>
      </c>
      <c r="BK80" s="229">
        <v>-0.45340000000000003</v>
      </c>
      <c r="BL80" s="230">
        <v>45303500</v>
      </c>
      <c r="BM80" s="230">
        <v>72103900</v>
      </c>
      <c r="BN80" s="230">
        <v>-26800400</v>
      </c>
      <c r="BO80" s="229">
        <v>-0.37169999999999997</v>
      </c>
      <c r="BP80" s="230">
        <v>163791650</v>
      </c>
      <c r="BQ80" s="230">
        <v>247811300</v>
      </c>
      <c r="BR80" s="230">
        <v>-84019650</v>
      </c>
      <c r="BS80" s="229">
        <v>-0.33900000000000002</v>
      </c>
      <c r="BT80" s="230">
        <v>53915984</v>
      </c>
      <c r="BU80" s="230">
        <v>73522672</v>
      </c>
      <c r="BV80" s="230">
        <v>-19606688</v>
      </c>
      <c r="BW80" s="229">
        <v>-0.26669999999999999</v>
      </c>
      <c r="BX80" s="230">
        <v>338103700</v>
      </c>
      <c r="BY80" s="230">
        <v>332286350</v>
      </c>
      <c r="BZ80" s="230">
        <v>5817350</v>
      </c>
      <c r="CA80" s="229">
        <v>1.7500000000000002E-2</v>
      </c>
      <c r="CB80" s="230">
        <v>310885850</v>
      </c>
      <c r="CC80" s="230">
        <v>316240650</v>
      </c>
      <c r="CD80" s="230">
        <v>-5354800</v>
      </c>
      <c r="CE80" s="229">
        <v>-1.6899999999999998E-2</v>
      </c>
      <c r="CF80" s="230">
        <v>13207700</v>
      </c>
      <c r="CG80" s="230">
        <v>11779900</v>
      </c>
      <c r="CH80" s="230">
        <v>1427800</v>
      </c>
      <c r="CI80" s="229">
        <v>0.1212</v>
      </c>
      <c r="CJ80" s="230">
        <v>14010150</v>
      </c>
      <c r="CK80" s="230">
        <v>4265800</v>
      </c>
      <c r="CL80" s="230">
        <v>9744350</v>
      </c>
      <c r="CM80" s="229">
        <v>2.2843</v>
      </c>
      <c r="CN80" s="230">
        <v>71218400</v>
      </c>
      <c r="CO80" s="230">
        <v>66580800</v>
      </c>
      <c r="CP80" s="230">
        <v>4637600</v>
      </c>
      <c r="CQ80" s="229">
        <v>6.9699999999999998E-2</v>
      </c>
      <c r="CR80" s="230">
        <v>42053000</v>
      </c>
      <c r="CS80" s="230">
        <v>42100300</v>
      </c>
      <c r="CT80" s="230">
        <v>-47300</v>
      </c>
      <c r="CU80" s="229">
        <v>-1.1000000000000001E-3</v>
      </c>
      <c r="CV80" s="230">
        <v>451375100</v>
      </c>
      <c r="CW80" s="230">
        <v>440967450</v>
      </c>
      <c r="CX80" s="230">
        <v>10407650</v>
      </c>
      <c r="CY80" s="229">
        <v>2.3599999999999999E-2</v>
      </c>
      <c r="CZ80" s="228">
        <v>30.74</v>
      </c>
      <c r="DA80" s="228">
        <v>29.2</v>
      </c>
      <c r="DB80" s="228">
        <v>1.54</v>
      </c>
      <c r="DC80" s="228">
        <v>1.54</v>
      </c>
      <c r="DD80" s="228">
        <v>25.18</v>
      </c>
      <c r="DE80" s="228">
        <v>25.06</v>
      </c>
      <c r="DF80" s="228">
        <v>5.56</v>
      </c>
      <c r="DG80" s="228">
        <v>0.12</v>
      </c>
      <c r="DH80" s="228">
        <v>30.08</v>
      </c>
      <c r="DI80" s="228">
        <v>28.33</v>
      </c>
      <c r="DJ80" s="228">
        <v>1.75</v>
      </c>
      <c r="DK80" s="228">
        <v>1.75</v>
      </c>
      <c r="DL80" s="228">
        <v>31.74</v>
      </c>
      <c r="DM80" s="228">
        <v>30.71</v>
      </c>
      <c r="DN80" s="228">
        <v>1.03</v>
      </c>
      <c r="DO80" s="228">
        <v>1.03</v>
      </c>
      <c r="DP80" s="228">
        <v>0.59</v>
      </c>
      <c r="DQ80" s="228">
        <v>0.63</v>
      </c>
      <c r="DR80" s="228">
        <v>-0.04</v>
      </c>
      <c r="DS80" s="229">
        <v>-6.3500000000000001E-2</v>
      </c>
      <c r="DT80" s="228">
        <v>800</v>
      </c>
      <c r="DU80" s="228">
        <v>750</v>
      </c>
      <c r="DV80" s="228">
        <v>0.65</v>
      </c>
      <c r="DW80" s="228">
        <v>0.56999999999999995</v>
      </c>
      <c r="DX80" s="228">
        <v>0.08</v>
      </c>
      <c r="DY80" s="229">
        <v>0.1404</v>
      </c>
      <c r="DZ80" s="229">
        <v>8.0500000000000002E-2</v>
      </c>
      <c r="EA80" s="230">
        <v>16045700</v>
      </c>
      <c r="EB80" s="229">
        <v>1.1000000000000001E-3</v>
      </c>
      <c r="EC80" s="229">
        <v>8.0500000000000002E-2</v>
      </c>
      <c r="ED80" s="228">
        <v>1.58</v>
      </c>
      <c r="EE80" s="229">
        <v>2E-3</v>
      </c>
      <c r="EF80" s="230">
        <v>22278392</v>
      </c>
      <c r="EG80" s="230">
        <v>43557505</v>
      </c>
      <c r="EH80" s="229">
        <v>-0.48849999999999999</v>
      </c>
      <c r="EI80" s="229">
        <v>0.41320000000000001</v>
      </c>
      <c r="EJ80" s="231">
        <v>585729.1</v>
      </c>
      <c r="EK80" s="231">
        <v>358279.7</v>
      </c>
      <c r="EL80" s="231">
        <v>395443.37</v>
      </c>
      <c r="EM80" s="231">
        <v>61720</v>
      </c>
      <c r="EN80" s="231">
        <v>1339452.17</v>
      </c>
      <c r="EO80" s="231">
        <v>2043181.28</v>
      </c>
      <c r="EP80" s="231">
        <v>-703729.11</v>
      </c>
      <c r="EQ80" s="229">
        <v>-0.34439999999999998</v>
      </c>
      <c r="ER80" s="231">
        <v>593605</v>
      </c>
      <c r="ES80" s="231">
        <v>325218</v>
      </c>
      <c r="ET80" s="231">
        <v>2708339</v>
      </c>
      <c r="EU80" s="231">
        <v>1496665645</v>
      </c>
      <c r="EV80" s="231">
        <v>3627161</v>
      </c>
      <c r="EW80" s="231">
        <v>3597136</v>
      </c>
      <c r="EX80" s="231">
        <v>30025</v>
      </c>
      <c r="EY80" s="229">
        <v>8.3000000000000001E-3</v>
      </c>
      <c r="EZ80" s="229">
        <v>0.30159999999999998</v>
      </c>
      <c r="FA80" s="227" t="s">
        <v>566</v>
      </c>
      <c r="FB80" s="161">
        <f t="shared" si="1"/>
        <v>27217850</v>
      </c>
    </row>
    <row r="81" spans="1:158" ht="17.25" thickBot="1" x14ac:dyDescent="0.3">
      <c r="A81" s="226">
        <v>46121</v>
      </c>
      <c r="B81" s="227" t="s">
        <v>175</v>
      </c>
      <c r="C81" s="227" t="s">
        <v>225</v>
      </c>
      <c r="D81" s="228">
        <v>1100</v>
      </c>
      <c r="E81" s="228">
        <v>593.1</v>
      </c>
      <c r="F81" s="228">
        <v>601.5</v>
      </c>
      <c r="G81" s="228">
        <v>-8.4</v>
      </c>
      <c r="H81" s="229">
        <v>-1.4E-2</v>
      </c>
      <c r="I81" s="228">
        <v>591.20000000000005</v>
      </c>
      <c r="J81" s="228">
        <v>598.29999999999995</v>
      </c>
      <c r="K81" s="228">
        <v>-7.1</v>
      </c>
      <c r="L81" s="229">
        <v>-1.1900000000000001E-2</v>
      </c>
      <c r="M81" s="228">
        <v>593.1</v>
      </c>
      <c r="N81" s="228">
        <v>601.5</v>
      </c>
      <c r="O81" s="228">
        <v>-8.4</v>
      </c>
      <c r="P81" s="229">
        <v>-1.4E-2</v>
      </c>
      <c r="Q81" s="228">
        <v>596.45000000000005</v>
      </c>
      <c r="R81" s="228">
        <v>604.54999999999995</v>
      </c>
      <c r="S81" s="228">
        <v>-8.1</v>
      </c>
      <c r="T81" s="229">
        <v>-1.34E-2</v>
      </c>
      <c r="U81" s="228">
        <v>598.15</v>
      </c>
      <c r="V81" s="228">
        <v>606.35</v>
      </c>
      <c r="W81" s="228">
        <v>-8.1999999999999993</v>
      </c>
      <c r="X81" s="229">
        <v>-1.35E-2</v>
      </c>
      <c r="Y81" s="228">
        <v>1.9</v>
      </c>
      <c r="Z81" s="228">
        <v>3.2</v>
      </c>
      <c r="AA81" s="228">
        <v>-1.3</v>
      </c>
      <c r="AB81" s="229">
        <v>3.2000000000000002E-3</v>
      </c>
      <c r="AC81" s="228">
        <v>1.9</v>
      </c>
      <c r="AD81" s="228">
        <v>3.2</v>
      </c>
      <c r="AE81" s="228">
        <v>-1.3</v>
      </c>
      <c r="AF81" s="229">
        <v>3.2000000000000002E-3</v>
      </c>
      <c r="AG81" s="228">
        <v>5.25</v>
      </c>
      <c r="AH81" s="228">
        <v>6.25</v>
      </c>
      <c r="AI81" s="228">
        <v>-1</v>
      </c>
      <c r="AJ81" s="229">
        <v>8.8999999999999999E-3</v>
      </c>
      <c r="AK81" s="228">
        <v>6.95</v>
      </c>
      <c r="AL81" s="228">
        <v>8.0500000000000007</v>
      </c>
      <c r="AM81" s="228">
        <v>-1.1000000000000001</v>
      </c>
      <c r="AN81" s="229">
        <v>1.18E-2</v>
      </c>
      <c r="AO81" s="228">
        <v>592.92999999999995</v>
      </c>
      <c r="AP81" s="228">
        <v>596.33000000000004</v>
      </c>
      <c r="AQ81" s="228">
        <v>0</v>
      </c>
      <c r="AR81" s="230">
        <v>3953400</v>
      </c>
      <c r="AS81" s="230">
        <v>5410900</v>
      </c>
      <c r="AT81" s="230">
        <v>-1457500</v>
      </c>
      <c r="AU81" s="229">
        <v>-0.26939999999999997</v>
      </c>
      <c r="AV81" s="230">
        <v>3503500</v>
      </c>
      <c r="AW81" s="230">
        <v>5009400</v>
      </c>
      <c r="AX81" s="230">
        <v>-1505900</v>
      </c>
      <c r="AY81" s="229">
        <v>-0.30059999999999998</v>
      </c>
      <c r="AZ81" s="230">
        <v>393800</v>
      </c>
      <c r="BA81" s="230">
        <v>290400</v>
      </c>
      <c r="BB81" s="230">
        <v>103400</v>
      </c>
      <c r="BC81" s="229">
        <v>0.35610000000000003</v>
      </c>
      <c r="BD81" s="230">
        <v>56100</v>
      </c>
      <c r="BE81" s="230">
        <v>111100</v>
      </c>
      <c r="BF81" s="230">
        <v>-55000</v>
      </c>
      <c r="BG81" s="229">
        <v>-0.495</v>
      </c>
      <c r="BH81" s="230">
        <v>9662400</v>
      </c>
      <c r="BI81" s="230">
        <v>12741300</v>
      </c>
      <c r="BJ81" s="230">
        <v>-3078900</v>
      </c>
      <c r="BK81" s="229">
        <v>-0.24160000000000001</v>
      </c>
      <c r="BL81" s="230">
        <v>4521000</v>
      </c>
      <c r="BM81" s="230">
        <v>5736500</v>
      </c>
      <c r="BN81" s="230">
        <v>-1215500</v>
      </c>
      <c r="BO81" s="229">
        <v>-0.21190000000000001</v>
      </c>
      <c r="BP81" s="230">
        <v>18136800</v>
      </c>
      <c r="BQ81" s="230">
        <v>23888700</v>
      </c>
      <c r="BR81" s="230">
        <v>-5751900</v>
      </c>
      <c r="BS81" s="229">
        <v>-0.24079999999999999</v>
      </c>
      <c r="BT81" s="230">
        <v>4226364</v>
      </c>
      <c r="BU81" s="230">
        <v>6110627</v>
      </c>
      <c r="BV81" s="230">
        <v>-1884263</v>
      </c>
      <c r="BW81" s="229">
        <v>-0.30840000000000001</v>
      </c>
      <c r="BX81" s="230">
        <v>45740200</v>
      </c>
      <c r="BY81" s="230">
        <v>45190200</v>
      </c>
      <c r="BZ81" s="230">
        <v>550000</v>
      </c>
      <c r="CA81" s="229">
        <v>1.2200000000000001E-2</v>
      </c>
      <c r="CB81" s="230">
        <v>44008800</v>
      </c>
      <c r="CC81" s="230">
        <v>43700800</v>
      </c>
      <c r="CD81" s="230">
        <v>308000</v>
      </c>
      <c r="CE81" s="229">
        <v>7.0000000000000001E-3</v>
      </c>
      <c r="CF81" s="230">
        <v>1557600</v>
      </c>
      <c r="CG81" s="230">
        <v>1342000</v>
      </c>
      <c r="CH81" s="230">
        <v>215600</v>
      </c>
      <c r="CI81" s="229">
        <v>0.16070000000000001</v>
      </c>
      <c r="CJ81" s="230">
        <v>173800</v>
      </c>
      <c r="CK81" s="230">
        <v>147400</v>
      </c>
      <c r="CL81" s="230">
        <v>26400</v>
      </c>
      <c r="CM81" s="229">
        <v>0.17910000000000001</v>
      </c>
      <c r="CN81" s="230">
        <v>11159500</v>
      </c>
      <c r="CO81" s="230">
        <v>11046200</v>
      </c>
      <c r="CP81" s="230">
        <v>113300</v>
      </c>
      <c r="CQ81" s="229">
        <v>1.03E-2</v>
      </c>
      <c r="CR81" s="230">
        <v>6947600</v>
      </c>
      <c r="CS81" s="230">
        <v>6539500</v>
      </c>
      <c r="CT81" s="230">
        <v>408100</v>
      </c>
      <c r="CU81" s="229">
        <v>6.2399999999999997E-2</v>
      </c>
      <c r="CV81" s="230">
        <v>63847300</v>
      </c>
      <c r="CW81" s="230">
        <v>62775900</v>
      </c>
      <c r="CX81" s="230">
        <v>1071400</v>
      </c>
      <c r="CY81" s="229">
        <v>1.7100000000000001E-2</v>
      </c>
      <c r="CZ81" s="228">
        <v>29.74</v>
      </c>
      <c r="DA81" s="228">
        <v>28.05</v>
      </c>
      <c r="DB81" s="228">
        <v>1.69</v>
      </c>
      <c r="DC81" s="228">
        <v>1.69</v>
      </c>
      <c r="DD81" s="228">
        <v>27.13</v>
      </c>
      <c r="DE81" s="228">
        <v>27.15</v>
      </c>
      <c r="DF81" s="228">
        <v>2.61</v>
      </c>
      <c r="DG81" s="228">
        <v>-0.02</v>
      </c>
      <c r="DH81" s="228">
        <v>29.32</v>
      </c>
      <c r="DI81" s="228">
        <v>27.51</v>
      </c>
      <c r="DJ81" s="228">
        <v>1.81</v>
      </c>
      <c r="DK81" s="228">
        <v>1.81</v>
      </c>
      <c r="DL81" s="228">
        <v>30.63</v>
      </c>
      <c r="DM81" s="228">
        <v>29.25</v>
      </c>
      <c r="DN81" s="228">
        <v>1.38</v>
      </c>
      <c r="DO81" s="228">
        <v>1.38</v>
      </c>
      <c r="DP81" s="228">
        <v>0.62</v>
      </c>
      <c r="DQ81" s="228">
        <v>0.59</v>
      </c>
      <c r="DR81" s="228">
        <v>0.03</v>
      </c>
      <c r="DS81" s="229">
        <v>5.0799999999999998E-2</v>
      </c>
      <c r="DT81" s="228">
        <v>600</v>
      </c>
      <c r="DU81" s="228">
        <v>520</v>
      </c>
      <c r="DV81" s="228">
        <v>0.47</v>
      </c>
      <c r="DW81" s="228">
        <v>0.45</v>
      </c>
      <c r="DX81" s="228">
        <v>0.02</v>
      </c>
      <c r="DY81" s="229">
        <v>4.4400000000000002E-2</v>
      </c>
      <c r="DZ81" s="229">
        <v>3.7900000000000003E-2</v>
      </c>
      <c r="EA81" s="230">
        <v>1489400</v>
      </c>
      <c r="EB81" s="229">
        <v>5.5999999999999999E-3</v>
      </c>
      <c r="EC81" s="229">
        <v>3.7900000000000003E-2</v>
      </c>
      <c r="ED81" s="228">
        <v>3.4</v>
      </c>
      <c r="EE81" s="229">
        <v>5.7000000000000002E-3</v>
      </c>
      <c r="EF81" s="230">
        <v>2704997</v>
      </c>
      <c r="EG81" s="230">
        <v>4001311</v>
      </c>
      <c r="EH81" s="229">
        <v>-0.32400000000000001</v>
      </c>
      <c r="EI81" s="229">
        <v>0.64</v>
      </c>
      <c r="EJ81" s="231">
        <v>61522.94</v>
      </c>
      <c r="EK81" s="231">
        <v>26680.65</v>
      </c>
      <c r="EL81" s="231">
        <v>23457.24</v>
      </c>
      <c r="EM81" s="231">
        <v>3912</v>
      </c>
      <c r="EN81" s="231">
        <v>111660.83</v>
      </c>
      <c r="EO81" s="231">
        <v>147714.4</v>
      </c>
      <c r="EP81" s="231">
        <v>-36053.57</v>
      </c>
      <c r="EQ81" s="229">
        <v>-0.24410000000000001</v>
      </c>
      <c r="ER81" s="231">
        <v>70074</v>
      </c>
      <c r="ES81" s="231">
        <v>39494</v>
      </c>
      <c r="ET81" s="231">
        <v>271346</v>
      </c>
      <c r="EU81" s="231">
        <v>156090005</v>
      </c>
      <c r="EV81" s="231">
        <v>380914</v>
      </c>
      <c r="EW81" s="231">
        <v>378705</v>
      </c>
      <c r="EX81" s="231">
        <v>2209</v>
      </c>
      <c r="EY81" s="229">
        <v>5.7999999999999996E-3</v>
      </c>
      <c r="EZ81" s="229">
        <v>0.40899999999999997</v>
      </c>
      <c r="FA81" s="227" t="s">
        <v>566</v>
      </c>
      <c r="FB81" s="161">
        <f t="shared" si="1"/>
        <v>1731400</v>
      </c>
    </row>
    <row r="82" spans="1:158" ht="17.25" thickBot="1" x14ac:dyDescent="0.3">
      <c r="A82" s="226">
        <v>46121</v>
      </c>
      <c r="B82" s="227" t="s">
        <v>162</v>
      </c>
      <c r="C82" s="227" t="s">
        <v>226</v>
      </c>
      <c r="D82" s="228">
        <v>150</v>
      </c>
      <c r="E82" s="231">
        <v>5309.5</v>
      </c>
      <c r="F82" s="231">
        <v>5314.5</v>
      </c>
      <c r="G82" s="228">
        <v>-5</v>
      </c>
      <c r="H82" s="229">
        <v>-8.9999999999999998E-4</v>
      </c>
      <c r="I82" s="231">
        <v>5284</v>
      </c>
      <c r="J82" s="231">
        <v>5287.5</v>
      </c>
      <c r="K82" s="228">
        <v>-3.5</v>
      </c>
      <c r="L82" s="229">
        <v>-6.9999999999999999E-4</v>
      </c>
      <c r="M82" s="231">
        <v>5309.5</v>
      </c>
      <c r="N82" s="231">
        <v>5314.5</v>
      </c>
      <c r="O82" s="228">
        <v>-5</v>
      </c>
      <c r="P82" s="229">
        <v>-8.9999999999999998E-4</v>
      </c>
      <c r="Q82" s="231">
        <v>5338</v>
      </c>
      <c r="R82" s="231">
        <v>5343</v>
      </c>
      <c r="S82" s="228">
        <v>-5</v>
      </c>
      <c r="T82" s="229">
        <v>-8.9999999999999998E-4</v>
      </c>
      <c r="U82" s="231">
        <v>5390</v>
      </c>
      <c r="V82" s="231">
        <v>5363.5</v>
      </c>
      <c r="W82" s="228">
        <v>26.5</v>
      </c>
      <c r="X82" s="229">
        <v>4.8999999999999998E-3</v>
      </c>
      <c r="Y82" s="228">
        <v>25.5</v>
      </c>
      <c r="Z82" s="228">
        <v>27</v>
      </c>
      <c r="AA82" s="228">
        <v>-1.5</v>
      </c>
      <c r="AB82" s="229">
        <v>4.7999999999999996E-3</v>
      </c>
      <c r="AC82" s="228">
        <v>25.5</v>
      </c>
      <c r="AD82" s="228">
        <v>27</v>
      </c>
      <c r="AE82" s="228">
        <v>-1.5</v>
      </c>
      <c r="AF82" s="229">
        <v>4.7999999999999996E-3</v>
      </c>
      <c r="AG82" s="228">
        <v>54</v>
      </c>
      <c r="AH82" s="228">
        <v>55.5</v>
      </c>
      <c r="AI82" s="228">
        <v>-1.5</v>
      </c>
      <c r="AJ82" s="229">
        <v>1.0200000000000001E-2</v>
      </c>
      <c r="AK82" s="228">
        <v>106</v>
      </c>
      <c r="AL82" s="228">
        <v>76</v>
      </c>
      <c r="AM82" s="228">
        <v>30</v>
      </c>
      <c r="AN82" s="229">
        <v>2.01E-2</v>
      </c>
      <c r="AO82" s="231">
        <v>5329.76</v>
      </c>
      <c r="AP82" s="231">
        <v>5369.69</v>
      </c>
      <c r="AQ82" s="228">
        <v>0</v>
      </c>
      <c r="AR82" s="230">
        <v>587400</v>
      </c>
      <c r="AS82" s="230">
        <v>780750</v>
      </c>
      <c r="AT82" s="230">
        <v>-193350</v>
      </c>
      <c r="AU82" s="229">
        <v>-0.24759999999999999</v>
      </c>
      <c r="AV82" s="230">
        <v>547350</v>
      </c>
      <c r="AW82" s="230">
        <v>740550</v>
      </c>
      <c r="AX82" s="230">
        <v>-193200</v>
      </c>
      <c r="AY82" s="229">
        <v>-0.26090000000000002</v>
      </c>
      <c r="AZ82" s="230">
        <v>39000</v>
      </c>
      <c r="BA82" s="230">
        <v>38400</v>
      </c>
      <c r="BB82" s="228">
        <v>600</v>
      </c>
      <c r="BC82" s="229">
        <v>1.5599999999999999E-2</v>
      </c>
      <c r="BD82" s="230">
        <v>1050</v>
      </c>
      <c r="BE82" s="230">
        <v>1800</v>
      </c>
      <c r="BF82" s="228">
        <v>-750</v>
      </c>
      <c r="BG82" s="229">
        <v>-0.41670000000000001</v>
      </c>
      <c r="BH82" s="230">
        <v>1854300</v>
      </c>
      <c r="BI82" s="230">
        <v>2255400</v>
      </c>
      <c r="BJ82" s="230">
        <v>-401100</v>
      </c>
      <c r="BK82" s="229">
        <v>-0.17780000000000001</v>
      </c>
      <c r="BL82" s="230">
        <v>1054350</v>
      </c>
      <c r="BM82" s="230">
        <v>1438950</v>
      </c>
      <c r="BN82" s="230">
        <v>-384600</v>
      </c>
      <c r="BO82" s="229">
        <v>-0.26729999999999998</v>
      </c>
      <c r="BP82" s="230">
        <v>3496050</v>
      </c>
      <c r="BQ82" s="230">
        <v>4475100</v>
      </c>
      <c r="BR82" s="230">
        <v>-979050</v>
      </c>
      <c r="BS82" s="229">
        <v>-0.21879999999999999</v>
      </c>
      <c r="BT82" s="230">
        <v>797346</v>
      </c>
      <c r="BU82" s="230">
        <v>805279</v>
      </c>
      <c r="BV82" s="230">
        <v>-7933</v>
      </c>
      <c r="BW82" s="229">
        <v>-9.9000000000000008E-3</v>
      </c>
      <c r="BX82" s="230">
        <v>3899850</v>
      </c>
      <c r="BY82" s="230">
        <v>3782850</v>
      </c>
      <c r="BZ82" s="230">
        <v>117000</v>
      </c>
      <c r="CA82" s="229">
        <v>3.09E-2</v>
      </c>
      <c r="CB82" s="230">
        <v>3840750</v>
      </c>
      <c r="CC82" s="230">
        <v>3744600</v>
      </c>
      <c r="CD82" s="230">
        <v>96150</v>
      </c>
      <c r="CE82" s="229">
        <v>2.5700000000000001E-2</v>
      </c>
      <c r="CF82" s="230">
        <v>55800</v>
      </c>
      <c r="CG82" s="230">
        <v>35700</v>
      </c>
      <c r="CH82" s="230">
        <v>20100</v>
      </c>
      <c r="CI82" s="229">
        <v>0.56299999999999994</v>
      </c>
      <c r="CJ82" s="230">
        <v>3300</v>
      </c>
      <c r="CK82" s="230">
        <v>2550</v>
      </c>
      <c r="CL82" s="228">
        <v>750</v>
      </c>
      <c r="CM82" s="229">
        <v>0.29409999999999997</v>
      </c>
      <c r="CN82" s="230">
        <v>1256100</v>
      </c>
      <c r="CO82" s="230">
        <v>1164450</v>
      </c>
      <c r="CP82" s="230">
        <v>91650</v>
      </c>
      <c r="CQ82" s="229">
        <v>7.8700000000000006E-2</v>
      </c>
      <c r="CR82" s="230">
        <v>1052250</v>
      </c>
      <c r="CS82" s="230">
        <v>1011600</v>
      </c>
      <c r="CT82" s="230">
        <v>40650</v>
      </c>
      <c r="CU82" s="229">
        <v>4.02E-2</v>
      </c>
      <c r="CV82" s="230">
        <v>6208200</v>
      </c>
      <c r="CW82" s="230">
        <v>5958900</v>
      </c>
      <c r="CX82" s="230">
        <v>249300</v>
      </c>
      <c r="CY82" s="229">
        <v>4.1799999999999997E-2</v>
      </c>
      <c r="CZ82" s="228">
        <v>33.21</v>
      </c>
      <c r="DA82" s="228">
        <v>33.01</v>
      </c>
      <c r="DB82" s="228">
        <v>0.2</v>
      </c>
      <c r="DC82" s="228">
        <v>0.2</v>
      </c>
      <c r="DD82" s="228">
        <v>32.99</v>
      </c>
      <c r="DE82" s="228">
        <v>33.07</v>
      </c>
      <c r="DF82" s="228">
        <v>0.22</v>
      </c>
      <c r="DG82" s="228">
        <v>-0.08</v>
      </c>
      <c r="DH82" s="228">
        <v>32.68</v>
      </c>
      <c r="DI82" s="228">
        <v>32.369999999999997</v>
      </c>
      <c r="DJ82" s="228">
        <v>0.31</v>
      </c>
      <c r="DK82" s="228">
        <v>0.31</v>
      </c>
      <c r="DL82" s="228">
        <v>34.15</v>
      </c>
      <c r="DM82" s="228">
        <v>34.01</v>
      </c>
      <c r="DN82" s="228">
        <v>0.14000000000000001</v>
      </c>
      <c r="DO82" s="228">
        <v>0.14000000000000001</v>
      </c>
      <c r="DP82" s="228">
        <v>0.84</v>
      </c>
      <c r="DQ82" s="228">
        <v>0.87</v>
      </c>
      <c r="DR82" s="228">
        <v>-0.03</v>
      </c>
      <c r="DS82" s="229">
        <v>-3.4500000000000003E-2</v>
      </c>
      <c r="DT82" s="231">
        <v>5200</v>
      </c>
      <c r="DU82" s="231">
        <v>5000</v>
      </c>
      <c r="DV82" s="228">
        <v>0.56999999999999995</v>
      </c>
      <c r="DW82" s="228">
        <v>0.64</v>
      </c>
      <c r="DX82" s="228">
        <v>-7.0000000000000007E-2</v>
      </c>
      <c r="DY82" s="229">
        <v>-0.1094</v>
      </c>
      <c r="DZ82" s="229">
        <v>1.52E-2</v>
      </c>
      <c r="EA82" s="230">
        <v>38250</v>
      </c>
      <c r="EB82" s="229">
        <v>5.4000000000000003E-3</v>
      </c>
      <c r="EC82" s="229">
        <v>1.52E-2</v>
      </c>
      <c r="ED82" s="228">
        <v>39.93</v>
      </c>
      <c r="EE82" s="229">
        <v>7.4999999999999997E-3</v>
      </c>
      <c r="EF82" s="230">
        <v>379341</v>
      </c>
      <c r="EG82" s="230">
        <v>453224</v>
      </c>
      <c r="EH82" s="229">
        <v>-0.16300000000000001</v>
      </c>
      <c r="EI82" s="229">
        <v>0.4758</v>
      </c>
      <c r="EJ82" s="231">
        <v>104407.2</v>
      </c>
      <c r="EK82" s="231">
        <v>55440.639999999999</v>
      </c>
      <c r="EL82" s="231">
        <v>31323.16</v>
      </c>
      <c r="EM82" s="231">
        <v>4206</v>
      </c>
      <c r="EN82" s="231">
        <v>191171</v>
      </c>
      <c r="EO82" s="231">
        <v>243639.33</v>
      </c>
      <c r="EP82" s="231">
        <v>-52468.33</v>
      </c>
      <c r="EQ82" s="229">
        <v>-0.21540000000000001</v>
      </c>
      <c r="ER82" s="231">
        <v>68698</v>
      </c>
      <c r="ES82" s="231">
        <v>52416</v>
      </c>
      <c r="ET82" s="231">
        <v>207081</v>
      </c>
      <c r="EU82" s="231">
        <v>19589014</v>
      </c>
      <c r="EV82" s="231">
        <v>328195</v>
      </c>
      <c r="EW82" s="231">
        <v>314970</v>
      </c>
      <c r="EX82" s="231">
        <v>13225</v>
      </c>
      <c r="EY82" s="229">
        <v>4.2000000000000003E-2</v>
      </c>
      <c r="EZ82" s="229">
        <v>0.31690000000000002</v>
      </c>
      <c r="FA82" s="227" t="s">
        <v>566</v>
      </c>
      <c r="FB82" s="161">
        <f t="shared" si="1"/>
        <v>59100</v>
      </c>
    </row>
    <row r="83" spans="1:158" ht="17.25" thickBot="1" x14ac:dyDescent="0.3">
      <c r="A83" s="226">
        <v>46121</v>
      </c>
      <c r="B83" s="227" t="s">
        <v>227</v>
      </c>
      <c r="C83" s="227" t="s">
        <v>228</v>
      </c>
      <c r="D83" s="228">
        <v>700</v>
      </c>
      <c r="E83" s="228">
        <v>988.35</v>
      </c>
      <c r="F83" s="228">
        <v>955.75</v>
      </c>
      <c r="G83" s="228">
        <v>32.6</v>
      </c>
      <c r="H83" s="229">
        <v>3.4099999999999998E-2</v>
      </c>
      <c r="I83" s="228">
        <v>985.65</v>
      </c>
      <c r="J83" s="228">
        <v>951.8</v>
      </c>
      <c r="K83" s="228">
        <v>33.85</v>
      </c>
      <c r="L83" s="229">
        <v>3.56E-2</v>
      </c>
      <c r="M83" s="228">
        <v>988.35</v>
      </c>
      <c r="N83" s="228">
        <v>955.75</v>
      </c>
      <c r="O83" s="228">
        <v>32.6</v>
      </c>
      <c r="P83" s="229">
        <v>3.4099999999999998E-2</v>
      </c>
      <c r="Q83" s="228">
        <v>993.95</v>
      </c>
      <c r="R83" s="228">
        <v>961.7</v>
      </c>
      <c r="S83" s="228">
        <v>32.25</v>
      </c>
      <c r="T83" s="229">
        <v>3.3500000000000002E-2</v>
      </c>
      <c r="U83" s="228">
        <v>999.9</v>
      </c>
      <c r="V83" s="228">
        <v>967.35</v>
      </c>
      <c r="W83" s="228">
        <v>32.549999999999997</v>
      </c>
      <c r="X83" s="229">
        <v>3.3599999999999998E-2</v>
      </c>
      <c r="Y83" s="228">
        <v>2.7</v>
      </c>
      <c r="Z83" s="228">
        <v>3.95</v>
      </c>
      <c r="AA83" s="228">
        <v>-1.25</v>
      </c>
      <c r="AB83" s="229">
        <v>2.7000000000000001E-3</v>
      </c>
      <c r="AC83" s="228">
        <v>2.7</v>
      </c>
      <c r="AD83" s="228">
        <v>3.95</v>
      </c>
      <c r="AE83" s="228">
        <v>-1.25</v>
      </c>
      <c r="AF83" s="229">
        <v>2.7000000000000001E-3</v>
      </c>
      <c r="AG83" s="228">
        <v>8.3000000000000007</v>
      </c>
      <c r="AH83" s="228">
        <v>9.9</v>
      </c>
      <c r="AI83" s="228">
        <v>-1.6</v>
      </c>
      <c r="AJ83" s="229">
        <v>8.3999999999999995E-3</v>
      </c>
      <c r="AK83" s="228">
        <v>14.25</v>
      </c>
      <c r="AL83" s="228">
        <v>15.55</v>
      </c>
      <c r="AM83" s="228">
        <v>-1.3</v>
      </c>
      <c r="AN83" s="229">
        <v>1.4500000000000001E-2</v>
      </c>
      <c r="AO83" s="228">
        <v>982.76</v>
      </c>
      <c r="AP83" s="228">
        <v>987.98</v>
      </c>
      <c r="AQ83" s="228">
        <v>0</v>
      </c>
      <c r="AR83" s="230">
        <v>10236100</v>
      </c>
      <c r="AS83" s="230">
        <v>10622500</v>
      </c>
      <c r="AT83" s="230">
        <v>-386400</v>
      </c>
      <c r="AU83" s="229">
        <v>-3.6400000000000002E-2</v>
      </c>
      <c r="AV83" s="230">
        <v>9397500</v>
      </c>
      <c r="AW83" s="230">
        <v>10064600</v>
      </c>
      <c r="AX83" s="230">
        <v>-667100</v>
      </c>
      <c r="AY83" s="229">
        <v>-6.6299999999999998E-2</v>
      </c>
      <c r="AZ83" s="230">
        <v>431200</v>
      </c>
      <c r="BA83" s="230">
        <v>515900</v>
      </c>
      <c r="BB83" s="230">
        <v>-84700</v>
      </c>
      <c r="BC83" s="229">
        <v>-0.16420000000000001</v>
      </c>
      <c r="BD83" s="230">
        <v>407400</v>
      </c>
      <c r="BE83" s="230">
        <v>42000</v>
      </c>
      <c r="BF83" s="230">
        <v>365400</v>
      </c>
      <c r="BG83" s="229">
        <v>8.6999999999999993</v>
      </c>
      <c r="BH83" s="230">
        <v>44505300</v>
      </c>
      <c r="BI83" s="230">
        <v>22401400</v>
      </c>
      <c r="BJ83" s="230">
        <v>22103900</v>
      </c>
      <c r="BK83" s="229">
        <v>0.98670000000000002</v>
      </c>
      <c r="BL83" s="230">
        <v>19187000</v>
      </c>
      <c r="BM83" s="230">
        <v>15096900</v>
      </c>
      <c r="BN83" s="230">
        <v>4090100</v>
      </c>
      <c r="BO83" s="229">
        <v>0.27089999999999997</v>
      </c>
      <c r="BP83" s="230">
        <v>73928400</v>
      </c>
      <c r="BQ83" s="230">
        <v>48120800</v>
      </c>
      <c r="BR83" s="230">
        <v>25807600</v>
      </c>
      <c r="BS83" s="229">
        <v>0.5363</v>
      </c>
      <c r="BT83" s="230">
        <v>10318662</v>
      </c>
      <c r="BU83" s="230">
        <v>8752775</v>
      </c>
      <c r="BV83" s="230">
        <v>1565887</v>
      </c>
      <c r="BW83" s="229">
        <v>0.1789</v>
      </c>
      <c r="BX83" s="230">
        <v>38245900</v>
      </c>
      <c r="BY83" s="230">
        <v>37806300</v>
      </c>
      <c r="BZ83" s="230">
        <v>439600</v>
      </c>
      <c r="CA83" s="229">
        <v>1.1599999999999999E-2</v>
      </c>
      <c r="CB83" s="230">
        <v>35024500</v>
      </c>
      <c r="CC83" s="230">
        <v>35017500</v>
      </c>
      <c r="CD83" s="230">
        <v>7000</v>
      </c>
      <c r="CE83" s="229">
        <v>2.0000000000000001E-4</v>
      </c>
      <c r="CF83" s="230">
        <v>2256800</v>
      </c>
      <c r="CG83" s="230">
        <v>2174900</v>
      </c>
      <c r="CH83" s="230">
        <v>81900</v>
      </c>
      <c r="CI83" s="229">
        <v>3.7699999999999997E-2</v>
      </c>
      <c r="CJ83" s="230">
        <v>964600</v>
      </c>
      <c r="CK83" s="230">
        <v>613900</v>
      </c>
      <c r="CL83" s="230">
        <v>350700</v>
      </c>
      <c r="CM83" s="229">
        <v>0.57130000000000003</v>
      </c>
      <c r="CN83" s="230">
        <v>13001100</v>
      </c>
      <c r="CO83" s="230">
        <v>12842900</v>
      </c>
      <c r="CP83" s="230">
        <v>158200</v>
      </c>
      <c r="CQ83" s="229">
        <v>1.23E-2</v>
      </c>
      <c r="CR83" s="230">
        <v>9327500</v>
      </c>
      <c r="CS83" s="230">
        <v>7916300</v>
      </c>
      <c r="CT83" s="230">
        <v>1411200</v>
      </c>
      <c r="CU83" s="229">
        <v>0.17829999999999999</v>
      </c>
      <c r="CV83" s="230">
        <v>60574500</v>
      </c>
      <c r="CW83" s="230">
        <v>58565500</v>
      </c>
      <c r="CX83" s="230">
        <v>2009000</v>
      </c>
      <c r="CY83" s="229">
        <v>3.4299999999999997E-2</v>
      </c>
      <c r="CZ83" s="228">
        <v>36.159999999999997</v>
      </c>
      <c r="DA83" s="228">
        <v>35.340000000000003</v>
      </c>
      <c r="DB83" s="228">
        <v>0.82</v>
      </c>
      <c r="DC83" s="228">
        <v>0.82</v>
      </c>
      <c r="DD83" s="228">
        <v>36.51</v>
      </c>
      <c r="DE83" s="228">
        <v>36.29</v>
      </c>
      <c r="DF83" s="228">
        <v>-0.35</v>
      </c>
      <c r="DG83" s="228">
        <v>0.22</v>
      </c>
      <c r="DH83" s="228">
        <v>35.74</v>
      </c>
      <c r="DI83" s="228">
        <v>35.07</v>
      </c>
      <c r="DJ83" s="228">
        <v>0.67</v>
      </c>
      <c r="DK83" s="228">
        <v>0.67</v>
      </c>
      <c r="DL83" s="228">
        <v>37.130000000000003</v>
      </c>
      <c r="DM83" s="228">
        <v>35.729999999999997</v>
      </c>
      <c r="DN83" s="228">
        <v>1.4</v>
      </c>
      <c r="DO83" s="228">
        <v>1.4</v>
      </c>
      <c r="DP83" s="228">
        <v>0.72</v>
      </c>
      <c r="DQ83" s="228">
        <v>0.62</v>
      </c>
      <c r="DR83" s="228">
        <v>0.1</v>
      </c>
      <c r="DS83" s="229">
        <v>0.1613</v>
      </c>
      <c r="DT83" s="228">
        <v>900</v>
      </c>
      <c r="DU83" s="228">
        <v>900</v>
      </c>
      <c r="DV83" s="228">
        <v>0.43</v>
      </c>
      <c r="DW83" s="228">
        <v>0.67</v>
      </c>
      <c r="DX83" s="228">
        <v>-0.24</v>
      </c>
      <c r="DY83" s="229">
        <v>-0.35820000000000002</v>
      </c>
      <c r="DZ83" s="229">
        <v>8.4199999999999997E-2</v>
      </c>
      <c r="EA83" s="230">
        <v>2788800</v>
      </c>
      <c r="EB83" s="229">
        <v>5.7000000000000002E-3</v>
      </c>
      <c r="EC83" s="229">
        <v>8.4199999999999997E-2</v>
      </c>
      <c r="ED83" s="228">
        <v>5.22</v>
      </c>
      <c r="EE83" s="229">
        <v>5.3E-3</v>
      </c>
      <c r="EF83" s="230">
        <v>4117375</v>
      </c>
      <c r="EG83" s="230">
        <v>4366969</v>
      </c>
      <c r="EH83" s="229">
        <v>-5.7200000000000001E-2</v>
      </c>
      <c r="EI83" s="229">
        <v>0.39900000000000002</v>
      </c>
      <c r="EJ83" s="231">
        <v>458224.3</v>
      </c>
      <c r="EK83" s="231">
        <v>185033.25</v>
      </c>
      <c r="EL83" s="231">
        <v>100681.94</v>
      </c>
      <c r="EM83" s="231">
        <v>13920</v>
      </c>
      <c r="EN83" s="231">
        <v>743939.49</v>
      </c>
      <c r="EO83" s="231">
        <v>470477.58</v>
      </c>
      <c r="EP83" s="231">
        <v>273461.90999999997</v>
      </c>
      <c r="EQ83" s="229">
        <v>0.58120000000000005</v>
      </c>
      <c r="ER83" s="231">
        <v>125827</v>
      </c>
      <c r="ES83" s="231">
        <v>84391</v>
      </c>
      <c r="ET83" s="231">
        <v>378241</v>
      </c>
      <c r="EU83" s="231">
        <v>218611634</v>
      </c>
      <c r="EV83" s="231">
        <v>588460</v>
      </c>
      <c r="EW83" s="231">
        <v>555426</v>
      </c>
      <c r="EX83" s="231">
        <v>33034</v>
      </c>
      <c r="EY83" s="229">
        <v>5.9499999999999997E-2</v>
      </c>
      <c r="EZ83" s="229">
        <v>0.27710000000000001</v>
      </c>
      <c r="FA83" s="227" t="s">
        <v>555</v>
      </c>
      <c r="FB83" s="161">
        <f t="shared" si="1"/>
        <v>3221400</v>
      </c>
    </row>
    <row r="84" spans="1:158" ht="17.25" thickBot="1" x14ac:dyDescent="0.3">
      <c r="A84" s="226">
        <v>46121</v>
      </c>
      <c r="B84" s="227" t="s">
        <v>193</v>
      </c>
      <c r="C84" s="227" t="s">
        <v>229</v>
      </c>
      <c r="D84" s="228">
        <v>2025</v>
      </c>
      <c r="E84" s="228">
        <v>358.85</v>
      </c>
      <c r="F84" s="228">
        <v>364.95</v>
      </c>
      <c r="G84" s="228">
        <v>-6.1</v>
      </c>
      <c r="H84" s="229">
        <v>-1.67E-2</v>
      </c>
      <c r="I84" s="228">
        <v>358</v>
      </c>
      <c r="J84" s="228">
        <v>364.25</v>
      </c>
      <c r="K84" s="228">
        <v>-6.25</v>
      </c>
      <c r="L84" s="229">
        <v>-1.72E-2</v>
      </c>
      <c r="M84" s="228">
        <v>358.85</v>
      </c>
      <c r="N84" s="228">
        <v>364.95</v>
      </c>
      <c r="O84" s="228">
        <v>-6.1</v>
      </c>
      <c r="P84" s="229">
        <v>-1.67E-2</v>
      </c>
      <c r="Q84" s="228">
        <v>360.7</v>
      </c>
      <c r="R84" s="228">
        <v>366.45</v>
      </c>
      <c r="S84" s="228">
        <v>-5.75</v>
      </c>
      <c r="T84" s="229">
        <v>-1.5699999999999999E-2</v>
      </c>
      <c r="U84" s="228">
        <v>361.6</v>
      </c>
      <c r="V84" s="228">
        <v>368.25</v>
      </c>
      <c r="W84" s="228">
        <v>-6.65</v>
      </c>
      <c r="X84" s="229">
        <v>-1.8100000000000002E-2</v>
      </c>
      <c r="Y84" s="228">
        <v>0.85</v>
      </c>
      <c r="Z84" s="228">
        <v>0.7</v>
      </c>
      <c r="AA84" s="228">
        <v>0.15</v>
      </c>
      <c r="AB84" s="229">
        <v>2.3999999999999998E-3</v>
      </c>
      <c r="AC84" s="228">
        <v>0.85</v>
      </c>
      <c r="AD84" s="228">
        <v>0.7</v>
      </c>
      <c r="AE84" s="228">
        <v>0.15</v>
      </c>
      <c r="AF84" s="229">
        <v>2.3999999999999998E-3</v>
      </c>
      <c r="AG84" s="228">
        <v>2.7</v>
      </c>
      <c r="AH84" s="228">
        <v>2.2000000000000002</v>
      </c>
      <c r="AI84" s="228">
        <v>0.5</v>
      </c>
      <c r="AJ84" s="229">
        <v>7.4999999999999997E-3</v>
      </c>
      <c r="AK84" s="228">
        <v>3.6</v>
      </c>
      <c r="AL84" s="228">
        <v>4</v>
      </c>
      <c r="AM84" s="228">
        <v>-0.4</v>
      </c>
      <c r="AN84" s="229">
        <v>1.01E-2</v>
      </c>
      <c r="AO84" s="228">
        <v>358.84</v>
      </c>
      <c r="AP84" s="228">
        <v>360.93</v>
      </c>
      <c r="AQ84" s="228">
        <v>0</v>
      </c>
      <c r="AR84" s="230">
        <v>12621825</v>
      </c>
      <c r="AS84" s="230">
        <v>28609200</v>
      </c>
      <c r="AT84" s="230">
        <v>-15987375</v>
      </c>
      <c r="AU84" s="229">
        <v>-0.55879999999999996</v>
      </c>
      <c r="AV84" s="230">
        <v>11983950</v>
      </c>
      <c r="AW84" s="230">
        <v>27327375</v>
      </c>
      <c r="AX84" s="230">
        <v>-15343425</v>
      </c>
      <c r="AY84" s="229">
        <v>-0.5615</v>
      </c>
      <c r="AZ84" s="230">
        <v>564975</v>
      </c>
      <c r="BA84" s="230">
        <v>1140075</v>
      </c>
      <c r="BB84" s="230">
        <v>-575100</v>
      </c>
      <c r="BC84" s="229">
        <v>-0.50439999999999996</v>
      </c>
      <c r="BD84" s="230">
        <v>72900</v>
      </c>
      <c r="BE84" s="230">
        <v>141750</v>
      </c>
      <c r="BF84" s="230">
        <v>-68850</v>
      </c>
      <c r="BG84" s="229">
        <v>-0.48570000000000002</v>
      </c>
      <c r="BH84" s="230">
        <v>21465000</v>
      </c>
      <c r="BI84" s="230">
        <v>60907950</v>
      </c>
      <c r="BJ84" s="230">
        <v>-39442950</v>
      </c>
      <c r="BK84" s="229">
        <v>-0.64759999999999995</v>
      </c>
      <c r="BL84" s="230">
        <v>14249925</v>
      </c>
      <c r="BM84" s="230">
        <v>31446225</v>
      </c>
      <c r="BN84" s="230">
        <v>-17196300</v>
      </c>
      <c r="BO84" s="229">
        <v>-0.54679999999999995</v>
      </c>
      <c r="BP84" s="230">
        <v>48336750</v>
      </c>
      <c r="BQ84" s="230">
        <v>120963375</v>
      </c>
      <c r="BR84" s="230">
        <v>-72626625</v>
      </c>
      <c r="BS84" s="229">
        <v>-0.60040000000000004</v>
      </c>
      <c r="BT84" s="230">
        <v>13833026</v>
      </c>
      <c r="BU84" s="230">
        <v>27135229</v>
      </c>
      <c r="BV84" s="230">
        <v>-13302203</v>
      </c>
      <c r="BW84" s="229">
        <v>-0.49020000000000002</v>
      </c>
      <c r="BX84" s="230">
        <v>43976925</v>
      </c>
      <c r="BY84" s="230">
        <v>43958700</v>
      </c>
      <c r="BZ84" s="230">
        <v>18225</v>
      </c>
      <c r="CA84" s="229">
        <v>4.0000000000000002E-4</v>
      </c>
      <c r="CB84" s="230">
        <v>42901650</v>
      </c>
      <c r="CC84" s="230">
        <v>42889500</v>
      </c>
      <c r="CD84" s="230">
        <v>12150</v>
      </c>
      <c r="CE84" s="229">
        <v>2.9999999999999997E-4</v>
      </c>
      <c r="CF84" s="230">
        <v>972000</v>
      </c>
      <c r="CG84" s="230">
        <v>982125</v>
      </c>
      <c r="CH84" s="230">
        <v>-10125</v>
      </c>
      <c r="CI84" s="229">
        <v>-1.03E-2</v>
      </c>
      <c r="CJ84" s="230">
        <v>103275</v>
      </c>
      <c r="CK84" s="230">
        <v>87075</v>
      </c>
      <c r="CL84" s="230">
        <v>16200</v>
      </c>
      <c r="CM84" s="229">
        <v>0.186</v>
      </c>
      <c r="CN84" s="230">
        <v>17633700</v>
      </c>
      <c r="CO84" s="230">
        <v>16878375</v>
      </c>
      <c r="CP84" s="230">
        <v>755325</v>
      </c>
      <c r="CQ84" s="229">
        <v>4.48E-2</v>
      </c>
      <c r="CR84" s="230">
        <v>15620850</v>
      </c>
      <c r="CS84" s="230">
        <v>15234075</v>
      </c>
      <c r="CT84" s="230">
        <v>386775</v>
      </c>
      <c r="CU84" s="229">
        <v>2.5399999999999999E-2</v>
      </c>
      <c r="CV84" s="230">
        <v>77231475</v>
      </c>
      <c r="CW84" s="230">
        <v>76071150</v>
      </c>
      <c r="CX84" s="230">
        <v>1160325</v>
      </c>
      <c r="CY84" s="229">
        <v>1.5299999999999999E-2</v>
      </c>
      <c r="CZ84" s="228">
        <v>43.81</v>
      </c>
      <c r="DA84" s="228">
        <v>44.94</v>
      </c>
      <c r="DB84" s="228">
        <v>-1.1299999999999999</v>
      </c>
      <c r="DC84" s="228">
        <v>-1.1299999999999999</v>
      </c>
      <c r="DD84" s="228">
        <v>44.13</v>
      </c>
      <c r="DE84" s="228">
        <v>44.18</v>
      </c>
      <c r="DF84" s="228">
        <v>-0.32</v>
      </c>
      <c r="DG84" s="228">
        <v>-0.05</v>
      </c>
      <c r="DH84" s="228">
        <v>42.61</v>
      </c>
      <c r="DI84" s="228">
        <v>43.56</v>
      </c>
      <c r="DJ84" s="228">
        <v>-0.95</v>
      </c>
      <c r="DK84" s="228">
        <v>-0.95</v>
      </c>
      <c r="DL84" s="228">
        <v>45.63</v>
      </c>
      <c r="DM84" s="228">
        <v>47.6</v>
      </c>
      <c r="DN84" s="228">
        <v>-1.97</v>
      </c>
      <c r="DO84" s="228">
        <v>-1.97</v>
      </c>
      <c r="DP84" s="228">
        <v>0.89</v>
      </c>
      <c r="DQ84" s="228">
        <v>0.9</v>
      </c>
      <c r="DR84" s="228">
        <v>-0.01</v>
      </c>
      <c r="DS84" s="229">
        <v>-1.11E-2</v>
      </c>
      <c r="DT84" s="228">
        <v>400</v>
      </c>
      <c r="DU84" s="228">
        <v>320</v>
      </c>
      <c r="DV84" s="228">
        <v>0.66</v>
      </c>
      <c r="DW84" s="228">
        <v>0.52</v>
      </c>
      <c r="DX84" s="228">
        <v>0.14000000000000001</v>
      </c>
      <c r="DY84" s="229">
        <v>0.26919999999999999</v>
      </c>
      <c r="DZ84" s="229">
        <v>2.4500000000000001E-2</v>
      </c>
      <c r="EA84" s="230">
        <v>1069200</v>
      </c>
      <c r="EB84" s="229">
        <v>5.1999999999999998E-3</v>
      </c>
      <c r="EC84" s="229">
        <v>2.4500000000000001E-2</v>
      </c>
      <c r="ED84" s="228">
        <v>2.09</v>
      </c>
      <c r="EE84" s="229">
        <v>5.7999999999999996E-3</v>
      </c>
      <c r="EF84" s="230">
        <v>6560929</v>
      </c>
      <c r="EG84" s="230">
        <v>9376342</v>
      </c>
      <c r="EH84" s="229">
        <v>-0.30030000000000001</v>
      </c>
      <c r="EI84" s="229">
        <v>0.4743</v>
      </c>
      <c r="EJ84" s="231">
        <v>82570.16</v>
      </c>
      <c r="EK84" s="231">
        <v>50129.599999999999</v>
      </c>
      <c r="EL84" s="231">
        <v>45305.53</v>
      </c>
      <c r="EM84" s="231">
        <v>8235</v>
      </c>
      <c r="EN84" s="231">
        <v>178005.29</v>
      </c>
      <c r="EO84" s="231">
        <v>447045.95</v>
      </c>
      <c r="EP84" s="231">
        <v>-269040.65999999997</v>
      </c>
      <c r="EQ84" s="229">
        <v>-0.6018</v>
      </c>
      <c r="ER84" s="231">
        <v>65879</v>
      </c>
      <c r="ES84" s="231">
        <v>52339</v>
      </c>
      <c r="ET84" s="231">
        <v>157832</v>
      </c>
      <c r="EU84" s="231">
        <v>143933168</v>
      </c>
      <c r="EV84" s="231">
        <v>276050</v>
      </c>
      <c r="EW84" s="231">
        <v>274260</v>
      </c>
      <c r="EX84" s="231">
        <v>1790</v>
      </c>
      <c r="EY84" s="229">
        <v>6.4999999999999997E-3</v>
      </c>
      <c r="EZ84" s="229">
        <v>0.53659999999999997</v>
      </c>
      <c r="FA84" s="227" t="s">
        <v>566</v>
      </c>
      <c r="FB84" s="161">
        <f t="shared" si="1"/>
        <v>1075275</v>
      </c>
    </row>
    <row r="85" spans="1:158" ht="17.25" thickBot="1" x14ac:dyDescent="0.3">
      <c r="A85" s="226">
        <v>46121</v>
      </c>
      <c r="B85" s="227" t="s">
        <v>168</v>
      </c>
      <c r="C85" s="227" t="s">
        <v>230</v>
      </c>
      <c r="D85" s="228">
        <v>300</v>
      </c>
      <c r="E85" s="231">
        <v>2143.3000000000002</v>
      </c>
      <c r="F85" s="231">
        <v>2156.6999999999998</v>
      </c>
      <c r="G85" s="228">
        <v>-13.4</v>
      </c>
      <c r="H85" s="229">
        <v>-6.1999999999999998E-3</v>
      </c>
      <c r="I85" s="231">
        <v>2133.1999999999998</v>
      </c>
      <c r="J85" s="231">
        <v>2145.6</v>
      </c>
      <c r="K85" s="228">
        <v>-12.4</v>
      </c>
      <c r="L85" s="229">
        <v>-5.7999999999999996E-3</v>
      </c>
      <c r="M85" s="231">
        <v>2143.3000000000002</v>
      </c>
      <c r="N85" s="231">
        <v>2156.6999999999998</v>
      </c>
      <c r="O85" s="228">
        <v>-13.4</v>
      </c>
      <c r="P85" s="229">
        <v>-6.1999999999999998E-3</v>
      </c>
      <c r="Q85" s="231">
        <v>2153.6999999999998</v>
      </c>
      <c r="R85" s="231">
        <v>2168.5</v>
      </c>
      <c r="S85" s="228">
        <v>-14.8</v>
      </c>
      <c r="T85" s="229">
        <v>-6.7999999999999996E-3</v>
      </c>
      <c r="U85" s="231">
        <v>2144.6999999999998</v>
      </c>
      <c r="V85" s="231">
        <v>2159.4</v>
      </c>
      <c r="W85" s="228">
        <v>-14.7</v>
      </c>
      <c r="X85" s="229">
        <v>-6.7999999999999996E-3</v>
      </c>
      <c r="Y85" s="228">
        <v>10.1</v>
      </c>
      <c r="Z85" s="228">
        <v>11.1</v>
      </c>
      <c r="AA85" s="228">
        <v>-1</v>
      </c>
      <c r="AB85" s="229">
        <v>4.7000000000000002E-3</v>
      </c>
      <c r="AC85" s="228">
        <v>10.1</v>
      </c>
      <c r="AD85" s="228">
        <v>11.1</v>
      </c>
      <c r="AE85" s="228">
        <v>-1</v>
      </c>
      <c r="AF85" s="229">
        <v>4.7000000000000002E-3</v>
      </c>
      <c r="AG85" s="228">
        <v>20.5</v>
      </c>
      <c r="AH85" s="228">
        <v>22.9</v>
      </c>
      <c r="AI85" s="228">
        <v>-2.4</v>
      </c>
      <c r="AJ85" s="229">
        <v>9.5999999999999992E-3</v>
      </c>
      <c r="AK85" s="228">
        <v>11.5</v>
      </c>
      <c r="AL85" s="228">
        <v>13.8</v>
      </c>
      <c r="AM85" s="228">
        <v>-2.2999999999999998</v>
      </c>
      <c r="AN85" s="229">
        <v>5.4000000000000003E-3</v>
      </c>
      <c r="AO85" s="231">
        <v>2143.9299999999998</v>
      </c>
      <c r="AP85" s="231">
        <v>2154.27</v>
      </c>
      <c r="AQ85" s="228">
        <v>0</v>
      </c>
      <c r="AR85" s="230">
        <v>1525200</v>
      </c>
      <c r="AS85" s="230">
        <v>4302900</v>
      </c>
      <c r="AT85" s="230">
        <v>-2777700</v>
      </c>
      <c r="AU85" s="229">
        <v>-0.64549999999999996</v>
      </c>
      <c r="AV85" s="230">
        <v>1401000</v>
      </c>
      <c r="AW85" s="230">
        <v>4117200</v>
      </c>
      <c r="AX85" s="230">
        <v>-2716200</v>
      </c>
      <c r="AY85" s="229">
        <v>-0.65969999999999995</v>
      </c>
      <c r="AZ85" s="230">
        <v>99600</v>
      </c>
      <c r="BA85" s="230">
        <v>154800</v>
      </c>
      <c r="BB85" s="230">
        <v>-55200</v>
      </c>
      <c r="BC85" s="229">
        <v>-0.35659999999999997</v>
      </c>
      <c r="BD85" s="230">
        <v>24600</v>
      </c>
      <c r="BE85" s="230">
        <v>30900</v>
      </c>
      <c r="BF85" s="230">
        <v>-6300</v>
      </c>
      <c r="BG85" s="229">
        <v>-0.2039</v>
      </c>
      <c r="BH85" s="230">
        <v>5004000</v>
      </c>
      <c r="BI85" s="230">
        <v>8466600</v>
      </c>
      <c r="BJ85" s="230">
        <v>-3462600</v>
      </c>
      <c r="BK85" s="229">
        <v>-0.40899999999999997</v>
      </c>
      <c r="BL85" s="230">
        <v>2631900</v>
      </c>
      <c r="BM85" s="230">
        <v>6499500</v>
      </c>
      <c r="BN85" s="230">
        <v>-3867600</v>
      </c>
      <c r="BO85" s="229">
        <v>-0.59509999999999996</v>
      </c>
      <c r="BP85" s="230">
        <v>9161100</v>
      </c>
      <c r="BQ85" s="230">
        <v>19269000</v>
      </c>
      <c r="BR85" s="230">
        <v>-10107900</v>
      </c>
      <c r="BS85" s="229">
        <v>-0.52459999999999996</v>
      </c>
      <c r="BT85" s="230">
        <v>2595377</v>
      </c>
      <c r="BU85" s="230">
        <v>4060526</v>
      </c>
      <c r="BV85" s="230">
        <v>-1465149</v>
      </c>
      <c r="BW85" s="229">
        <v>-0.36080000000000001</v>
      </c>
      <c r="BX85" s="230">
        <v>17107800</v>
      </c>
      <c r="BY85" s="230">
        <v>16785300</v>
      </c>
      <c r="BZ85" s="230">
        <v>322500</v>
      </c>
      <c r="CA85" s="229">
        <v>1.9199999999999998E-2</v>
      </c>
      <c r="CB85" s="230">
        <v>16396800</v>
      </c>
      <c r="CC85" s="230">
        <v>16116900</v>
      </c>
      <c r="CD85" s="230">
        <v>279900</v>
      </c>
      <c r="CE85" s="229">
        <v>1.7399999999999999E-2</v>
      </c>
      <c r="CF85" s="230">
        <v>585000</v>
      </c>
      <c r="CG85" s="230">
        <v>553800</v>
      </c>
      <c r="CH85" s="230">
        <v>31200</v>
      </c>
      <c r="CI85" s="229">
        <v>5.6300000000000003E-2</v>
      </c>
      <c r="CJ85" s="230">
        <v>126000</v>
      </c>
      <c r="CK85" s="230">
        <v>114600</v>
      </c>
      <c r="CL85" s="230">
        <v>11400</v>
      </c>
      <c r="CM85" s="229">
        <v>9.9500000000000005E-2</v>
      </c>
      <c r="CN85" s="230">
        <v>4317000</v>
      </c>
      <c r="CO85" s="230">
        <v>3936300</v>
      </c>
      <c r="CP85" s="230">
        <v>380700</v>
      </c>
      <c r="CQ85" s="229">
        <v>9.6699999999999994E-2</v>
      </c>
      <c r="CR85" s="230">
        <v>3335700</v>
      </c>
      <c r="CS85" s="230">
        <v>3259500</v>
      </c>
      <c r="CT85" s="230">
        <v>76200</v>
      </c>
      <c r="CU85" s="229">
        <v>2.3400000000000001E-2</v>
      </c>
      <c r="CV85" s="230">
        <v>24760500</v>
      </c>
      <c r="CW85" s="230">
        <v>23981100</v>
      </c>
      <c r="CX85" s="230">
        <v>779400</v>
      </c>
      <c r="CY85" s="229">
        <v>3.2500000000000001E-2</v>
      </c>
      <c r="CZ85" s="228">
        <v>22.75</v>
      </c>
      <c r="DA85" s="228">
        <v>23.17</v>
      </c>
      <c r="DB85" s="228">
        <v>-0.42</v>
      </c>
      <c r="DC85" s="228">
        <v>-0.42</v>
      </c>
      <c r="DD85" s="228">
        <v>23.16</v>
      </c>
      <c r="DE85" s="228">
        <v>23.21</v>
      </c>
      <c r="DF85" s="228">
        <v>-0.41</v>
      </c>
      <c r="DG85" s="228">
        <v>-0.05</v>
      </c>
      <c r="DH85" s="228">
        <v>22.3</v>
      </c>
      <c r="DI85" s="228">
        <v>22.2</v>
      </c>
      <c r="DJ85" s="228">
        <v>0.1</v>
      </c>
      <c r="DK85" s="228">
        <v>0.1</v>
      </c>
      <c r="DL85" s="228">
        <v>23.6</v>
      </c>
      <c r="DM85" s="228">
        <v>24.42</v>
      </c>
      <c r="DN85" s="228">
        <v>-0.82</v>
      </c>
      <c r="DO85" s="228">
        <v>-0.82</v>
      </c>
      <c r="DP85" s="228">
        <v>0.77</v>
      </c>
      <c r="DQ85" s="228">
        <v>0.83</v>
      </c>
      <c r="DR85" s="228">
        <v>-0.06</v>
      </c>
      <c r="DS85" s="229">
        <v>-7.2300000000000003E-2</v>
      </c>
      <c r="DT85" s="231">
        <v>2100</v>
      </c>
      <c r="DU85" s="231">
        <v>1900</v>
      </c>
      <c r="DV85" s="228">
        <v>0.53</v>
      </c>
      <c r="DW85" s="228">
        <v>0.77</v>
      </c>
      <c r="DX85" s="228">
        <v>-0.24</v>
      </c>
      <c r="DY85" s="229">
        <v>-0.31169999999999998</v>
      </c>
      <c r="DZ85" s="229">
        <v>4.1599999999999998E-2</v>
      </c>
      <c r="EA85" s="230">
        <v>668400</v>
      </c>
      <c r="EB85" s="229">
        <v>4.8999999999999998E-3</v>
      </c>
      <c r="EC85" s="229">
        <v>4.1599999999999998E-2</v>
      </c>
      <c r="ED85" s="228">
        <v>10.34</v>
      </c>
      <c r="EE85" s="229">
        <v>4.7999999999999996E-3</v>
      </c>
      <c r="EF85" s="230">
        <v>1446615</v>
      </c>
      <c r="EG85" s="230">
        <v>2504776</v>
      </c>
      <c r="EH85" s="229">
        <v>-0.42249999999999999</v>
      </c>
      <c r="EI85" s="229">
        <v>0.55740000000000001</v>
      </c>
      <c r="EJ85" s="231">
        <v>111261</v>
      </c>
      <c r="EK85" s="231">
        <v>55871.360000000001</v>
      </c>
      <c r="EL85" s="231">
        <v>32709.84</v>
      </c>
      <c r="EM85" s="231">
        <v>9032</v>
      </c>
      <c r="EN85" s="231">
        <v>199842.2</v>
      </c>
      <c r="EO85" s="231">
        <v>420496.52</v>
      </c>
      <c r="EP85" s="231">
        <v>-220654.32</v>
      </c>
      <c r="EQ85" s="229">
        <v>-0.52470000000000006</v>
      </c>
      <c r="ER85" s="231">
        <v>95518</v>
      </c>
      <c r="ES85" s="231">
        <v>68524</v>
      </c>
      <c r="ET85" s="231">
        <v>366734</v>
      </c>
      <c r="EU85" s="231">
        <v>89517840</v>
      </c>
      <c r="EV85" s="231">
        <v>530776</v>
      </c>
      <c r="EW85" s="231">
        <v>516231</v>
      </c>
      <c r="EX85" s="231">
        <v>14545</v>
      </c>
      <c r="EY85" s="229">
        <v>2.8199999999999999E-2</v>
      </c>
      <c r="EZ85" s="229">
        <v>0.27660000000000001</v>
      </c>
      <c r="FA85" s="227" t="s">
        <v>566</v>
      </c>
      <c r="FB85" s="161">
        <f t="shared" si="1"/>
        <v>711000</v>
      </c>
    </row>
    <row r="86" spans="1:158" ht="17.25" thickBot="1" x14ac:dyDescent="0.3">
      <c r="A86" s="226">
        <v>46121</v>
      </c>
      <c r="B86" s="227" t="s">
        <v>227</v>
      </c>
      <c r="C86" s="227" t="s">
        <v>666</v>
      </c>
      <c r="D86" s="228">
        <v>1225</v>
      </c>
      <c r="E86" s="228">
        <v>559.95000000000005</v>
      </c>
      <c r="F86" s="228">
        <v>560.4</v>
      </c>
      <c r="G86" s="228">
        <v>-0.45</v>
      </c>
      <c r="H86" s="229">
        <v>-8.0000000000000004E-4</v>
      </c>
      <c r="I86" s="228">
        <v>558.5</v>
      </c>
      <c r="J86" s="228">
        <v>559.35</v>
      </c>
      <c r="K86" s="228">
        <v>-0.85</v>
      </c>
      <c r="L86" s="229">
        <v>-1.5E-3</v>
      </c>
      <c r="M86" s="228">
        <v>559.95000000000005</v>
      </c>
      <c r="N86" s="228">
        <v>560.4</v>
      </c>
      <c r="O86" s="228">
        <v>-0.45</v>
      </c>
      <c r="P86" s="229">
        <v>-8.0000000000000004E-4</v>
      </c>
      <c r="Q86" s="228">
        <v>562.20000000000005</v>
      </c>
      <c r="R86" s="228">
        <v>562.54999999999995</v>
      </c>
      <c r="S86" s="228">
        <v>-0.35</v>
      </c>
      <c r="T86" s="229">
        <v>-5.9999999999999995E-4</v>
      </c>
      <c r="U86" s="228">
        <v>564.65</v>
      </c>
      <c r="V86" s="228">
        <v>564.9</v>
      </c>
      <c r="W86" s="228">
        <v>-0.25</v>
      </c>
      <c r="X86" s="229">
        <v>-4.0000000000000002E-4</v>
      </c>
      <c r="Y86" s="228">
        <v>1.45</v>
      </c>
      <c r="Z86" s="228">
        <v>1.05</v>
      </c>
      <c r="AA86" s="228">
        <v>0.4</v>
      </c>
      <c r="AB86" s="229">
        <v>2.5999999999999999E-3</v>
      </c>
      <c r="AC86" s="228">
        <v>1.45</v>
      </c>
      <c r="AD86" s="228">
        <v>1.05</v>
      </c>
      <c r="AE86" s="228">
        <v>0.4</v>
      </c>
      <c r="AF86" s="229">
        <v>2.5999999999999999E-3</v>
      </c>
      <c r="AG86" s="228">
        <v>3.7</v>
      </c>
      <c r="AH86" s="228">
        <v>3.2</v>
      </c>
      <c r="AI86" s="228">
        <v>0.5</v>
      </c>
      <c r="AJ86" s="229">
        <v>6.6E-3</v>
      </c>
      <c r="AK86" s="228">
        <v>6.15</v>
      </c>
      <c r="AL86" s="228">
        <v>5.55</v>
      </c>
      <c r="AM86" s="228">
        <v>0.6</v>
      </c>
      <c r="AN86" s="229">
        <v>1.0999999999999999E-2</v>
      </c>
      <c r="AO86" s="228">
        <v>559.80999999999995</v>
      </c>
      <c r="AP86" s="228">
        <v>561.32000000000005</v>
      </c>
      <c r="AQ86" s="228">
        <v>0</v>
      </c>
      <c r="AR86" s="230">
        <v>3486350</v>
      </c>
      <c r="AS86" s="230">
        <v>7512925</v>
      </c>
      <c r="AT86" s="230">
        <v>-4026575</v>
      </c>
      <c r="AU86" s="229">
        <v>-0.53600000000000003</v>
      </c>
      <c r="AV86" s="230">
        <v>3263400</v>
      </c>
      <c r="AW86" s="230">
        <v>6782825</v>
      </c>
      <c r="AX86" s="230">
        <v>-3519425</v>
      </c>
      <c r="AY86" s="229">
        <v>-0.51890000000000003</v>
      </c>
      <c r="AZ86" s="230">
        <v>169050</v>
      </c>
      <c r="BA86" s="230">
        <v>632100</v>
      </c>
      <c r="BB86" s="230">
        <v>-463050</v>
      </c>
      <c r="BC86" s="229">
        <v>-0.73260000000000003</v>
      </c>
      <c r="BD86" s="230">
        <v>53900</v>
      </c>
      <c r="BE86" s="230">
        <v>98000</v>
      </c>
      <c r="BF86" s="230">
        <v>-44100</v>
      </c>
      <c r="BG86" s="229">
        <v>-0.45</v>
      </c>
      <c r="BH86" s="230">
        <v>12503575</v>
      </c>
      <c r="BI86" s="230">
        <v>23695175</v>
      </c>
      <c r="BJ86" s="230">
        <v>-11191600</v>
      </c>
      <c r="BK86" s="229">
        <v>-0.4723</v>
      </c>
      <c r="BL86" s="230">
        <v>8314075</v>
      </c>
      <c r="BM86" s="230">
        <v>13743275</v>
      </c>
      <c r="BN86" s="230">
        <v>-5429200</v>
      </c>
      <c r="BO86" s="229">
        <v>-0.39500000000000002</v>
      </c>
      <c r="BP86" s="230">
        <v>24304000</v>
      </c>
      <c r="BQ86" s="230">
        <v>44951375</v>
      </c>
      <c r="BR86" s="230">
        <v>-20647375</v>
      </c>
      <c r="BS86" s="229">
        <v>-0.45929999999999999</v>
      </c>
      <c r="BT86" s="230">
        <v>3171345</v>
      </c>
      <c r="BU86" s="230">
        <v>7091758</v>
      </c>
      <c r="BV86" s="230">
        <v>-3920413</v>
      </c>
      <c r="BW86" s="229">
        <v>-0.55279999999999996</v>
      </c>
      <c r="BX86" s="230">
        <v>37607500</v>
      </c>
      <c r="BY86" s="230">
        <v>38254300</v>
      </c>
      <c r="BZ86" s="230">
        <v>-646800</v>
      </c>
      <c r="CA86" s="229">
        <v>-1.6899999999999998E-2</v>
      </c>
      <c r="CB86" s="230">
        <v>35767550</v>
      </c>
      <c r="CC86" s="230">
        <v>36438850</v>
      </c>
      <c r="CD86" s="230">
        <v>-671300</v>
      </c>
      <c r="CE86" s="229">
        <v>-1.84E-2</v>
      </c>
      <c r="CF86" s="230">
        <v>1673350</v>
      </c>
      <c r="CG86" s="230">
        <v>1651300</v>
      </c>
      <c r="CH86" s="230">
        <v>22050</v>
      </c>
      <c r="CI86" s="229">
        <v>1.34E-2</v>
      </c>
      <c r="CJ86" s="230">
        <v>166600</v>
      </c>
      <c r="CK86" s="230">
        <v>164150</v>
      </c>
      <c r="CL86" s="230">
        <v>2450</v>
      </c>
      <c r="CM86" s="229">
        <v>1.49E-2</v>
      </c>
      <c r="CN86" s="230">
        <v>15948275</v>
      </c>
      <c r="CO86" s="230">
        <v>15584450</v>
      </c>
      <c r="CP86" s="230">
        <v>363825</v>
      </c>
      <c r="CQ86" s="229">
        <v>2.3300000000000001E-2</v>
      </c>
      <c r="CR86" s="230">
        <v>13123425</v>
      </c>
      <c r="CS86" s="230">
        <v>12601575</v>
      </c>
      <c r="CT86" s="230">
        <v>521850</v>
      </c>
      <c r="CU86" s="229">
        <v>4.1399999999999999E-2</v>
      </c>
      <c r="CV86" s="230">
        <v>66679200</v>
      </c>
      <c r="CW86" s="230">
        <v>66440325</v>
      </c>
      <c r="CX86" s="230">
        <v>238875</v>
      </c>
      <c r="CY86" s="229">
        <v>3.5999999999999999E-3</v>
      </c>
      <c r="CZ86" s="228">
        <v>40.32</v>
      </c>
      <c r="DA86" s="228">
        <v>40.200000000000003</v>
      </c>
      <c r="DB86" s="228">
        <v>0.12</v>
      </c>
      <c r="DC86" s="228">
        <v>0.12</v>
      </c>
      <c r="DD86" s="228">
        <v>50.89</v>
      </c>
      <c r="DE86" s="228">
        <v>51.02</v>
      </c>
      <c r="DF86" s="228">
        <v>-10.57</v>
      </c>
      <c r="DG86" s="228">
        <v>-0.13</v>
      </c>
      <c r="DH86" s="228">
        <v>38.25</v>
      </c>
      <c r="DI86" s="228">
        <v>38.03</v>
      </c>
      <c r="DJ86" s="228">
        <v>0.22</v>
      </c>
      <c r="DK86" s="228">
        <v>0.22</v>
      </c>
      <c r="DL86" s="228">
        <v>43.44</v>
      </c>
      <c r="DM86" s="228">
        <v>43.94</v>
      </c>
      <c r="DN86" s="228">
        <v>-0.5</v>
      </c>
      <c r="DO86" s="228">
        <v>-0.5</v>
      </c>
      <c r="DP86" s="228">
        <v>0.82</v>
      </c>
      <c r="DQ86" s="228">
        <v>0.81</v>
      </c>
      <c r="DR86" s="228">
        <v>0.01</v>
      </c>
      <c r="DS86" s="229">
        <v>1.23E-2</v>
      </c>
      <c r="DT86" s="228">
        <v>600</v>
      </c>
      <c r="DU86" s="228">
        <v>500</v>
      </c>
      <c r="DV86" s="228">
        <v>0.66</v>
      </c>
      <c r="DW86" s="228">
        <v>0.57999999999999996</v>
      </c>
      <c r="DX86" s="228">
        <v>0.08</v>
      </c>
      <c r="DY86" s="229">
        <v>0.13789999999999999</v>
      </c>
      <c r="DZ86" s="229">
        <v>4.8899999999999999E-2</v>
      </c>
      <c r="EA86" s="230">
        <v>1815450</v>
      </c>
      <c r="EB86" s="229">
        <v>4.0000000000000001E-3</v>
      </c>
      <c r="EC86" s="229">
        <v>4.8899999999999999E-2</v>
      </c>
      <c r="ED86" s="228">
        <v>1.51</v>
      </c>
      <c r="EE86" s="229">
        <v>2.7000000000000001E-3</v>
      </c>
      <c r="EF86" s="230">
        <v>1220134</v>
      </c>
      <c r="EG86" s="230">
        <v>3413956</v>
      </c>
      <c r="EH86" s="229">
        <v>-0.64259999999999995</v>
      </c>
      <c r="EI86" s="229">
        <v>0.38469999999999999</v>
      </c>
      <c r="EJ86" s="231">
        <v>74746.94</v>
      </c>
      <c r="EK86" s="231">
        <v>44956.28</v>
      </c>
      <c r="EL86" s="231">
        <v>19521.990000000002</v>
      </c>
      <c r="EM86" s="231">
        <v>5322</v>
      </c>
      <c r="EN86" s="231">
        <v>139225.21</v>
      </c>
      <c r="EO86" s="231">
        <v>255958.51</v>
      </c>
      <c r="EP86" s="231">
        <v>-116733.3</v>
      </c>
      <c r="EQ86" s="229">
        <v>-0.45610000000000001</v>
      </c>
      <c r="ER86" s="231">
        <v>90950</v>
      </c>
      <c r="ES86" s="231">
        <v>68726</v>
      </c>
      <c r="ET86" s="231">
        <v>210629</v>
      </c>
      <c r="EU86" s="231">
        <v>241870587</v>
      </c>
      <c r="EV86" s="231">
        <v>370304</v>
      </c>
      <c r="EW86" s="231">
        <v>369016</v>
      </c>
      <c r="EX86" s="231">
        <v>1288</v>
      </c>
      <c r="EY86" s="229">
        <v>3.5000000000000001E-3</v>
      </c>
      <c r="EZ86" s="229">
        <v>0.2757</v>
      </c>
      <c r="FA86" s="227" t="s">
        <v>567</v>
      </c>
      <c r="FB86" s="161">
        <f t="shared" si="1"/>
        <v>1839950</v>
      </c>
    </row>
    <row r="87" spans="1:158" ht="17.25" thickBot="1" x14ac:dyDescent="0.3">
      <c r="A87" s="226">
        <v>46121</v>
      </c>
      <c r="B87" s="227" t="s">
        <v>206</v>
      </c>
      <c r="C87" s="227" t="s">
        <v>607</v>
      </c>
      <c r="D87" s="228">
        <v>2775</v>
      </c>
      <c r="E87" s="228">
        <v>182.64</v>
      </c>
      <c r="F87" s="228">
        <v>183.19</v>
      </c>
      <c r="G87" s="228">
        <v>-0.55000000000000004</v>
      </c>
      <c r="H87" s="229">
        <v>-3.0000000000000001E-3</v>
      </c>
      <c r="I87" s="228">
        <v>181.93</v>
      </c>
      <c r="J87" s="228">
        <v>182.15</v>
      </c>
      <c r="K87" s="228">
        <v>-0.22</v>
      </c>
      <c r="L87" s="229">
        <v>-1.1999999999999999E-3</v>
      </c>
      <c r="M87" s="228">
        <v>182.64</v>
      </c>
      <c r="N87" s="228">
        <v>183.19</v>
      </c>
      <c r="O87" s="228">
        <v>-0.55000000000000004</v>
      </c>
      <c r="P87" s="229">
        <v>-3.0000000000000001E-3</v>
      </c>
      <c r="Q87" s="228">
        <v>0</v>
      </c>
      <c r="R87" s="228">
        <v>0</v>
      </c>
      <c r="S87" s="228">
        <v>0</v>
      </c>
      <c r="T87" s="229">
        <v>0</v>
      </c>
      <c r="U87" s="228">
        <v>0</v>
      </c>
      <c r="V87" s="228">
        <v>0</v>
      </c>
      <c r="W87" s="228">
        <v>0</v>
      </c>
      <c r="X87" s="229">
        <v>0</v>
      </c>
      <c r="Y87" s="228">
        <v>0.71</v>
      </c>
      <c r="Z87" s="228">
        <v>1.04</v>
      </c>
      <c r="AA87" s="228">
        <v>-0.33</v>
      </c>
      <c r="AB87" s="229">
        <v>3.8999999999999998E-3</v>
      </c>
      <c r="AC87" s="228">
        <v>0.71</v>
      </c>
      <c r="AD87" s="228">
        <v>1.04</v>
      </c>
      <c r="AE87" s="228">
        <v>-0.33</v>
      </c>
      <c r="AF87" s="229">
        <v>3.8999999999999998E-3</v>
      </c>
      <c r="AG87" s="228">
        <v>0</v>
      </c>
      <c r="AH87" s="228">
        <v>0</v>
      </c>
      <c r="AI87" s="228">
        <v>0</v>
      </c>
      <c r="AJ87" s="229">
        <v>0</v>
      </c>
      <c r="AK87" s="228">
        <v>0</v>
      </c>
      <c r="AL87" s="228">
        <v>0</v>
      </c>
      <c r="AM87" s="228">
        <v>0</v>
      </c>
      <c r="AN87" s="229">
        <v>0</v>
      </c>
      <c r="AO87" s="228">
        <v>182.95</v>
      </c>
      <c r="AP87" s="228">
        <v>0</v>
      </c>
      <c r="AQ87" s="228">
        <v>0</v>
      </c>
      <c r="AR87" s="230">
        <v>2869350</v>
      </c>
      <c r="AS87" s="230">
        <v>4234650</v>
      </c>
      <c r="AT87" s="230">
        <v>-1365300</v>
      </c>
      <c r="AU87" s="229">
        <v>-0.32240000000000002</v>
      </c>
      <c r="AV87" s="230">
        <v>2869350</v>
      </c>
      <c r="AW87" s="230">
        <v>4234650</v>
      </c>
      <c r="AX87" s="230">
        <v>-1365300</v>
      </c>
      <c r="AY87" s="229">
        <v>-0.32240000000000002</v>
      </c>
      <c r="AZ87" s="228">
        <v>0</v>
      </c>
      <c r="BA87" s="228">
        <v>0</v>
      </c>
      <c r="BB87" s="228">
        <v>0</v>
      </c>
      <c r="BC87" s="229">
        <v>0</v>
      </c>
      <c r="BD87" s="228">
        <v>0</v>
      </c>
      <c r="BE87" s="228">
        <v>0</v>
      </c>
      <c r="BF87" s="228">
        <v>0</v>
      </c>
      <c r="BG87" s="229">
        <v>0</v>
      </c>
      <c r="BH87" s="230">
        <v>6426900</v>
      </c>
      <c r="BI87" s="230">
        <v>11283150</v>
      </c>
      <c r="BJ87" s="230">
        <v>-4856250</v>
      </c>
      <c r="BK87" s="229">
        <v>-0.4304</v>
      </c>
      <c r="BL87" s="230">
        <v>3016425</v>
      </c>
      <c r="BM87" s="230">
        <v>5977350</v>
      </c>
      <c r="BN87" s="230">
        <v>-2960925</v>
      </c>
      <c r="BO87" s="229">
        <v>-0.49540000000000001</v>
      </c>
      <c r="BP87" s="230">
        <v>12312675</v>
      </c>
      <c r="BQ87" s="230">
        <v>21495150</v>
      </c>
      <c r="BR87" s="230">
        <v>-9182475</v>
      </c>
      <c r="BS87" s="229">
        <v>-0.42720000000000002</v>
      </c>
      <c r="BT87" s="230">
        <v>3449385</v>
      </c>
      <c r="BU87" s="230">
        <v>5479198</v>
      </c>
      <c r="BV87" s="230">
        <v>-2029813</v>
      </c>
      <c r="BW87" s="229">
        <v>-0.3705</v>
      </c>
      <c r="BX87" s="230">
        <v>28643550</v>
      </c>
      <c r="BY87" s="230">
        <v>29040375</v>
      </c>
      <c r="BZ87" s="230">
        <v>-396825</v>
      </c>
      <c r="CA87" s="229">
        <v>-1.37E-2</v>
      </c>
      <c r="CB87" s="230">
        <v>28643550</v>
      </c>
      <c r="CC87" s="230">
        <v>29040375</v>
      </c>
      <c r="CD87" s="230">
        <v>-396825</v>
      </c>
      <c r="CE87" s="229">
        <v>-1.37E-2</v>
      </c>
      <c r="CF87" s="228">
        <v>0</v>
      </c>
      <c r="CG87" s="228">
        <v>0</v>
      </c>
      <c r="CH87" s="228">
        <v>0</v>
      </c>
      <c r="CI87" s="229">
        <v>0</v>
      </c>
      <c r="CJ87" s="228">
        <v>0</v>
      </c>
      <c r="CK87" s="228">
        <v>0</v>
      </c>
      <c r="CL87" s="228">
        <v>0</v>
      </c>
      <c r="CM87" s="229">
        <v>0</v>
      </c>
      <c r="CN87" s="230">
        <v>8036400</v>
      </c>
      <c r="CO87" s="230">
        <v>7245525</v>
      </c>
      <c r="CP87" s="230">
        <v>790875</v>
      </c>
      <c r="CQ87" s="229">
        <v>0.10920000000000001</v>
      </c>
      <c r="CR87" s="230">
        <v>6782100</v>
      </c>
      <c r="CS87" s="230">
        <v>6152175</v>
      </c>
      <c r="CT87" s="230">
        <v>629925</v>
      </c>
      <c r="CU87" s="229">
        <v>0.1024</v>
      </c>
      <c r="CV87" s="230">
        <v>43462050</v>
      </c>
      <c r="CW87" s="230">
        <v>42438075</v>
      </c>
      <c r="CX87" s="230">
        <v>1023975</v>
      </c>
      <c r="CY87" s="229">
        <v>2.41E-2</v>
      </c>
      <c r="CZ87" s="228">
        <v>38</v>
      </c>
      <c r="DA87" s="228">
        <v>40.98</v>
      </c>
      <c r="DB87" s="228">
        <v>-2.98</v>
      </c>
      <c r="DC87" s="228">
        <v>-2.98</v>
      </c>
      <c r="DD87" s="228">
        <v>50.72</v>
      </c>
      <c r="DE87" s="228">
        <v>50.85</v>
      </c>
      <c r="DF87" s="228">
        <v>-12.72</v>
      </c>
      <c r="DG87" s="228">
        <v>-0.13</v>
      </c>
      <c r="DH87" s="228">
        <v>36.9</v>
      </c>
      <c r="DI87" s="228">
        <v>38.82</v>
      </c>
      <c r="DJ87" s="228">
        <v>-1.92</v>
      </c>
      <c r="DK87" s="228">
        <v>-1.92</v>
      </c>
      <c r="DL87" s="228">
        <v>40.36</v>
      </c>
      <c r="DM87" s="228">
        <v>45.05</v>
      </c>
      <c r="DN87" s="228">
        <v>-4.6900000000000004</v>
      </c>
      <c r="DO87" s="228">
        <v>-4.6900000000000004</v>
      </c>
      <c r="DP87" s="228">
        <v>0.84</v>
      </c>
      <c r="DQ87" s="228">
        <v>0.85</v>
      </c>
      <c r="DR87" s="228">
        <v>-0.01</v>
      </c>
      <c r="DS87" s="229">
        <v>-1.18E-2</v>
      </c>
      <c r="DT87" s="228">
        <v>200</v>
      </c>
      <c r="DU87" s="228">
        <v>160</v>
      </c>
      <c r="DV87" s="228">
        <v>0.47</v>
      </c>
      <c r="DW87" s="228">
        <v>0.53</v>
      </c>
      <c r="DX87" s="228">
        <v>-0.06</v>
      </c>
      <c r="DY87" s="229">
        <v>-0.1132</v>
      </c>
      <c r="DZ87" s="229">
        <v>0</v>
      </c>
      <c r="EA87" s="228">
        <v>0</v>
      </c>
      <c r="EB87" s="229">
        <v>0</v>
      </c>
      <c r="EC87" s="229">
        <v>0</v>
      </c>
      <c r="ED87" s="228">
        <v>0</v>
      </c>
      <c r="EE87" s="229">
        <v>0</v>
      </c>
      <c r="EF87" s="230">
        <v>950181</v>
      </c>
      <c r="EG87" s="230">
        <v>2156994</v>
      </c>
      <c r="EH87" s="229">
        <v>-0.5595</v>
      </c>
      <c r="EI87" s="229">
        <v>0.27550000000000002</v>
      </c>
      <c r="EJ87" s="231">
        <v>12496.3</v>
      </c>
      <c r="EK87" s="231">
        <v>5352.72</v>
      </c>
      <c r="EL87" s="231">
        <v>5249.45</v>
      </c>
      <c r="EM87" s="231">
        <v>1282</v>
      </c>
      <c r="EN87" s="231">
        <v>23098.47</v>
      </c>
      <c r="EO87" s="231">
        <v>39779.870000000003</v>
      </c>
      <c r="EP87" s="231">
        <v>-16681.400000000001</v>
      </c>
      <c r="EQ87" s="229">
        <v>-0.41930000000000001</v>
      </c>
      <c r="ER87" s="231">
        <v>14743</v>
      </c>
      <c r="ES87" s="231">
        <v>11633</v>
      </c>
      <c r="ET87" s="231">
        <v>52315</v>
      </c>
      <c r="EU87" s="231">
        <v>75071250</v>
      </c>
      <c r="EV87" s="231">
        <v>78691</v>
      </c>
      <c r="EW87" s="231">
        <v>76916</v>
      </c>
      <c r="EX87" s="231">
        <v>1775</v>
      </c>
      <c r="EY87" s="229">
        <v>2.3099999999999999E-2</v>
      </c>
      <c r="EZ87" s="229">
        <v>0.57889999999999997</v>
      </c>
      <c r="FA87" s="227" t="s">
        <v>567</v>
      </c>
      <c r="FB87" s="161">
        <f t="shared" si="1"/>
        <v>0</v>
      </c>
    </row>
    <row r="88" spans="1:158" ht="17.25" thickBot="1" x14ac:dyDescent="0.3">
      <c r="A88" s="226">
        <v>46121</v>
      </c>
      <c r="B88" s="227" t="s">
        <v>702</v>
      </c>
      <c r="C88" s="227" t="s">
        <v>695</v>
      </c>
      <c r="D88" s="228">
        <v>275</v>
      </c>
      <c r="E88" s="231">
        <v>1750.2</v>
      </c>
      <c r="F88" s="231">
        <v>1767.2</v>
      </c>
      <c r="G88" s="228">
        <v>-17</v>
      </c>
      <c r="H88" s="229">
        <v>-9.5999999999999992E-3</v>
      </c>
      <c r="I88" s="231">
        <v>1768.3</v>
      </c>
      <c r="J88" s="231">
        <v>1778.9</v>
      </c>
      <c r="K88" s="228">
        <v>-10.6</v>
      </c>
      <c r="L88" s="229">
        <v>-6.0000000000000001E-3</v>
      </c>
      <c r="M88" s="231">
        <v>1750.2</v>
      </c>
      <c r="N88" s="231">
        <v>1767.2</v>
      </c>
      <c r="O88" s="228">
        <v>-17</v>
      </c>
      <c r="P88" s="229">
        <v>-9.5999999999999992E-3</v>
      </c>
      <c r="Q88" s="231">
        <v>1729.6</v>
      </c>
      <c r="R88" s="231">
        <v>1756.8</v>
      </c>
      <c r="S88" s="228">
        <v>-27.2</v>
      </c>
      <c r="T88" s="229">
        <v>-1.55E-2</v>
      </c>
      <c r="U88" s="231">
        <v>1722.6</v>
      </c>
      <c r="V88" s="231">
        <v>1758.8</v>
      </c>
      <c r="W88" s="228">
        <v>-36.200000000000003</v>
      </c>
      <c r="X88" s="229">
        <v>-2.06E-2</v>
      </c>
      <c r="Y88" s="228">
        <v>-18.100000000000001</v>
      </c>
      <c r="Z88" s="228">
        <v>-11.7</v>
      </c>
      <c r="AA88" s="228">
        <v>-6.4</v>
      </c>
      <c r="AB88" s="229">
        <v>-1.0200000000000001E-2</v>
      </c>
      <c r="AC88" s="228">
        <v>-18.100000000000001</v>
      </c>
      <c r="AD88" s="228">
        <v>-11.7</v>
      </c>
      <c r="AE88" s="228">
        <v>-6.4</v>
      </c>
      <c r="AF88" s="229">
        <v>-1.0200000000000001E-2</v>
      </c>
      <c r="AG88" s="228">
        <v>-38.700000000000003</v>
      </c>
      <c r="AH88" s="228">
        <v>-22.1</v>
      </c>
      <c r="AI88" s="228">
        <v>-16.600000000000001</v>
      </c>
      <c r="AJ88" s="229">
        <v>-2.1899999999999999E-2</v>
      </c>
      <c r="AK88" s="228">
        <v>-45.7</v>
      </c>
      <c r="AL88" s="228">
        <v>-20.100000000000001</v>
      </c>
      <c r="AM88" s="228">
        <v>-25.6</v>
      </c>
      <c r="AN88" s="229">
        <v>-2.58E-2</v>
      </c>
      <c r="AO88" s="231">
        <v>1766.48</v>
      </c>
      <c r="AP88" s="231">
        <v>1748.82</v>
      </c>
      <c r="AQ88" s="228">
        <v>0</v>
      </c>
      <c r="AR88" s="230">
        <v>1702250</v>
      </c>
      <c r="AS88" s="230">
        <v>1682450</v>
      </c>
      <c r="AT88" s="230">
        <v>19800</v>
      </c>
      <c r="AU88" s="229">
        <v>1.18E-2</v>
      </c>
      <c r="AV88" s="230">
        <v>1401950</v>
      </c>
      <c r="AW88" s="230">
        <v>1605175</v>
      </c>
      <c r="AX88" s="230">
        <v>-203225</v>
      </c>
      <c r="AY88" s="229">
        <v>-0.12659999999999999</v>
      </c>
      <c r="AZ88" s="230">
        <v>275825</v>
      </c>
      <c r="BA88" s="230">
        <v>66275</v>
      </c>
      <c r="BB88" s="230">
        <v>209550</v>
      </c>
      <c r="BC88" s="229">
        <v>3.1617999999999999</v>
      </c>
      <c r="BD88" s="230">
        <v>24475</v>
      </c>
      <c r="BE88" s="230">
        <v>11000</v>
      </c>
      <c r="BF88" s="230">
        <v>13475</v>
      </c>
      <c r="BG88" s="229">
        <v>1.2250000000000001</v>
      </c>
      <c r="BH88" s="230">
        <v>1619475</v>
      </c>
      <c r="BI88" s="230">
        <v>2452725</v>
      </c>
      <c r="BJ88" s="230">
        <v>-833250</v>
      </c>
      <c r="BK88" s="229">
        <v>-0.3397</v>
      </c>
      <c r="BL88" s="230">
        <v>690525</v>
      </c>
      <c r="BM88" s="230">
        <v>657800</v>
      </c>
      <c r="BN88" s="230">
        <v>32725</v>
      </c>
      <c r="BO88" s="229">
        <v>4.9700000000000001E-2</v>
      </c>
      <c r="BP88" s="230">
        <v>4012250</v>
      </c>
      <c r="BQ88" s="230">
        <v>4792975</v>
      </c>
      <c r="BR88" s="230">
        <v>-780725</v>
      </c>
      <c r="BS88" s="229">
        <v>-0.16289999999999999</v>
      </c>
      <c r="BT88" s="230">
        <v>1336988</v>
      </c>
      <c r="BU88" s="230">
        <v>1300847</v>
      </c>
      <c r="BV88" s="230">
        <v>36141</v>
      </c>
      <c r="BW88" s="229">
        <v>2.7799999999999998E-2</v>
      </c>
      <c r="BX88" s="230">
        <v>5083925</v>
      </c>
      <c r="BY88" s="230">
        <v>4372775</v>
      </c>
      <c r="BZ88" s="230">
        <v>711150</v>
      </c>
      <c r="CA88" s="229">
        <v>0.16259999999999999</v>
      </c>
      <c r="CB88" s="230">
        <v>4803700</v>
      </c>
      <c r="CC88" s="230">
        <v>4287525</v>
      </c>
      <c r="CD88" s="230">
        <v>516175</v>
      </c>
      <c r="CE88" s="229">
        <v>0.12039999999999999</v>
      </c>
      <c r="CF88" s="230">
        <v>253275</v>
      </c>
      <c r="CG88" s="230">
        <v>64075</v>
      </c>
      <c r="CH88" s="230">
        <v>189200</v>
      </c>
      <c r="CI88" s="229">
        <v>2.9527999999999999</v>
      </c>
      <c r="CJ88" s="230">
        <v>26950</v>
      </c>
      <c r="CK88" s="230">
        <v>21175</v>
      </c>
      <c r="CL88" s="230">
        <v>5775</v>
      </c>
      <c r="CM88" s="229">
        <v>0.2727</v>
      </c>
      <c r="CN88" s="230">
        <v>673475</v>
      </c>
      <c r="CO88" s="230">
        <v>492800</v>
      </c>
      <c r="CP88" s="230">
        <v>180675</v>
      </c>
      <c r="CQ88" s="229">
        <v>0.36659999999999998</v>
      </c>
      <c r="CR88" s="230">
        <v>449900</v>
      </c>
      <c r="CS88" s="230">
        <v>366575</v>
      </c>
      <c r="CT88" s="230">
        <v>83325</v>
      </c>
      <c r="CU88" s="229">
        <v>0.2273</v>
      </c>
      <c r="CV88" s="230">
        <v>6207300</v>
      </c>
      <c r="CW88" s="230">
        <v>5232150</v>
      </c>
      <c r="CX88" s="230">
        <v>975150</v>
      </c>
      <c r="CY88" s="229">
        <v>0.18640000000000001</v>
      </c>
      <c r="CZ88" s="228">
        <v>41.79</v>
      </c>
      <c r="DA88" s="228">
        <v>39.86</v>
      </c>
      <c r="DB88" s="228">
        <v>1.93</v>
      </c>
      <c r="DC88" s="228">
        <v>1.93</v>
      </c>
      <c r="DD88" s="228">
        <v>33.06</v>
      </c>
      <c r="DE88" s="228">
        <v>33.130000000000003</v>
      </c>
      <c r="DF88" s="228">
        <v>8.73</v>
      </c>
      <c r="DG88" s="228">
        <v>-7.0000000000000007E-2</v>
      </c>
      <c r="DH88" s="228">
        <v>41.67</v>
      </c>
      <c r="DI88" s="228">
        <v>39.520000000000003</v>
      </c>
      <c r="DJ88" s="228">
        <v>2.15</v>
      </c>
      <c r="DK88" s="228">
        <v>2.15</v>
      </c>
      <c r="DL88" s="228">
        <v>42.05</v>
      </c>
      <c r="DM88" s="228">
        <v>41.16</v>
      </c>
      <c r="DN88" s="228">
        <v>0.89</v>
      </c>
      <c r="DO88" s="228">
        <v>0.89</v>
      </c>
      <c r="DP88" s="228">
        <v>0.67</v>
      </c>
      <c r="DQ88" s="228">
        <v>0.74</v>
      </c>
      <c r="DR88" s="228">
        <v>-7.0000000000000007E-2</v>
      </c>
      <c r="DS88" s="229">
        <v>-9.4600000000000004E-2</v>
      </c>
      <c r="DT88" s="231">
        <v>1800</v>
      </c>
      <c r="DU88" s="231">
        <v>1800</v>
      </c>
      <c r="DV88" s="228">
        <v>0.43</v>
      </c>
      <c r="DW88" s="228">
        <v>0.27</v>
      </c>
      <c r="DX88" s="228">
        <v>0.16</v>
      </c>
      <c r="DY88" s="229">
        <v>0.59260000000000002</v>
      </c>
      <c r="DZ88" s="229">
        <v>5.5100000000000003E-2</v>
      </c>
      <c r="EA88" s="230">
        <v>85250</v>
      </c>
      <c r="EB88" s="229">
        <v>-1.18E-2</v>
      </c>
      <c r="EC88" s="229">
        <v>5.5100000000000003E-2</v>
      </c>
      <c r="ED88" s="228">
        <v>-17.66</v>
      </c>
      <c r="EE88" s="229">
        <v>-0.01</v>
      </c>
      <c r="EF88" s="230">
        <v>676614</v>
      </c>
      <c r="EG88" s="230">
        <v>557445</v>
      </c>
      <c r="EH88" s="229">
        <v>0.21379999999999999</v>
      </c>
      <c r="EI88" s="229">
        <v>0.50609999999999999</v>
      </c>
      <c r="EJ88" s="231">
        <v>30579.67</v>
      </c>
      <c r="EK88" s="231">
        <v>12177.33</v>
      </c>
      <c r="EL88" s="231">
        <v>30017.23</v>
      </c>
      <c r="EM88" s="231">
        <v>5061</v>
      </c>
      <c r="EN88" s="231">
        <v>72774.23</v>
      </c>
      <c r="EO88" s="231">
        <v>87864.72</v>
      </c>
      <c r="EP88" s="231">
        <v>-15090.49</v>
      </c>
      <c r="EQ88" s="229">
        <v>-0.17169999999999999</v>
      </c>
      <c r="ER88" s="231">
        <v>12327</v>
      </c>
      <c r="ES88" s="231">
        <v>7532</v>
      </c>
      <c r="ET88" s="231">
        <v>88919</v>
      </c>
      <c r="EU88" s="231">
        <v>21329205</v>
      </c>
      <c r="EV88" s="231">
        <v>108778</v>
      </c>
      <c r="EW88" s="231">
        <v>92391</v>
      </c>
      <c r="EX88" s="231">
        <v>16387</v>
      </c>
      <c r="EY88" s="229">
        <v>0.1774</v>
      </c>
      <c r="EZ88" s="229">
        <v>0.29099999999999998</v>
      </c>
      <c r="FA88" s="227" t="s">
        <v>566</v>
      </c>
      <c r="FB88" s="161">
        <f t="shared" si="1"/>
        <v>280225</v>
      </c>
    </row>
    <row r="89" spans="1:158" ht="17.25" thickBot="1" x14ac:dyDescent="0.3">
      <c r="A89" s="226">
        <v>46121</v>
      </c>
      <c r="B89" s="227" t="s">
        <v>172</v>
      </c>
      <c r="C89" s="227" t="s">
        <v>232</v>
      </c>
      <c r="D89" s="228">
        <v>700</v>
      </c>
      <c r="E89" s="231">
        <v>1286.9000000000001</v>
      </c>
      <c r="F89" s="231">
        <v>1314.5</v>
      </c>
      <c r="G89" s="228">
        <v>-27.6</v>
      </c>
      <c r="H89" s="229">
        <v>-2.1000000000000001E-2</v>
      </c>
      <c r="I89" s="231">
        <v>1281.3</v>
      </c>
      <c r="J89" s="231">
        <v>1309.2</v>
      </c>
      <c r="K89" s="228">
        <v>-27.9</v>
      </c>
      <c r="L89" s="229">
        <v>-2.1299999999999999E-2</v>
      </c>
      <c r="M89" s="231">
        <v>1286.9000000000001</v>
      </c>
      <c r="N89" s="231">
        <v>1314.5</v>
      </c>
      <c r="O89" s="228">
        <v>-27.6</v>
      </c>
      <c r="P89" s="229">
        <v>-2.1000000000000001E-2</v>
      </c>
      <c r="Q89" s="231">
        <v>1294.8</v>
      </c>
      <c r="R89" s="231">
        <v>1322.3</v>
      </c>
      <c r="S89" s="228">
        <v>-27.5</v>
      </c>
      <c r="T89" s="229">
        <v>-2.0799999999999999E-2</v>
      </c>
      <c r="U89" s="231">
        <v>1303.5999999999999</v>
      </c>
      <c r="V89" s="231">
        <v>1329.6</v>
      </c>
      <c r="W89" s="228">
        <v>-26</v>
      </c>
      <c r="X89" s="229">
        <v>-1.9599999999999999E-2</v>
      </c>
      <c r="Y89" s="228">
        <v>5.6</v>
      </c>
      <c r="Z89" s="228">
        <v>5.3</v>
      </c>
      <c r="AA89" s="228">
        <v>0.3</v>
      </c>
      <c r="AB89" s="229">
        <v>4.4000000000000003E-3</v>
      </c>
      <c r="AC89" s="228">
        <v>5.6</v>
      </c>
      <c r="AD89" s="228">
        <v>5.3</v>
      </c>
      <c r="AE89" s="228">
        <v>0.3</v>
      </c>
      <c r="AF89" s="229">
        <v>4.4000000000000003E-3</v>
      </c>
      <c r="AG89" s="228">
        <v>13.5</v>
      </c>
      <c r="AH89" s="228">
        <v>13.1</v>
      </c>
      <c r="AI89" s="228">
        <v>0.4</v>
      </c>
      <c r="AJ89" s="229">
        <v>1.0500000000000001E-2</v>
      </c>
      <c r="AK89" s="228">
        <v>22.3</v>
      </c>
      <c r="AL89" s="228">
        <v>20.399999999999999</v>
      </c>
      <c r="AM89" s="228">
        <v>1.9</v>
      </c>
      <c r="AN89" s="229">
        <v>1.7399999999999999E-2</v>
      </c>
      <c r="AO89" s="231">
        <v>1293.77</v>
      </c>
      <c r="AP89" s="231">
        <v>1302.1500000000001</v>
      </c>
      <c r="AQ89" s="228">
        <v>0</v>
      </c>
      <c r="AR89" s="230">
        <v>12763800</v>
      </c>
      <c r="AS89" s="230">
        <v>19257700</v>
      </c>
      <c r="AT89" s="230">
        <v>-6493900</v>
      </c>
      <c r="AU89" s="229">
        <v>-0.3372</v>
      </c>
      <c r="AV89" s="230">
        <v>11577300</v>
      </c>
      <c r="AW89" s="230">
        <v>18393900</v>
      </c>
      <c r="AX89" s="230">
        <v>-6816600</v>
      </c>
      <c r="AY89" s="229">
        <v>-0.37059999999999998</v>
      </c>
      <c r="AZ89" s="230">
        <v>1085700</v>
      </c>
      <c r="BA89" s="230">
        <v>758800</v>
      </c>
      <c r="BB89" s="230">
        <v>326900</v>
      </c>
      <c r="BC89" s="229">
        <v>0.43080000000000002</v>
      </c>
      <c r="BD89" s="230">
        <v>100800</v>
      </c>
      <c r="BE89" s="230">
        <v>105000</v>
      </c>
      <c r="BF89" s="230">
        <v>-4200</v>
      </c>
      <c r="BG89" s="229">
        <v>-0.04</v>
      </c>
      <c r="BH89" s="230">
        <v>22350300</v>
      </c>
      <c r="BI89" s="230">
        <v>32914700</v>
      </c>
      <c r="BJ89" s="230">
        <v>-10564400</v>
      </c>
      <c r="BK89" s="229">
        <v>-0.32100000000000001</v>
      </c>
      <c r="BL89" s="230">
        <v>20519800</v>
      </c>
      <c r="BM89" s="230">
        <v>25218900</v>
      </c>
      <c r="BN89" s="230">
        <v>-4699100</v>
      </c>
      <c r="BO89" s="229">
        <v>-0.18629999999999999</v>
      </c>
      <c r="BP89" s="230">
        <v>55633900</v>
      </c>
      <c r="BQ89" s="230">
        <v>77391300</v>
      </c>
      <c r="BR89" s="230">
        <v>-21757400</v>
      </c>
      <c r="BS89" s="229">
        <v>-0.28110000000000002</v>
      </c>
      <c r="BT89" s="230">
        <v>26043693</v>
      </c>
      <c r="BU89" s="230">
        <v>26029580</v>
      </c>
      <c r="BV89" s="230">
        <v>14113</v>
      </c>
      <c r="BW89" s="229">
        <v>5.0000000000000001E-4</v>
      </c>
      <c r="BX89" s="230">
        <v>118518400</v>
      </c>
      <c r="BY89" s="230">
        <v>118635300</v>
      </c>
      <c r="BZ89" s="230">
        <v>-116900</v>
      </c>
      <c r="CA89" s="229">
        <v>-1E-3</v>
      </c>
      <c r="CB89" s="230">
        <v>95197200</v>
      </c>
      <c r="CC89" s="230">
        <v>95564700</v>
      </c>
      <c r="CD89" s="230">
        <v>-367500</v>
      </c>
      <c r="CE89" s="229">
        <v>-3.8E-3</v>
      </c>
      <c r="CF89" s="230">
        <v>22165500</v>
      </c>
      <c r="CG89" s="230">
        <v>21980000</v>
      </c>
      <c r="CH89" s="230">
        <v>185500</v>
      </c>
      <c r="CI89" s="229">
        <v>8.3999999999999995E-3</v>
      </c>
      <c r="CJ89" s="230">
        <v>1155700</v>
      </c>
      <c r="CK89" s="230">
        <v>1090600</v>
      </c>
      <c r="CL89" s="230">
        <v>65100</v>
      </c>
      <c r="CM89" s="229">
        <v>5.9700000000000003E-2</v>
      </c>
      <c r="CN89" s="230">
        <v>18566100</v>
      </c>
      <c r="CO89" s="230">
        <v>16902900</v>
      </c>
      <c r="CP89" s="230">
        <v>1663200</v>
      </c>
      <c r="CQ89" s="229">
        <v>9.8400000000000001E-2</v>
      </c>
      <c r="CR89" s="230">
        <v>16031400</v>
      </c>
      <c r="CS89" s="230">
        <v>16718100</v>
      </c>
      <c r="CT89" s="230">
        <v>-686700</v>
      </c>
      <c r="CU89" s="229">
        <v>-4.1099999999999998E-2</v>
      </c>
      <c r="CV89" s="230">
        <v>153115900</v>
      </c>
      <c r="CW89" s="230">
        <v>152256300</v>
      </c>
      <c r="CX89" s="230">
        <v>859600</v>
      </c>
      <c r="CY89" s="229">
        <v>5.5999999999999999E-3</v>
      </c>
      <c r="CZ89" s="228">
        <v>27.2</v>
      </c>
      <c r="DA89" s="228">
        <v>25.39</v>
      </c>
      <c r="DB89" s="228">
        <v>1.81</v>
      </c>
      <c r="DC89" s="228">
        <v>1.81</v>
      </c>
      <c r="DD89" s="228">
        <v>23.62</v>
      </c>
      <c r="DE89" s="228">
        <v>23.5</v>
      </c>
      <c r="DF89" s="228">
        <v>3.58</v>
      </c>
      <c r="DG89" s="228">
        <v>0.12</v>
      </c>
      <c r="DH89" s="228">
        <v>26.08</v>
      </c>
      <c r="DI89" s="228">
        <v>23.93</v>
      </c>
      <c r="DJ89" s="228">
        <v>2.15</v>
      </c>
      <c r="DK89" s="228">
        <v>2.15</v>
      </c>
      <c r="DL89" s="228">
        <v>28.43</v>
      </c>
      <c r="DM89" s="228">
        <v>27.31</v>
      </c>
      <c r="DN89" s="228">
        <v>1.1200000000000001</v>
      </c>
      <c r="DO89" s="228">
        <v>1.1200000000000001</v>
      </c>
      <c r="DP89" s="228">
        <v>0.86</v>
      </c>
      <c r="DQ89" s="228">
        <v>0.99</v>
      </c>
      <c r="DR89" s="228">
        <v>-0.13</v>
      </c>
      <c r="DS89" s="229">
        <v>-0.1313</v>
      </c>
      <c r="DT89" s="231">
        <v>1300</v>
      </c>
      <c r="DU89" s="231">
        <v>1300</v>
      </c>
      <c r="DV89" s="228">
        <v>0.92</v>
      </c>
      <c r="DW89" s="228">
        <v>0.77</v>
      </c>
      <c r="DX89" s="228">
        <v>0.15</v>
      </c>
      <c r="DY89" s="229">
        <v>0.1948</v>
      </c>
      <c r="DZ89" s="229">
        <v>0.1968</v>
      </c>
      <c r="EA89" s="230">
        <v>23070600</v>
      </c>
      <c r="EB89" s="229">
        <v>6.1000000000000004E-3</v>
      </c>
      <c r="EC89" s="229">
        <v>0.1968</v>
      </c>
      <c r="ED89" s="228">
        <v>8.3800000000000008</v>
      </c>
      <c r="EE89" s="229">
        <v>6.4999999999999997E-3</v>
      </c>
      <c r="EF89" s="230">
        <v>10839011</v>
      </c>
      <c r="EG89" s="230">
        <v>15217802</v>
      </c>
      <c r="EH89" s="229">
        <v>-0.28770000000000001</v>
      </c>
      <c r="EI89" s="229">
        <v>0.41620000000000001</v>
      </c>
      <c r="EJ89" s="231">
        <v>301292.03000000003</v>
      </c>
      <c r="EK89" s="231">
        <v>262003.22</v>
      </c>
      <c r="EL89" s="231">
        <v>165238.57999999999</v>
      </c>
      <c r="EM89" s="231">
        <v>22790</v>
      </c>
      <c r="EN89" s="231">
        <v>728533.83</v>
      </c>
      <c r="EO89" s="231">
        <v>1020128.01</v>
      </c>
      <c r="EP89" s="231">
        <v>-291594.18</v>
      </c>
      <c r="EQ89" s="229">
        <v>-0.2858</v>
      </c>
      <c r="ER89" s="231">
        <v>243352</v>
      </c>
      <c r="ES89" s="231">
        <v>199817</v>
      </c>
      <c r="ET89" s="231">
        <v>1527157</v>
      </c>
      <c r="EU89" s="231">
        <v>668616020</v>
      </c>
      <c r="EV89" s="231">
        <v>1970326</v>
      </c>
      <c r="EW89" s="231">
        <v>1990601</v>
      </c>
      <c r="EX89" s="231">
        <v>-20275</v>
      </c>
      <c r="EY89" s="229">
        <v>-1.0200000000000001E-2</v>
      </c>
      <c r="EZ89" s="229">
        <v>0.22900000000000001</v>
      </c>
      <c r="FA89" s="227" t="s">
        <v>567</v>
      </c>
      <c r="FB89" s="161">
        <f t="shared" si="1"/>
        <v>23321200</v>
      </c>
    </row>
    <row r="90" spans="1:158" ht="17.25" thickBot="1" x14ac:dyDescent="0.3">
      <c r="A90" s="226">
        <v>46121</v>
      </c>
      <c r="B90" s="227" t="s">
        <v>175</v>
      </c>
      <c r="C90" s="227" t="s">
        <v>472</v>
      </c>
      <c r="D90" s="228">
        <v>325</v>
      </c>
      <c r="E90" s="231">
        <v>1777.5</v>
      </c>
      <c r="F90" s="231">
        <v>1755.6</v>
      </c>
      <c r="G90" s="228">
        <v>21.9</v>
      </c>
      <c r="H90" s="229">
        <v>1.2500000000000001E-2</v>
      </c>
      <c r="I90" s="231">
        <v>1768.6</v>
      </c>
      <c r="J90" s="231">
        <v>1750.5</v>
      </c>
      <c r="K90" s="228">
        <v>18.100000000000001</v>
      </c>
      <c r="L90" s="229">
        <v>1.03E-2</v>
      </c>
      <c r="M90" s="231">
        <v>1777.5</v>
      </c>
      <c r="N90" s="231">
        <v>1755.6</v>
      </c>
      <c r="O90" s="228">
        <v>21.9</v>
      </c>
      <c r="P90" s="229">
        <v>1.2500000000000001E-2</v>
      </c>
      <c r="Q90" s="231">
        <v>1787.2</v>
      </c>
      <c r="R90" s="231">
        <v>1767</v>
      </c>
      <c r="S90" s="228">
        <v>20.2</v>
      </c>
      <c r="T90" s="229">
        <v>1.14E-2</v>
      </c>
      <c r="U90" s="231">
        <v>1805.4</v>
      </c>
      <c r="V90" s="231">
        <v>1773</v>
      </c>
      <c r="W90" s="228">
        <v>32.4</v>
      </c>
      <c r="X90" s="229">
        <v>1.83E-2</v>
      </c>
      <c r="Y90" s="228">
        <v>8.9</v>
      </c>
      <c r="Z90" s="228">
        <v>5.0999999999999996</v>
      </c>
      <c r="AA90" s="228">
        <v>3.8</v>
      </c>
      <c r="AB90" s="229">
        <v>5.0000000000000001E-3</v>
      </c>
      <c r="AC90" s="228">
        <v>8.9</v>
      </c>
      <c r="AD90" s="228">
        <v>5.0999999999999996</v>
      </c>
      <c r="AE90" s="228">
        <v>3.8</v>
      </c>
      <c r="AF90" s="229">
        <v>5.0000000000000001E-3</v>
      </c>
      <c r="AG90" s="228">
        <v>18.600000000000001</v>
      </c>
      <c r="AH90" s="228">
        <v>16.5</v>
      </c>
      <c r="AI90" s="228">
        <v>2.1</v>
      </c>
      <c r="AJ90" s="229">
        <v>1.0500000000000001E-2</v>
      </c>
      <c r="AK90" s="228">
        <v>36.799999999999997</v>
      </c>
      <c r="AL90" s="228">
        <v>22.5</v>
      </c>
      <c r="AM90" s="228">
        <v>14.3</v>
      </c>
      <c r="AN90" s="229">
        <v>2.0799999999999999E-2</v>
      </c>
      <c r="AO90" s="231">
        <v>1772.96</v>
      </c>
      <c r="AP90" s="231">
        <v>1781.54</v>
      </c>
      <c r="AQ90" s="228">
        <v>0</v>
      </c>
      <c r="AR90" s="230">
        <v>971100</v>
      </c>
      <c r="AS90" s="230">
        <v>620750</v>
      </c>
      <c r="AT90" s="230">
        <v>350350</v>
      </c>
      <c r="AU90" s="229">
        <v>0.56440000000000001</v>
      </c>
      <c r="AV90" s="230">
        <v>948350</v>
      </c>
      <c r="AW90" s="230">
        <v>606450</v>
      </c>
      <c r="AX90" s="230">
        <v>341900</v>
      </c>
      <c r="AY90" s="229">
        <v>0.56379999999999997</v>
      </c>
      <c r="AZ90" s="230">
        <v>19500</v>
      </c>
      <c r="BA90" s="230">
        <v>10725</v>
      </c>
      <c r="BB90" s="230">
        <v>8775</v>
      </c>
      <c r="BC90" s="229">
        <v>0.81820000000000004</v>
      </c>
      <c r="BD90" s="230">
        <v>3250</v>
      </c>
      <c r="BE90" s="230">
        <v>3575</v>
      </c>
      <c r="BF90" s="228">
        <v>-325</v>
      </c>
      <c r="BG90" s="229">
        <v>-9.0899999999999995E-2</v>
      </c>
      <c r="BH90" s="230">
        <v>1882725</v>
      </c>
      <c r="BI90" s="230">
        <v>939900</v>
      </c>
      <c r="BJ90" s="230">
        <v>942825</v>
      </c>
      <c r="BK90" s="229">
        <v>1.0031000000000001</v>
      </c>
      <c r="BL90" s="230">
        <v>1547325</v>
      </c>
      <c r="BM90" s="230">
        <v>713700</v>
      </c>
      <c r="BN90" s="230">
        <v>833625</v>
      </c>
      <c r="BO90" s="229">
        <v>1.1679999999999999</v>
      </c>
      <c r="BP90" s="230">
        <v>4401150</v>
      </c>
      <c r="BQ90" s="230">
        <v>2274350</v>
      </c>
      <c r="BR90" s="230">
        <v>2126800</v>
      </c>
      <c r="BS90" s="229">
        <v>0.93510000000000004</v>
      </c>
      <c r="BT90" s="230">
        <v>1151007</v>
      </c>
      <c r="BU90" s="230">
        <v>715158</v>
      </c>
      <c r="BV90" s="230">
        <v>435849</v>
      </c>
      <c r="BW90" s="229">
        <v>0.60940000000000005</v>
      </c>
      <c r="BX90" s="230">
        <v>5291000</v>
      </c>
      <c r="BY90" s="230">
        <v>5059600</v>
      </c>
      <c r="BZ90" s="230">
        <v>231400</v>
      </c>
      <c r="CA90" s="229">
        <v>4.5699999999999998E-2</v>
      </c>
      <c r="CB90" s="230">
        <v>5245175</v>
      </c>
      <c r="CC90" s="230">
        <v>5015075</v>
      </c>
      <c r="CD90" s="230">
        <v>230100</v>
      </c>
      <c r="CE90" s="229">
        <v>4.5900000000000003E-2</v>
      </c>
      <c r="CF90" s="230">
        <v>45175</v>
      </c>
      <c r="CG90" s="230">
        <v>40625</v>
      </c>
      <c r="CH90" s="230">
        <v>4550</v>
      </c>
      <c r="CI90" s="229">
        <v>0.112</v>
      </c>
      <c r="CJ90" s="228">
        <v>650</v>
      </c>
      <c r="CK90" s="230">
        <v>3900</v>
      </c>
      <c r="CL90" s="230">
        <v>-3250</v>
      </c>
      <c r="CM90" s="229">
        <v>-0.83330000000000004</v>
      </c>
      <c r="CN90" s="230">
        <v>855725</v>
      </c>
      <c r="CO90" s="230">
        <v>638950</v>
      </c>
      <c r="CP90" s="230">
        <v>216775</v>
      </c>
      <c r="CQ90" s="229">
        <v>0.33929999999999999</v>
      </c>
      <c r="CR90" s="230">
        <v>684775</v>
      </c>
      <c r="CS90" s="230">
        <v>633750</v>
      </c>
      <c r="CT90" s="230">
        <v>51025</v>
      </c>
      <c r="CU90" s="229">
        <v>8.0500000000000002E-2</v>
      </c>
      <c r="CV90" s="230">
        <v>6831500</v>
      </c>
      <c r="CW90" s="230">
        <v>6332300</v>
      </c>
      <c r="CX90" s="230">
        <v>499200</v>
      </c>
      <c r="CY90" s="229">
        <v>7.8799999999999995E-2</v>
      </c>
      <c r="CZ90" s="228">
        <v>30.97</v>
      </c>
      <c r="DA90" s="228">
        <v>29.96</v>
      </c>
      <c r="DB90" s="228">
        <v>1.01</v>
      </c>
      <c r="DC90" s="228">
        <v>1.01</v>
      </c>
      <c r="DD90" s="228">
        <v>26.81</v>
      </c>
      <c r="DE90" s="228">
        <v>26.84</v>
      </c>
      <c r="DF90" s="228">
        <v>4.16</v>
      </c>
      <c r="DG90" s="228">
        <v>-0.03</v>
      </c>
      <c r="DH90" s="228">
        <v>30.73</v>
      </c>
      <c r="DI90" s="228">
        <v>29.59</v>
      </c>
      <c r="DJ90" s="228">
        <v>1.1399999999999999</v>
      </c>
      <c r="DK90" s="228">
        <v>1.1399999999999999</v>
      </c>
      <c r="DL90" s="228">
        <v>31.26</v>
      </c>
      <c r="DM90" s="228">
        <v>30.44</v>
      </c>
      <c r="DN90" s="228">
        <v>0.82</v>
      </c>
      <c r="DO90" s="228">
        <v>0.82</v>
      </c>
      <c r="DP90" s="228">
        <v>0.8</v>
      </c>
      <c r="DQ90" s="228">
        <v>0.99</v>
      </c>
      <c r="DR90" s="228">
        <v>-0.19</v>
      </c>
      <c r="DS90" s="229">
        <v>-0.19189999999999999</v>
      </c>
      <c r="DT90" s="231">
        <v>1900</v>
      </c>
      <c r="DU90" s="231">
        <v>1700</v>
      </c>
      <c r="DV90" s="228">
        <v>0.82</v>
      </c>
      <c r="DW90" s="228">
        <v>0.76</v>
      </c>
      <c r="DX90" s="228">
        <v>0.06</v>
      </c>
      <c r="DY90" s="229">
        <v>7.8899999999999998E-2</v>
      </c>
      <c r="DZ90" s="229">
        <v>8.6999999999999994E-3</v>
      </c>
      <c r="EA90" s="230">
        <v>44525</v>
      </c>
      <c r="EB90" s="229">
        <v>5.4999999999999997E-3</v>
      </c>
      <c r="EC90" s="229">
        <v>8.6999999999999994E-3</v>
      </c>
      <c r="ED90" s="228">
        <v>8.58</v>
      </c>
      <c r="EE90" s="229">
        <v>4.7999999999999996E-3</v>
      </c>
      <c r="EF90" s="230">
        <v>696994</v>
      </c>
      <c r="EG90" s="230">
        <v>414340</v>
      </c>
      <c r="EH90" s="229">
        <v>0.68220000000000003</v>
      </c>
      <c r="EI90" s="229">
        <v>0.60560000000000003</v>
      </c>
      <c r="EJ90" s="231">
        <v>34999.120000000003</v>
      </c>
      <c r="EK90" s="231">
        <v>26897.23</v>
      </c>
      <c r="EL90" s="231">
        <v>17219.96</v>
      </c>
      <c r="EM90" s="231">
        <v>1531</v>
      </c>
      <c r="EN90" s="231">
        <v>79116.31</v>
      </c>
      <c r="EO90" s="231">
        <v>40759.15</v>
      </c>
      <c r="EP90" s="231">
        <v>38357.160000000003</v>
      </c>
      <c r="EQ90" s="229">
        <v>0.94110000000000005</v>
      </c>
      <c r="ER90" s="231">
        <v>15606</v>
      </c>
      <c r="ES90" s="231">
        <v>11692</v>
      </c>
      <c r="ET90" s="231">
        <v>94052</v>
      </c>
      <c r="EU90" s="231">
        <v>27086521</v>
      </c>
      <c r="EV90" s="231">
        <v>121351</v>
      </c>
      <c r="EW90" s="231">
        <v>111187</v>
      </c>
      <c r="EX90" s="231">
        <v>10164</v>
      </c>
      <c r="EY90" s="229">
        <v>9.1399999999999995E-2</v>
      </c>
      <c r="EZ90" s="229">
        <v>0.25219999999999998</v>
      </c>
      <c r="FA90" s="227" t="s">
        <v>555</v>
      </c>
      <c r="FB90" s="161">
        <f t="shared" si="1"/>
        <v>45825</v>
      </c>
    </row>
    <row r="91" spans="1:158" ht="17.25" thickBot="1" x14ac:dyDescent="0.3">
      <c r="A91" s="226">
        <v>46121</v>
      </c>
      <c r="B91" s="227" t="s">
        <v>175</v>
      </c>
      <c r="C91" s="227" t="s">
        <v>233</v>
      </c>
      <c r="D91" s="228">
        <v>925</v>
      </c>
      <c r="E91" s="228">
        <v>544.65</v>
      </c>
      <c r="F91" s="228">
        <v>543.20000000000005</v>
      </c>
      <c r="G91" s="228">
        <v>1.45</v>
      </c>
      <c r="H91" s="229">
        <v>2.7000000000000001E-3</v>
      </c>
      <c r="I91" s="228">
        <v>541.95000000000005</v>
      </c>
      <c r="J91" s="228">
        <v>541.6</v>
      </c>
      <c r="K91" s="228">
        <v>0.35</v>
      </c>
      <c r="L91" s="229">
        <v>5.9999999999999995E-4</v>
      </c>
      <c r="M91" s="228">
        <v>544.65</v>
      </c>
      <c r="N91" s="228">
        <v>543.20000000000005</v>
      </c>
      <c r="O91" s="228">
        <v>1.45</v>
      </c>
      <c r="P91" s="229">
        <v>2.7000000000000001E-3</v>
      </c>
      <c r="Q91" s="228">
        <v>547.70000000000005</v>
      </c>
      <c r="R91" s="228">
        <v>546.29999999999995</v>
      </c>
      <c r="S91" s="228">
        <v>1.4</v>
      </c>
      <c r="T91" s="229">
        <v>2.5999999999999999E-3</v>
      </c>
      <c r="U91" s="228">
        <v>555.70000000000005</v>
      </c>
      <c r="V91" s="228">
        <v>548.45000000000005</v>
      </c>
      <c r="W91" s="228">
        <v>7.25</v>
      </c>
      <c r="X91" s="229">
        <v>1.32E-2</v>
      </c>
      <c r="Y91" s="228">
        <v>2.7</v>
      </c>
      <c r="Z91" s="228">
        <v>1.6</v>
      </c>
      <c r="AA91" s="228">
        <v>1.1000000000000001</v>
      </c>
      <c r="AB91" s="229">
        <v>5.0000000000000001E-3</v>
      </c>
      <c r="AC91" s="228">
        <v>2.7</v>
      </c>
      <c r="AD91" s="228">
        <v>1.6</v>
      </c>
      <c r="AE91" s="228">
        <v>1.1000000000000001</v>
      </c>
      <c r="AF91" s="229">
        <v>5.0000000000000001E-3</v>
      </c>
      <c r="AG91" s="228">
        <v>5.75</v>
      </c>
      <c r="AH91" s="228">
        <v>4.7</v>
      </c>
      <c r="AI91" s="228">
        <v>1.05</v>
      </c>
      <c r="AJ91" s="229">
        <v>1.06E-2</v>
      </c>
      <c r="AK91" s="228">
        <v>13.75</v>
      </c>
      <c r="AL91" s="228">
        <v>6.85</v>
      </c>
      <c r="AM91" s="228">
        <v>6.9</v>
      </c>
      <c r="AN91" s="229">
        <v>2.5399999999999999E-2</v>
      </c>
      <c r="AO91" s="228">
        <v>547.55999999999995</v>
      </c>
      <c r="AP91" s="228">
        <v>549.47</v>
      </c>
      <c r="AQ91" s="228">
        <v>0</v>
      </c>
      <c r="AR91" s="230">
        <v>2628850</v>
      </c>
      <c r="AS91" s="230">
        <v>1456875</v>
      </c>
      <c r="AT91" s="230">
        <v>1171975</v>
      </c>
      <c r="AU91" s="229">
        <v>0.8044</v>
      </c>
      <c r="AV91" s="230">
        <v>2542825</v>
      </c>
      <c r="AW91" s="230">
        <v>1400450</v>
      </c>
      <c r="AX91" s="230">
        <v>1142375</v>
      </c>
      <c r="AY91" s="229">
        <v>0.81569999999999998</v>
      </c>
      <c r="AZ91" s="230">
        <v>78625</v>
      </c>
      <c r="BA91" s="230">
        <v>49950</v>
      </c>
      <c r="BB91" s="230">
        <v>28675</v>
      </c>
      <c r="BC91" s="229">
        <v>0.57410000000000005</v>
      </c>
      <c r="BD91" s="230">
        <v>7400</v>
      </c>
      <c r="BE91" s="230">
        <v>6475</v>
      </c>
      <c r="BF91" s="228">
        <v>925</v>
      </c>
      <c r="BG91" s="229">
        <v>0.1429</v>
      </c>
      <c r="BH91" s="230">
        <v>3335550</v>
      </c>
      <c r="BI91" s="230">
        <v>1431900</v>
      </c>
      <c r="BJ91" s="230">
        <v>1903650</v>
      </c>
      <c r="BK91" s="229">
        <v>1.3294999999999999</v>
      </c>
      <c r="BL91" s="230">
        <v>1003625</v>
      </c>
      <c r="BM91" s="230">
        <v>941650</v>
      </c>
      <c r="BN91" s="230">
        <v>61975</v>
      </c>
      <c r="BO91" s="229">
        <v>6.5799999999999997E-2</v>
      </c>
      <c r="BP91" s="230">
        <v>6968025</v>
      </c>
      <c r="BQ91" s="230">
        <v>3830425</v>
      </c>
      <c r="BR91" s="230">
        <v>3137600</v>
      </c>
      <c r="BS91" s="229">
        <v>0.81910000000000005</v>
      </c>
      <c r="BT91" s="230">
        <v>1123816</v>
      </c>
      <c r="BU91" s="230">
        <v>870925</v>
      </c>
      <c r="BV91" s="230">
        <v>252891</v>
      </c>
      <c r="BW91" s="229">
        <v>0.29039999999999999</v>
      </c>
      <c r="BX91" s="230">
        <v>18669275</v>
      </c>
      <c r="BY91" s="230">
        <v>18627650</v>
      </c>
      <c r="BZ91" s="230">
        <v>41625</v>
      </c>
      <c r="CA91" s="229">
        <v>2.2000000000000001E-3</v>
      </c>
      <c r="CB91" s="230">
        <v>18497225</v>
      </c>
      <c r="CC91" s="230">
        <v>18501850</v>
      </c>
      <c r="CD91" s="230">
        <v>-4625</v>
      </c>
      <c r="CE91" s="229">
        <v>-2.0000000000000001E-4</v>
      </c>
      <c r="CF91" s="230">
        <v>159100</v>
      </c>
      <c r="CG91" s="230">
        <v>115625</v>
      </c>
      <c r="CH91" s="230">
        <v>43475</v>
      </c>
      <c r="CI91" s="229">
        <v>0.376</v>
      </c>
      <c r="CJ91" s="230">
        <v>12950</v>
      </c>
      <c r="CK91" s="230">
        <v>10175</v>
      </c>
      <c r="CL91" s="230">
        <v>2775</v>
      </c>
      <c r="CM91" s="229">
        <v>0.2727</v>
      </c>
      <c r="CN91" s="230">
        <v>1677025</v>
      </c>
      <c r="CO91" s="230">
        <v>1494800</v>
      </c>
      <c r="CP91" s="230">
        <v>182225</v>
      </c>
      <c r="CQ91" s="229">
        <v>0.12189999999999999</v>
      </c>
      <c r="CR91" s="230">
        <v>1539200</v>
      </c>
      <c r="CS91" s="230">
        <v>1459650</v>
      </c>
      <c r="CT91" s="230">
        <v>79550</v>
      </c>
      <c r="CU91" s="229">
        <v>5.45E-2</v>
      </c>
      <c r="CV91" s="230">
        <v>21885500</v>
      </c>
      <c r="CW91" s="230">
        <v>21582100</v>
      </c>
      <c r="CX91" s="230">
        <v>303400</v>
      </c>
      <c r="CY91" s="229">
        <v>1.41E-2</v>
      </c>
      <c r="CZ91" s="228">
        <v>36.090000000000003</v>
      </c>
      <c r="DA91" s="228">
        <v>35.44</v>
      </c>
      <c r="DB91" s="228">
        <v>0.65</v>
      </c>
      <c r="DC91" s="228">
        <v>0.65</v>
      </c>
      <c r="DD91" s="228">
        <v>29.05</v>
      </c>
      <c r="DE91" s="228">
        <v>29.12</v>
      </c>
      <c r="DF91" s="228">
        <v>7.04</v>
      </c>
      <c r="DG91" s="228">
        <v>-7.0000000000000007E-2</v>
      </c>
      <c r="DH91" s="228">
        <v>35.770000000000003</v>
      </c>
      <c r="DI91" s="228">
        <v>34.11</v>
      </c>
      <c r="DJ91" s="228">
        <v>1.66</v>
      </c>
      <c r="DK91" s="228">
        <v>1.66</v>
      </c>
      <c r="DL91" s="228">
        <v>37.159999999999997</v>
      </c>
      <c r="DM91" s="228">
        <v>37.46</v>
      </c>
      <c r="DN91" s="228">
        <v>-0.3</v>
      </c>
      <c r="DO91" s="228">
        <v>-0.3</v>
      </c>
      <c r="DP91" s="228">
        <v>0.92</v>
      </c>
      <c r="DQ91" s="228">
        <v>0.98</v>
      </c>
      <c r="DR91" s="228">
        <v>-0.06</v>
      </c>
      <c r="DS91" s="229">
        <v>-6.1199999999999997E-2</v>
      </c>
      <c r="DT91" s="228">
        <v>600</v>
      </c>
      <c r="DU91" s="228">
        <v>520</v>
      </c>
      <c r="DV91" s="228">
        <v>0.3</v>
      </c>
      <c r="DW91" s="228">
        <v>0.66</v>
      </c>
      <c r="DX91" s="228">
        <v>-0.36</v>
      </c>
      <c r="DY91" s="229">
        <v>-0.54549999999999998</v>
      </c>
      <c r="DZ91" s="229">
        <v>9.1999999999999998E-3</v>
      </c>
      <c r="EA91" s="230">
        <v>125800</v>
      </c>
      <c r="EB91" s="229">
        <v>5.5999999999999999E-3</v>
      </c>
      <c r="EC91" s="229">
        <v>9.1999999999999998E-3</v>
      </c>
      <c r="ED91" s="228">
        <v>1.91</v>
      </c>
      <c r="EE91" s="229">
        <v>3.5000000000000001E-3</v>
      </c>
      <c r="EF91" s="230">
        <v>581132</v>
      </c>
      <c r="EG91" s="230">
        <v>436416</v>
      </c>
      <c r="EH91" s="229">
        <v>0.33160000000000001</v>
      </c>
      <c r="EI91" s="229">
        <v>0.5171</v>
      </c>
      <c r="EJ91" s="231">
        <v>19337.080000000002</v>
      </c>
      <c r="EK91" s="231">
        <v>5345.81</v>
      </c>
      <c r="EL91" s="231">
        <v>14396.67</v>
      </c>
      <c r="EM91" s="231">
        <v>1344</v>
      </c>
      <c r="EN91" s="231">
        <v>39079.56</v>
      </c>
      <c r="EO91" s="231">
        <v>20959.04</v>
      </c>
      <c r="EP91" s="231">
        <v>18120.52</v>
      </c>
      <c r="EQ91" s="229">
        <v>0.86460000000000004</v>
      </c>
      <c r="ER91" s="231">
        <v>9379</v>
      </c>
      <c r="ES91" s="231">
        <v>7814</v>
      </c>
      <c r="ET91" s="231">
        <v>101688</v>
      </c>
      <c r="EU91" s="231">
        <v>58892926</v>
      </c>
      <c r="EV91" s="231">
        <v>118881</v>
      </c>
      <c r="EW91" s="231">
        <v>116907</v>
      </c>
      <c r="EX91" s="231">
        <v>1974</v>
      </c>
      <c r="EY91" s="229">
        <v>1.6899999999999998E-2</v>
      </c>
      <c r="EZ91" s="229">
        <v>0.37159999999999999</v>
      </c>
      <c r="FA91" s="227" t="s">
        <v>555</v>
      </c>
      <c r="FB91" s="161">
        <f t="shared" si="1"/>
        <v>172050</v>
      </c>
    </row>
    <row r="92" spans="1:158" ht="17.25" thickBot="1" x14ac:dyDescent="0.3">
      <c r="A92" s="226">
        <v>46121</v>
      </c>
      <c r="B92" s="227" t="s">
        <v>188</v>
      </c>
      <c r="C92" s="227" t="s">
        <v>234</v>
      </c>
      <c r="D92" s="228">
        <v>71475</v>
      </c>
      <c r="E92" s="228">
        <v>9.18</v>
      </c>
      <c r="F92" s="228">
        <v>9.26</v>
      </c>
      <c r="G92" s="228">
        <v>-0.08</v>
      </c>
      <c r="H92" s="229">
        <v>-8.6E-3</v>
      </c>
      <c r="I92" s="228">
        <v>9.1199999999999992</v>
      </c>
      <c r="J92" s="228">
        <v>9.1999999999999993</v>
      </c>
      <c r="K92" s="228">
        <v>-0.08</v>
      </c>
      <c r="L92" s="229">
        <v>-8.6999999999999994E-3</v>
      </c>
      <c r="M92" s="228">
        <v>9.18</v>
      </c>
      <c r="N92" s="228">
        <v>9.26</v>
      </c>
      <c r="O92" s="228">
        <v>-0.08</v>
      </c>
      <c r="P92" s="229">
        <v>-8.6E-3</v>
      </c>
      <c r="Q92" s="228">
        <v>9.24</v>
      </c>
      <c r="R92" s="228">
        <v>9.32</v>
      </c>
      <c r="S92" s="228">
        <v>-0.08</v>
      </c>
      <c r="T92" s="229">
        <v>-8.6E-3</v>
      </c>
      <c r="U92" s="228">
        <v>9.3000000000000007</v>
      </c>
      <c r="V92" s="228">
        <v>9.39</v>
      </c>
      <c r="W92" s="228">
        <v>-0.09</v>
      </c>
      <c r="X92" s="229">
        <v>-9.5999999999999992E-3</v>
      </c>
      <c r="Y92" s="228">
        <v>0.06</v>
      </c>
      <c r="Z92" s="228">
        <v>0.06</v>
      </c>
      <c r="AA92" s="228">
        <v>0</v>
      </c>
      <c r="AB92" s="229">
        <v>6.6E-3</v>
      </c>
      <c r="AC92" s="228">
        <v>0.06</v>
      </c>
      <c r="AD92" s="228">
        <v>0.06</v>
      </c>
      <c r="AE92" s="228">
        <v>0</v>
      </c>
      <c r="AF92" s="229">
        <v>6.6E-3</v>
      </c>
      <c r="AG92" s="228">
        <v>0.12</v>
      </c>
      <c r="AH92" s="228">
        <v>0.12</v>
      </c>
      <c r="AI92" s="228">
        <v>0</v>
      </c>
      <c r="AJ92" s="229">
        <v>1.32E-2</v>
      </c>
      <c r="AK92" s="228">
        <v>0.18</v>
      </c>
      <c r="AL92" s="228">
        <v>0.19</v>
      </c>
      <c r="AM92" s="228">
        <v>-0.01</v>
      </c>
      <c r="AN92" s="229">
        <v>1.9699999999999999E-2</v>
      </c>
      <c r="AO92" s="228">
        <v>9.18</v>
      </c>
      <c r="AP92" s="228">
        <v>9.23</v>
      </c>
      <c r="AQ92" s="228">
        <v>0</v>
      </c>
      <c r="AR92" s="230">
        <v>338219700</v>
      </c>
      <c r="AS92" s="230">
        <v>650065125</v>
      </c>
      <c r="AT92" s="230">
        <v>-311845425</v>
      </c>
      <c r="AU92" s="229">
        <v>-0.47970000000000002</v>
      </c>
      <c r="AV92" s="230">
        <v>284327550</v>
      </c>
      <c r="AW92" s="230">
        <v>581020275</v>
      </c>
      <c r="AX92" s="230">
        <v>-296692725</v>
      </c>
      <c r="AY92" s="229">
        <v>-0.51060000000000005</v>
      </c>
      <c r="AZ92" s="230">
        <v>35165700</v>
      </c>
      <c r="BA92" s="230">
        <v>58538025</v>
      </c>
      <c r="BB92" s="230">
        <v>-23372325</v>
      </c>
      <c r="BC92" s="229">
        <v>-0.39929999999999999</v>
      </c>
      <c r="BD92" s="230">
        <v>18726450</v>
      </c>
      <c r="BE92" s="230">
        <v>10506825</v>
      </c>
      <c r="BF92" s="230">
        <v>8219625</v>
      </c>
      <c r="BG92" s="229">
        <v>0.7823</v>
      </c>
      <c r="BH92" s="230">
        <v>833327025</v>
      </c>
      <c r="BI92" s="230">
        <v>1494899625</v>
      </c>
      <c r="BJ92" s="230">
        <v>-661572600</v>
      </c>
      <c r="BK92" s="229">
        <v>-0.44259999999999999</v>
      </c>
      <c r="BL92" s="230">
        <v>267888300</v>
      </c>
      <c r="BM92" s="230">
        <v>531702525</v>
      </c>
      <c r="BN92" s="230">
        <v>-263814225</v>
      </c>
      <c r="BO92" s="229">
        <v>-0.49619999999999997</v>
      </c>
      <c r="BP92" s="230">
        <v>1439435025</v>
      </c>
      <c r="BQ92" s="230">
        <v>2676667275</v>
      </c>
      <c r="BR92" s="230">
        <v>-1237232250</v>
      </c>
      <c r="BS92" s="229">
        <v>-0.4622</v>
      </c>
      <c r="BT92" s="230">
        <v>432539522</v>
      </c>
      <c r="BU92" s="230">
        <v>690460747</v>
      </c>
      <c r="BV92" s="230">
        <v>-257921225</v>
      </c>
      <c r="BW92" s="229">
        <v>-0.3735</v>
      </c>
      <c r="BX92" s="230">
        <v>6645030750</v>
      </c>
      <c r="BY92" s="230">
        <v>6602717550</v>
      </c>
      <c r="BZ92" s="230">
        <v>42313200</v>
      </c>
      <c r="CA92" s="229">
        <v>6.4000000000000003E-3</v>
      </c>
      <c r="CB92" s="230">
        <v>6345264600</v>
      </c>
      <c r="CC92" s="230">
        <v>6331755825</v>
      </c>
      <c r="CD92" s="230">
        <v>13508775</v>
      </c>
      <c r="CE92" s="229">
        <v>2.0999999999999999E-3</v>
      </c>
      <c r="CF92" s="230">
        <v>273749250</v>
      </c>
      <c r="CG92" s="230">
        <v>259168350</v>
      </c>
      <c r="CH92" s="230">
        <v>14580900</v>
      </c>
      <c r="CI92" s="229">
        <v>5.6300000000000003E-2</v>
      </c>
      <c r="CJ92" s="230">
        <v>26016900</v>
      </c>
      <c r="CK92" s="230">
        <v>11793375</v>
      </c>
      <c r="CL92" s="230">
        <v>14223525</v>
      </c>
      <c r="CM92" s="229">
        <v>1.2060999999999999</v>
      </c>
      <c r="CN92" s="230">
        <v>1343372625</v>
      </c>
      <c r="CO92" s="230">
        <v>1303632525</v>
      </c>
      <c r="CP92" s="230">
        <v>39740100</v>
      </c>
      <c r="CQ92" s="229">
        <v>3.0499999999999999E-2</v>
      </c>
      <c r="CR92" s="230">
        <v>745627200</v>
      </c>
      <c r="CS92" s="230">
        <v>752131425</v>
      </c>
      <c r="CT92" s="230">
        <v>-6504225</v>
      </c>
      <c r="CU92" s="229">
        <v>-8.6E-3</v>
      </c>
      <c r="CV92" s="230">
        <v>8734030575</v>
      </c>
      <c r="CW92" s="230">
        <v>8658481500</v>
      </c>
      <c r="CX92" s="230">
        <v>75549075</v>
      </c>
      <c r="CY92" s="229">
        <v>8.6999999999999994E-3</v>
      </c>
      <c r="CZ92" s="228">
        <v>54.28</v>
      </c>
      <c r="DA92" s="228">
        <v>54.1</v>
      </c>
      <c r="DB92" s="228">
        <v>0.18</v>
      </c>
      <c r="DC92" s="228">
        <v>0.18</v>
      </c>
      <c r="DD92" s="228">
        <v>65.37</v>
      </c>
      <c r="DE92" s="228">
        <v>65.52</v>
      </c>
      <c r="DF92" s="228">
        <v>-11.09</v>
      </c>
      <c r="DG92" s="228">
        <v>-0.15</v>
      </c>
      <c r="DH92" s="228">
        <v>55.98</v>
      </c>
      <c r="DI92" s="228">
        <v>54.81</v>
      </c>
      <c r="DJ92" s="228">
        <v>1.17</v>
      </c>
      <c r="DK92" s="228">
        <v>1.17</v>
      </c>
      <c r="DL92" s="228">
        <v>48.98</v>
      </c>
      <c r="DM92" s="228">
        <v>52.09</v>
      </c>
      <c r="DN92" s="228">
        <v>-3.11</v>
      </c>
      <c r="DO92" s="228">
        <v>-3.11</v>
      </c>
      <c r="DP92" s="228">
        <v>0.56000000000000005</v>
      </c>
      <c r="DQ92" s="228">
        <v>0.57999999999999996</v>
      </c>
      <c r="DR92" s="228">
        <v>-0.02</v>
      </c>
      <c r="DS92" s="229">
        <v>-3.4500000000000003E-2</v>
      </c>
      <c r="DT92" s="228">
        <v>10</v>
      </c>
      <c r="DU92" s="228">
        <v>9</v>
      </c>
      <c r="DV92" s="228">
        <v>0.32</v>
      </c>
      <c r="DW92" s="228">
        <v>0.36</v>
      </c>
      <c r="DX92" s="228">
        <v>-0.04</v>
      </c>
      <c r="DY92" s="229">
        <v>-0.1111</v>
      </c>
      <c r="DZ92" s="229">
        <v>4.5100000000000001E-2</v>
      </c>
      <c r="EA92" s="230">
        <v>270961725</v>
      </c>
      <c r="EB92" s="229">
        <v>6.4999999999999997E-3</v>
      </c>
      <c r="EC92" s="229">
        <v>4.5100000000000001E-2</v>
      </c>
      <c r="ED92" s="228">
        <v>0.05</v>
      </c>
      <c r="EE92" s="229">
        <v>5.4000000000000003E-3</v>
      </c>
      <c r="EF92" s="230">
        <v>102082128</v>
      </c>
      <c r="EG92" s="230">
        <v>196296673</v>
      </c>
      <c r="EH92" s="229">
        <v>-0.48</v>
      </c>
      <c r="EI92" s="229">
        <v>0.23599999999999999</v>
      </c>
      <c r="EJ92" s="231">
        <v>88225.64</v>
      </c>
      <c r="EK92" s="231">
        <v>24460.75</v>
      </c>
      <c r="EL92" s="231">
        <v>31083.34</v>
      </c>
      <c r="EM92" s="231">
        <v>8053</v>
      </c>
      <c r="EN92" s="231">
        <v>143769.73000000001</v>
      </c>
      <c r="EO92" s="231">
        <v>262313.62</v>
      </c>
      <c r="EP92" s="231">
        <v>-118543.89</v>
      </c>
      <c r="EQ92" s="229">
        <v>-0.45190000000000002</v>
      </c>
      <c r="ER92" s="231">
        <v>141514</v>
      </c>
      <c r="ES92" s="231">
        <v>68009</v>
      </c>
      <c r="ET92" s="231">
        <v>610209</v>
      </c>
      <c r="EU92" s="231">
        <v>12096038468</v>
      </c>
      <c r="EV92" s="231">
        <v>819733</v>
      </c>
      <c r="EW92" s="231">
        <v>818350</v>
      </c>
      <c r="EX92" s="231">
        <v>1383</v>
      </c>
      <c r="EY92" s="229">
        <v>1.6999999999999999E-3</v>
      </c>
      <c r="EZ92" s="229">
        <v>0.72209999999999996</v>
      </c>
      <c r="FA92" s="227" t="s">
        <v>566</v>
      </c>
      <c r="FB92" s="161">
        <f t="shared" si="1"/>
        <v>299766150</v>
      </c>
    </row>
    <row r="93" spans="1:158" ht="17.25" thickBot="1" x14ac:dyDescent="0.3">
      <c r="A93" s="226">
        <v>46121</v>
      </c>
      <c r="B93" s="227" t="s">
        <v>172</v>
      </c>
      <c r="C93" s="227" t="s">
        <v>235</v>
      </c>
      <c r="D93" s="228">
        <v>9275</v>
      </c>
      <c r="E93" s="228">
        <v>65.459999999999994</v>
      </c>
      <c r="F93" s="228">
        <v>66.22</v>
      </c>
      <c r="G93" s="228">
        <v>-0.76</v>
      </c>
      <c r="H93" s="229">
        <v>-1.15E-2</v>
      </c>
      <c r="I93" s="228">
        <v>65.28</v>
      </c>
      <c r="J93" s="228">
        <v>65.87</v>
      </c>
      <c r="K93" s="228">
        <v>-0.59</v>
      </c>
      <c r="L93" s="229">
        <v>-8.9999999999999993E-3</v>
      </c>
      <c r="M93" s="228">
        <v>65.459999999999994</v>
      </c>
      <c r="N93" s="228">
        <v>66.22</v>
      </c>
      <c r="O93" s="228">
        <v>-0.76</v>
      </c>
      <c r="P93" s="229">
        <v>-1.15E-2</v>
      </c>
      <c r="Q93" s="228">
        <v>65.89</v>
      </c>
      <c r="R93" s="228">
        <v>66.63</v>
      </c>
      <c r="S93" s="228">
        <v>-0.74</v>
      </c>
      <c r="T93" s="229">
        <v>-1.11E-2</v>
      </c>
      <c r="U93" s="228">
        <v>66.28</v>
      </c>
      <c r="V93" s="228">
        <v>66.98</v>
      </c>
      <c r="W93" s="228">
        <v>-0.7</v>
      </c>
      <c r="X93" s="229">
        <v>-1.0500000000000001E-2</v>
      </c>
      <c r="Y93" s="228">
        <v>0.18</v>
      </c>
      <c r="Z93" s="228">
        <v>0.35</v>
      </c>
      <c r="AA93" s="228">
        <v>-0.17</v>
      </c>
      <c r="AB93" s="229">
        <v>2.8E-3</v>
      </c>
      <c r="AC93" s="228">
        <v>0.18</v>
      </c>
      <c r="AD93" s="228">
        <v>0.35</v>
      </c>
      <c r="AE93" s="228">
        <v>-0.17</v>
      </c>
      <c r="AF93" s="229">
        <v>2.8E-3</v>
      </c>
      <c r="AG93" s="228">
        <v>0.61</v>
      </c>
      <c r="AH93" s="228">
        <v>0.76</v>
      </c>
      <c r="AI93" s="228">
        <v>-0.15</v>
      </c>
      <c r="AJ93" s="229">
        <v>9.2999999999999992E-3</v>
      </c>
      <c r="AK93" s="228">
        <v>1</v>
      </c>
      <c r="AL93" s="228">
        <v>1.1100000000000001</v>
      </c>
      <c r="AM93" s="228">
        <v>-0.11</v>
      </c>
      <c r="AN93" s="229">
        <v>1.5299999999999999E-2</v>
      </c>
      <c r="AO93" s="228">
        <v>65.72</v>
      </c>
      <c r="AP93" s="228">
        <v>66.13</v>
      </c>
      <c r="AQ93" s="228">
        <v>0</v>
      </c>
      <c r="AR93" s="230">
        <v>43397725</v>
      </c>
      <c r="AS93" s="230">
        <v>108777200</v>
      </c>
      <c r="AT93" s="230">
        <v>-65379475</v>
      </c>
      <c r="AU93" s="229">
        <v>-0.60099999999999998</v>
      </c>
      <c r="AV93" s="230">
        <v>36460025</v>
      </c>
      <c r="AW93" s="230">
        <v>99826825</v>
      </c>
      <c r="AX93" s="230">
        <v>-63366800</v>
      </c>
      <c r="AY93" s="229">
        <v>-0.63480000000000003</v>
      </c>
      <c r="AZ93" s="230">
        <v>5787600</v>
      </c>
      <c r="BA93" s="230">
        <v>7438550</v>
      </c>
      <c r="BB93" s="230">
        <v>-1650950</v>
      </c>
      <c r="BC93" s="229">
        <v>-0.22189999999999999</v>
      </c>
      <c r="BD93" s="230">
        <v>1150100</v>
      </c>
      <c r="BE93" s="230">
        <v>1511825</v>
      </c>
      <c r="BF93" s="230">
        <v>-361725</v>
      </c>
      <c r="BG93" s="229">
        <v>-0.23930000000000001</v>
      </c>
      <c r="BH93" s="230">
        <v>59360000</v>
      </c>
      <c r="BI93" s="230">
        <v>135368625</v>
      </c>
      <c r="BJ93" s="230">
        <v>-76008625</v>
      </c>
      <c r="BK93" s="229">
        <v>-0.5615</v>
      </c>
      <c r="BL93" s="230">
        <v>47998125</v>
      </c>
      <c r="BM93" s="230">
        <v>102767000</v>
      </c>
      <c r="BN93" s="230">
        <v>-54768875</v>
      </c>
      <c r="BO93" s="229">
        <v>-0.53290000000000004</v>
      </c>
      <c r="BP93" s="230">
        <v>150755850</v>
      </c>
      <c r="BQ93" s="230">
        <v>346912825</v>
      </c>
      <c r="BR93" s="230">
        <v>-196156975</v>
      </c>
      <c r="BS93" s="229">
        <v>-0.56540000000000001</v>
      </c>
      <c r="BT93" s="230">
        <v>21970983</v>
      </c>
      <c r="BU93" s="230">
        <v>46758847</v>
      </c>
      <c r="BV93" s="230">
        <v>-24787864</v>
      </c>
      <c r="BW93" s="229">
        <v>-0.53010000000000002</v>
      </c>
      <c r="BX93" s="230">
        <v>415000600</v>
      </c>
      <c r="BY93" s="230">
        <v>412320125</v>
      </c>
      <c r="BZ93" s="230">
        <v>2680475</v>
      </c>
      <c r="CA93" s="229">
        <v>6.4999999999999997E-3</v>
      </c>
      <c r="CB93" s="230">
        <v>381221050</v>
      </c>
      <c r="CC93" s="230">
        <v>381174675</v>
      </c>
      <c r="CD93" s="230">
        <v>46375</v>
      </c>
      <c r="CE93" s="229">
        <v>1E-4</v>
      </c>
      <c r="CF93" s="230">
        <v>31405150</v>
      </c>
      <c r="CG93" s="230">
        <v>29104950</v>
      </c>
      <c r="CH93" s="230">
        <v>2300200</v>
      </c>
      <c r="CI93" s="229">
        <v>7.9000000000000001E-2</v>
      </c>
      <c r="CJ93" s="230">
        <v>2374400</v>
      </c>
      <c r="CK93" s="230">
        <v>2040500</v>
      </c>
      <c r="CL93" s="230">
        <v>333900</v>
      </c>
      <c r="CM93" s="229">
        <v>0.1636</v>
      </c>
      <c r="CN93" s="230">
        <v>113915550</v>
      </c>
      <c r="CO93" s="230">
        <v>110418875</v>
      </c>
      <c r="CP93" s="230">
        <v>3496675</v>
      </c>
      <c r="CQ93" s="229">
        <v>3.1699999999999999E-2</v>
      </c>
      <c r="CR93" s="230">
        <v>95968425</v>
      </c>
      <c r="CS93" s="230">
        <v>93501275</v>
      </c>
      <c r="CT93" s="230">
        <v>2467150</v>
      </c>
      <c r="CU93" s="229">
        <v>2.64E-2</v>
      </c>
      <c r="CV93" s="230">
        <v>624884575</v>
      </c>
      <c r="CW93" s="230">
        <v>616240275</v>
      </c>
      <c r="CX93" s="230">
        <v>8644300</v>
      </c>
      <c r="CY93" s="229">
        <v>1.4E-2</v>
      </c>
      <c r="CZ93" s="228">
        <v>41.18</v>
      </c>
      <c r="DA93" s="228">
        <v>41.19</v>
      </c>
      <c r="DB93" s="228">
        <v>-0.01</v>
      </c>
      <c r="DC93" s="228">
        <v>-0.01</v>
      </c>
      <c r="DD93" s="228">
        <v>41.72</v>
      </c>
      <c r="DE93" s="228">
        <v>41.79</v>
      </c>
      <c r="DF93" s="228">
        <v>-0.54</v>
      </c>
      <c r="DG93" s="228">
        <v>-7.0000000000000007E-2</v>
      </c>
      <c r="DH93" s="228">
        <v>38.1</v>
      </c>
      <c r="DI93" s="228">
        <v>37.85</v>
      </c>
      <c r="DJ93" s="228">
        <v>0.25</v>
      </c>
      <c r="DK93" s="228">
        <v>0.25</v>
      </c>
      <c r="DL93" s="228">
        <v>45</v>
      </c>
      <c r="DM93" s="228">
        <v>45.59</v>
      </c>
      <c r="DN93" s="228">
        <v>-0.59</v>
      </c>
      <c r="DO93" s="228">
        <v>-0.59</v>
      </c>
      <c r="DP93" s="228">
        <v>0.84</v>
      </c>
      <c r="DQ93" s="228">
        <v>0.85</v>
      </c>
      <c r="DR93" s="228">
        <v>-0.01</v>
      </c>
      <c r="DS93" s="229">
        <v>-1.18E-2</v>
      </c>
      <c r="DT93" s="228">
        <v>65</v>
      </c>
      <c r="DU93" s="228">
        <v>60</v>
      </c>
      <c r="DV93" s="228">
        <v>0.81</v>
      </c>
      <c r="DW93" s="228">
        <v>0.76</v>
      </c>
      <c r="DX93" s="228">
        <v>0.05</v>
      </c>
      <c r="DY93" s="229">
        <v>6.5799999999999997E-2</v>
      </c>
      <c r="DZ93" s="229">
        <v>8.14E-2</v>
      </c>
      <c r="EA93" s="230">
        <v>31145450</v>
      </c>
      <c r="EB93" s="229">
        <v>6.6E-3</v>
      </c>
      <c r="EC93" s="229">
        <v>8.14E-2</v>
      </c>
      <c r="ED93" s="228">
        <v>0.41</v>
      </c>
      <c r="EE93" s="229">
        <v>6.1999999999999998E-3</v>
      </c>
      <c r="EF93" s="230">
        <v>7751751</v>
      </c>
      <c r="EG93" s="230">
        <v>18996401</v>
      </c>
      <c r="EH93" s="229">
        <v>-0.59189999999999998</v>
      </c>
      <c r="EI93" s="229">
        <v>0.3528</v>
      </c>
      <c r="EJ93" s="231">
        <v>41657.33</v>
      </c>
      <c r="EK93" s="231">
        <v>30093.279999999999</v>
      </c>
      <c r="EL93" s="231">
        <v>28554.67</v>
      </c>
      <c r="EM93" s="231">
        <v>6932</v>
      </c>
      <c r="EN93" s="231">
        <v>100305.28</v>
      </c>
      <c r="EO93" s="231">
        <v>228682.37</v>
      </c>
      <c r="EP93" s="231">
        <v>-128377.09</v>
      </c>
      <c r="EQ93" s="229">
        <v>-0.56140000000000001</v>
      </c>
      <c r="ER93" s="231">
        <v>77338</v>
      </c>
      <c r="ES93" s="231">
        <v>60653</v>
      </c>
      <c r="ET93" s="231">
        <v>271814</v>
      </c>
      <c r="EU93" s="231">
        <v>1101871266</v>
      </c>
      <c r="EV93" s="231">
        <v>409805</v>
      </c>
      <c r="EW93" s="231">
        <v>407053</v>
      </c>
      <c r="EX93" s="231">
        <v>2752</v>
      </c>
      <c r="EY93" s="229">
        <v>6.7999999999999996E-3</v>
      </c>
      <c r="EZ93" s="229">
        <v>0.56710000000000005</v>
      </c>
      <c r="FA93" s="227" t="s">
        <v>566</v>
      </c>
      <c r="FB93" s="161">
        <f t="shared" si="1"/>
        <v>33779550</v>
      </c>
    </row>
    <row r="94" spans="1:158" ht="17.25" thickBot="1" x14ac:dyDescent="0.3">
      <c r="A94" s="226">
        <v>46121</v>
      </c>
      <c r="B94" s="227" t="s">
        <v>161</v>
      </c>
      <c r="C94" s="227" t="s">
        <v>514</v>
      </c>
      <c r="D94" s="228">
        <v>3750</v>
      </c>
      <c r="E94" s="228">
        <v>130.15</v>
      </c>
      <c r="F94" s="228">
        <v>129.99</v>
      </c>
      <c r="G94" s="228">
        <v>0.16</v>
      </c>
      <c r="H94" s="229">
        <v>1.1999999999999999E-3</v>
      </c>
      <c r="I94" s="228">
        <v>129.69</v>
      </c>
      <c r="J94" s="228">
        <v>129.44</v>
      </c>
      <c r="K94" s="228">
        <v>0.25</v>
      </c>
      <c r="L94" s="229">
        <v>1.9E-3</v>
      </c>
      <c r="M94" s="228">
        <v>130.15</v>
      </c>
      <c r="N94" s="228">
        <v>129.99</v>
      </c>
      <c r="O94" s="228">
        <v>0.16</v>
      </c>
      <c r="P94" s="229">
        <v>1.1999999999999999E-3</v>
      </c>
      <c r="Q94" s="228">
        <v>130.19999999999999</v>
      </c>
      <c r="R94" s="228">
        <v>129.91999999999999</v>
      </c>
      <c r="S94" s="228">
        <v>0.28000000000000003</v>
      </c>
      <c r="T94" s="229">
        <v>2.2000000000000001E-3</v>
      </c>
      <c r="U94" s="228">
        <v>130.44999999999999</v>
      </c>
      <c r="V94" s="228">
        <v>130.33000000000001</v>
      </c>
      <c r="W94" s="228">
        <v>0.12</v>
      </c>
      <c r="X94" s="229">
        <v>8.9999999999999998E-4</v>
      </c>
      <c r="Y94" s="228">
        <v>0.46</v>
      </c>
      <c r="Z94" s="228">
        <v>0.55000000000000004</v>
      </c>
      <c r="AA94" s="228">
        <v>-0.09</v>
      </c>
      <c r="AB94" s="229">
        <v>3.5000000000000001E-3</v>
      </c>
      <c r="AC94" s="228">
        <v>0.46</v>
      </c>
      <c r="AD94" s="228">
        <v>0.55000000000000004</v>
      </c>
      <c r="AE94" s="228">
        <v>-0.09</v>
      </c>
      <c r="AF94" s="229">
        <v>3.5000000000000001E-3</v>
      </c>
      <c r="AG94" s="228">
        <v>0.51</v>
      </c>
      <c r="AH94" s="228">
        <v>0.48</v>
      </c>
      <c r="AI94" s="228">
        <v>0.03</v>
      </c>
      <c r="AJ94" s="229">
        <v>3.8999999999999998E-3</v>
      </c>
      <c r="AK94" s="228">
        <v>0.76</v>
      </c>
      <c r="AL94" s="228">
        <v>0.89</v>
      </c>
      <c r="AM94" s="228">
        <v>-0.13</v>
      </c>
      <c r="AN94" s="229">
        <v>5.8999999999999999E-3</v>
      </c>
      <c r="AO94" s="228">
        <v>129.16</v>
      </c>
      <c r="AP94" s="228">
        <v>129.13999999999999</v>
      </c>
      <c r="AQ94" s="228">
        <v>0</v>
      </c>
      <c r="AR94" s="230">
        <v>7207500</v>
      </c>
      <c r="AS94" s="230">
        <v>9855000</v>
      </c>
      <c r="AT94" s="230">
        <v>-2647500</v>
      </c>
      <c r="AU94" s="229">
        <v>-0.26860000000000001</v>
      </c>
      <c r="AV94" s="230">
        <v>6161250</v>
      </c>
      <c r="AW94" s="230">
        <v>8467500</v>
      </c>
      <c r="AX94" s="230">
        <v>-2306250</v>
      </c>
      <c r="AY94" s="229">
        <v>-0.27239999999999998</v>
      </c>
      <c r="AZ94" s="230">
        <v>847500</v>
      </c>
      <c r="BA94" s="230">
        <v>870000</v>
      </c>
      <c r="BB94" s="230">
        <v>-22500</v>
      </c>
      <c r="BC94" s="229">
        <v>-2.5899999999999999E-2</v>
      </c>
      <c r="BD94" s="230">
        <v>198750</v>
      </c>
      <c r="BE94" s="230">
        <v>517500</v>
      </c>
      <c r="BF94" s="230">
        <v>-318750</v>
      </c>
      <c r="BG94" s="229">
        <v>-0.6159</v>
      </c>
      <c r="BH94" s="230">
        <v>25098750</v>
      </c>
      <c r="BI94" s="230">
        <v>42363750</v>
      </c>
      <c r="BJ94" s="230">
        <v>-17265000</v>
      </c>
      <c r="BK94" s="229">
        <v>-0.40749999999999997</v>
      </c>
      <c r="BL94" s="230">
        <v>10177500</v>
      </c>
      <c r="BM94" s="230">
        <v>30187500</v>
      </c>
      <c r="BN94" s="230">
        <v>-20010000</v>
      </c>
      <c r="BO94" s="229">
        <v>-0.66290000000000004</v>
      </c>
      <c r="BP94" s="230">
        <v>42483750</v>
      </c>
      <c r="BQ94" s="230">
        <v>82406250</v>
      </c>
      <c r="BR94" s="230">
        <v>-39922500</v>
      </c>
      <c r="BS94" s="229">
        <v>-0.48449999999999999</v>
      </c>
      <c r="BT94" s="230">
        <v>5241954</v>
      </c>
      <c r="BU94" s="230">
        <v>5975980</v>
      </c>
      <c r="BV94" s="230">
        <v>-734026</v>
      </c>
      <c r="BW94" s="229">
        <v>-0.12280000000000001</v>
      </c>
      <c r="BX94" s="230">
        <v>71306250</v>
      </c>
      <c r="BY94" s="230">
        <v>72288750</v>
      </c>
      <c r="BZ94" s="230">
        <v>-982500</v>
      </c>
      <c r="CA94" s="229">
        <v>-1.3599999999999999E-2</v>
      </c>
      <c r="CB94" s="230">
        <v>64503750</v>
      </c>
      <c r="CC94" s="230">
        <v>65786250</v>
      </c>
      <c r="CD94" s="230">
        <v>-1282500</v>
      </c>
      <c r="CE94" s="229">
        <v>-1.95E-2</v>
      </c>
      <c r="CF94" s="230">
        <v>6150000</v>
      </c>
      <c r="CG94" s="230">
        <v>5898750</v>
      </c>
      <c r="CH94" s="230">
        <v>251250</v>
      </c>
      <c r="CI94" s="229">
        <v>4.2599999999999999E-2</v>
      </c>
      <c r="CJ94" s="230">
        <v>652500</v>
      </c>
      <c r="CK94" s="230">
        <v>603750</v>
      </c>
      <c r="CL94" s="230">
        <v>48750</v>
      </c>
      <c r="CM94" s="229">
        <v>8.0699999999999994E-2</v>
      </c>
      <c r="CN94" s="230">
        <v>37372500</v>
      </c>
      <c r="CO94" s="230">
        <v>36753750</v>
      </c>
      <c r="CP94" s="230">
        <v>618750</v>
      </c>
      <c r="CQ94" s="229">
        <v>1.6799999999999999E-2</v>
      </c>
      <c r="CR94" s="230">
        <v>25106250</v>
      </c>
      <c r="CS94" s="230">
        <v>24738750</v>
      </c>
      <c r="CT94" s="230">
        <v>367500</v>
      </c>
      <c r="CU94" s="229">
        <v>1.49E-2</v>
      </c>
      <c r="CV94" s="230">
        <v>133785000</v>
      </c>
      <c r="CW94" s="230">
        <v>133781250</v>
      </c>
      <c r="CX94" s="230">
        <v>3750</v>
      </c>
      <c r="CY94" s="229">
        <v>0</v>
      </c>
      <c r="CZ94" s="228">
        <v>38.08</v>
      </c>
      <c r="DA94" s="228">
        <v>38.270000000000003</v>
      </c>
      <c r="DB94" s="228">
        <v>-0.19</v>
      </c>
      <c r="DC94" s="228">
        <v>-0.19</v>
      </c>
      <c r="DD94" s="228">
        <v>52.12</v>
      </c>
      <c r="DE94" s="228">
        <v>52.25</v>
      </c>
      <c r="DF94" s="228">
        <v>-14.04</v>
      </c>
      <c r="DG94" s="228">
        <v>-0.13</v>
      </c>
      <c r="DH94" s="228">
        <v>36.340000000000003</v>
      </c>
      <c r="DI94" s="228">
        <v>34.630000000000003</v>
      </c>
      <c r="DJ94" s="228">
        <v>1.71</v>
      </c>
      <c r="DK94" s="228">
        <v>1.71</v>
      </c>
      <c r="DL94" s="228">
        <v>42.35</v>
      </c>
      <c r="DM94" s="228">
        <v>43.37</v>
      </c>
      <c r="DN94" s="228">
        <v>-1.02</v>
      </c>
      <c r="DO94" s="228">
        <v>-1.02</v>
      </c>
      <c r="DP94" s="228">
        <v>0.67</v>
      </c>
      <c r="DQ94" s="228">
        <v>0.67</v>
      </c>
      <c r="DR94" s="228">
        <v>0</v>
      </c>
      <c r="DS94" s="229">
        <v>0</v>
      </c>
      <c r="DT94" s="228">
        <v>140</v>
      </c>
      <c r="DU94" s="228">
        <v>150</v>
      </c>
      <c r="DV94" s="228">
        <v>0.41</v>
      </c>
      <c r="DW94" s="228">
        <v>0.71</v>
      </c>
      <c r="DX94" s="228">
        <v>-0.3</v>
      </c>
      <c r="DY94" s="229">
        <v>-0.42249999999999999</v>
      </c>
      <c r="DZ94" s="229">
        <v>9.5399999999999999E-2</v>
      </c>
      <c r="EA94" s="230">
        <v>6502500</v>
      </c>
      <c r="EB94" s="229">
        <v>4.0000000000000002E-4</v>
      </c>
      <c r="EC94" s="229">
        <v>9.5399999999999999E-2</v>
      </c>
      <c r="ED94" s="228">
        <v>-0.02</v>
      </c>
      <c r="EE94" s="229">
        <v>-2.0000000000000001E-4</v>
      </c>
      <c r="EF94" s="230">
        <v>1725207</v>
      </c>
      <c r="EG94" s="230">
        <v>2303018</v>
      </c>
      <c r="EH94" s="229">
        <v>-0.25090000000000001</v>
      </c>
      <c r="EI94" s="229">
        <v>0.3291</v>
      </c>
      <c r="EJ94" s="231">
        <v>34466.879999999997</v>
      </c>
      <c r="EK94" s="231">
        <v>12488.37</v>
      </c>
      <c r="EL94" s="231">
        <v>9309.4599999999991</v>
      </c>
      <c r="EM94" s="231">
        <v>2513</v>
      </c>
      <c r="EN94" s="231">
        <v>56264.71</v>
      </c>
      <c r="EO94" s="231">
        <v>106635.69</v>
      </c>
      <c r="EP94" s="231">
        <v>-50370.98</v>
      </c>
      <c r="EQ94" s="229">
        <v>-0.47239999999999999</v>
      </c>
      <c r="ER94" s="231">
        <v>48700</v>
      </c>
      <c r="ES94" s="231">
        <v>31526</v>
      </c>
      <c r="ET94" s="231">
        <v>92810</v>
      </c>
      <c r="EU94" s="231">
        <v>133395043</v>
      </c>
      <c r="EV94" s="231">
        <v>173035</v>
      </c>
      <c r="EW94" s="231">
        <v>172718</v>
      </c>
      <c r="EX94" s="228">
        <v>317</v>
      </c>
      <c r="EY94" s="229">
        <v>1.8E-3</v>
      </c>
      <c r="EZ94" s="229">
        <v>1.0028999999999999</v>
      </c>
      <c r="FA94" s="227" t="s">
        <v>694</v>
      </c>
      <c r="FB94" s="161">
        <f t="shared" si="1"/>
        <v>6802500</v>
      </c>
    </row>
    <row r="95" spans="1:158" ht="17.25" thickBot="1" x14ac:dyDescent="0.3">
      <c r="A95" s="226">
        <v>46121</v>
      </c>
      <c r="B95" s="227" t="s">
        <v>206</v>
      </c>
      <c r="C95" s="227" t="s">
        <v>501</v>
      </c>
      <c r="D95" s="228">
        <v>1000</v>
      </c>
      <c r="E95" s="228">
        <v>630.79999999999995</v>
      </c>
      <c r="F95" s="228">
        <v>639.4</v>
      </c>
      <c r="G95" s="228">
        <v>-8.6</v>
      </c>
      <c r="H95" s="229">
        <v>-1.35E-2</v>
      </c>
      <c r="I95" s="228">
        <v>629.1</v>
      </c>
      <c r="J95" s="228">
        <v>636.35</v>
      </c>
      <c r="K95" s="228">
        <v>-7.25</v>
      </c>
      <c r="L95" s="229">
        <v>-1.14E-2</v>
      </c>
      <c r="M95" s="228">
        <v>630.79999999999995</v>
      </c>
      <c r="N95" s="228">
        <v>639.4</v>
      </c>
      <c r="O95" s="228">
        <v>-8.6</v>
      </c>
      <c r="P95" s="229">
        <v>-1.35E-2</v>
      </c>
      <c r="Q95" s="228">
        <v>634.15</v>
      </c>
      <c r="R95" s="228">
        <v>643.45000000000005</v>
      </c>
      <c r="S95" s="228">
        <v>-9.3000000000000007</v>
      </c>
      <c r="T95" s="229">
        <v>-1.4500000000000001E-2</v>
      </c>
      <c r="U95" s="228">
        <v>638</v>
      </c>
      <c r="V95" s="228">
        <v>645.20000000000005</v>
      </c>
      <c r="W95" s="228">
        <v>-7.2</v>
      </c>
      <c r="X95" s="229">
        <v>-1.12E-2</v>
      </c>
      <c r="Y95" s="228">
        <v>1.7</v>
      </c>
      <c r="Z95" s="228">
        <v>3.05</v>
      </c>
      <c r="AA95" s="228">
        <v>-1.35</v>
      </c>
      <c r="AB95" s="229">
        <v>2.7000000000000001E-3</v>
      </c>
      <c r="AC95" s="228">
        <v>1.7</v>
      </c>
      <c r="AD95" s="228">
        <v>3.05</v>
      </c>
      <c r="AE95" s="228">
        <v>-1.35</v>
      </c>
      <c r="AF95" s="229">
        <v>2.7000000000000001E-3</v>
      </c>
      <c r="AG95" s="228">
        <v>5.05</v>
      </c>
      <c r="AH95" s="228">
        <v>7.1</v>
      </c>
      <c r="AI95" s="228">
        <v>-2.0499999999999998</v>
      </c>
      <c r="AJ95" s="229">
        <v>8.0000000000000002E-3</v>
      </c>
      <c r="AK95" s="228">
        <v>8.9</v>
      </c>
      <c r="AL95" s="228">
        <v>8.85</v>
      </c>
      <c r="AM95" s="228">
        <v>0.05</v>
      </c>
      <c r="AN95" s="229">
        <v>1.41E-2</v>
      </c>
      <c r="AO95" s="228">
        <v>628.79</v>
      </c>
      <c r="AP95" s="228">
        <v>632.04999999999995</v>
      </c>
      <c r="AQ95" s="228">
        <v>0</v>
      </c>
      <c r="AR95" s="230">
        <v>4175000</v>
      </c>
      <c r="AS95" s="230">
        <v>5408000</v>
      </c>
      <c r="AT95" s="230">
        <v>-1233000</v>
      </c>
      <c r="AU95" s="229">
        <v>-0.22800000000000001</v>
      </c>
      <c r="AV95" s="230">
        <v>3910000</v>
      </c>
      <c r="AW95" s="230">
        <v>5137000</v>
      </c>
      <c r="AX95" s="230">
        <v>-1227000</v>
      </c>
      <c r="AY95" s="229">
        <v>-0.2389</v>
      </c>
      <c r="AZ95" s="230">
        <v>251000</v>
      </c>
      <c r="BA95" s="230">
        <v>234000</v>
      </c>
      <c r="BB95" s="230">
        <v>17000</v>
      </c>
      <c r="BC95" s="229">
        <v>7.2599999999999998E-2</v>
      </c>
      <c r="BD95" s="230">
        <v>14000</v>
      </c>
      <c r="BE95" s="230">
        <v>37000</v>
      </c>
      <c r="BF95" s="230">
        <v>-23000</v>
      </c>
      <c r="BG95" s="229">
        <v>-0.62160000000000004</v>
      </c>
      <c r="BH95" s="230">
        <v>5046000</v>
      </c>
      <c r="BI95" s="230">
        <v>7584000</v>
      </c>
      <c r="BJ95" s="230">
        <v>-2538000</v>
      </c>
      <c r="BK95" s="229">
        <v>-0.3347</v>
      </c>
      <c r="BL95" s="230">
        <v>4257000</v>
      </c>
      <c r="BM95" s="230">
        <v>5294000</v>
      </c>
      <c r="BN95" s="230">
        <v>-1037000</v>
      </c>
      <c r="BO95" s="229">
        <v>-0.19589999999999999</v>
      </c>
      <c r="BP95" s="230">
        <v>13478000</v>
      </c>
      <c r="BQ95" s="230">
        <v>18286000</v>
      </c>
      <c r="BR95" s="230">
        <v>-4808000</v>
      </c>
      <c r="BS95" s="229">
        <v>-0.26290000000000002</v>
      </c>
      <c r="BT95" s="230">
        <v>2073460</v>
      </c>
      <c r="BU95" s="230">
        <v>3452437</v>
      </c>
      <c r="BV95" s="230">
        <v>-1378977</v>
      </c>
      <c r="BW95" s="229">
        <v>-0.39939999999999998</v>
      </c>
      <c r="BX95" s="230">
        <v>22166000</v>
      </c>
      <c r="BY95" s="230">
        <v>21879000</v>
      </c>
      <c r="BZ95" s="230">
        <v>287000</v>
      </c>
      <c r="CA95" s="229">
        <v>1.3100000000000001E-2</v>
      </c>
      <c r="CB95" s="230">
        <v>21458000</v>
      </c>
      <c r="CC95" s="230">
        <v>21201000</v>
      </c>
      <c r="CD95" s="230">
        <v>257000</v>
      </c>
      <c r="CE95" s="229">
        <v>1.21E-2</v>
      </c>
      <c r="CF95" s="230">
        <v>670000</v>
      </c>
      <c r="CG95" s="230">
        <v>644000</v>
      </c>
      <c r="CH95" s="230">
        <v>26000</v>
      </c>
      <c r="CI95" s="229">
        <v>4.0399999999999998E-2</v>
      </c>
      <c r="CJ95" s="230">
        <v>38000</v>
      </c>
      <c r="CK95" s="230">
        <v>34000</v>
      </c>
      <c r="CL95" s="230">
        <v>4000</v>
      </c>
      <c r="CM95" s="229">
        <v>0.1176</v>
      </c>
      <c r="CN95" s="230">
        <v>4956000</v>
      </c>
      <c r="CO95" s="230">
        <v>5051000</v>
      </c>
      <c r="CP95" s="230">
        <v>-95000</v>
      </c>
      <c r="CQ95" s="229">
        <v>-1.8800000000000001E-2</v>
      </c>
      <c r="CR95" s="230">
        <v>5135000</v>
      </c>
      <c r="CS95" s="230">
        <v>4981000</v>
      </c>
      <c r="CT95" s="230">
        <v>154000</v>
      </c>
      <c r="CU95" s="229">
        <v>3.09E-2</v>
      </c>
      <c r="CV95" s="230">
        <v>32257000</v>
      </c>
      <c r="CW95" s="230">
        <v>31911000</v>
      </c>
      <c r="CX95" s="230">
        <v>346000</v>
      </c>
      <c r="CY95" s="229">
        <v>1.0800000000000001E-2</v>
      </c>
      <c r="CZ95" s="228">
        <v>33.28</v>
      </c>
      <c r="DA95" s="228">
        <v>33.28</v>
      </c>
      <c r="DB95" s="228">
        <v>0</v>
      </c>
      <c r="DC95" s="228">
        <v>0</v>
      </c>
      <c r="DD95" s="228">
        <v>35.36</v>
      </c>
      <c r="DE95" s="228">
        <v>35.409999999999997</v>
      </c>
      <c r="DF95" s="228">
        <v>-2.08</v>
      </c>
      <c r="DG95" s="228">
        <v>-0.05</v>
      </c>
      <c r="DH95" s="228">
        <v>32.159999999999997</v>
      </c>
      <c r="DI95" s="228">
        <v>31.96</v>
      </c>
      <c r="DJ95" s="228">
        <v>0.2</v>
      </c>
      <c r="DK95" s="228">
        <v>0.2</v>
      </c>
      <c r="DL95" s="228">
        <v>34.61</v>
      </c>
      <c r="DM95" s="228">
        <v>35.159999999999997</v>
      </c>
      <c r="DN95" s="228">
        <v>-0.55000000000000004</v>
      </c>
      <c r="DO95" s="228">
        <v>-0.55000000000000004</v>
      </c>
      <c r="DP95" s="228">
        <v>1.04</v>
      </c>
      <c r="DQ95" s="228">
        <v>0.99</v>
      </c>
      <c r="DR95" s="228">
        <v>0.05</v>
      </c>
      <c r="DS95" s="229">
        <v>5.0500000000000003E-2</v>
      </c>
      <c r="DT95" s="228">
        <v>700</v>
      </c>
      <c r="DU95" s="228">
        <v>600</v>
      </c>
      <c r="DV95" s="228">
        <v>0.84</v>
      </c>
      <c r="DW95" s="228">
        <v>0.7</v>
      </c>
      <c r="DX95" s="228">
        <v>0.14000000000000001</v>
      </c>
      <c r="DY95" s="229">
        <v>0.2</v>
      </c>
      <c r="DZ95" s="229">
        <v>3.1899999999999998E-2</v>
      </c>
      <c r="EA95" s="230">
        <v>678000</v>
      </c>
      <c r="EB95" s="229">
        <v>5.3E-3</v>
      </c>
      <c r="EC95" s="229">
        <v>3.1899999999999998E-2</v>
      </c>
      <c r="ED95" s="228">
        <v>3.26</v>
      </c>
      <c r="EE95" s="229">
        <v>5.1999999999999998E-3</v>
      </c>
      <c r="EF95" s="230">
        <v>1070715</v>
      </c>
      <c r="EG95" s="230">
        <v>1538386</v>
      </c>
      <c r="EH95" s="229">
        <v>-0.30399999999999999</v>
      </c>
      <c r="EI95" s="229">
        <v>0.51639999999999997</v>
      </c>
      <c r="EJ95" s="231">
        <v>33746.870000000003</v>
      </c>
      <c r="EK95" s="231">
        <v>26543.17</v>
      </c>
      <c r="EL95" s="231">
        <v>26260.77</v>
      </c>
      <c r="EM95" s="231">
        <v>4206</v>
      </c>
      <c r="EN95" s="231">
        <v>86550.81</v>
      </c>
      <c r="EO95" s="231">
        <v>118194.9</v>
      </c>
      <c r="EP95" s="231">
        <v>-31644.09</v>
      </c>
      <c r="EQ95" s="229">
        <v>-0.26769999999999999</v>
      </c>
      <c r="ER95" s="231">
        <v>31381</v>
      </c>
      <c r="ES95" s="231">
        <v>31886</v>
      </c>
      <c r="ET95" s="231">
        <v>139848</v>
      </c>
      <c r="EU95" s="231">
        <v>123332004</v>
      </c>
      <c r="EV95" s="231">
        <v>203115</v>
      </c>
      <c r="EW95" s="231">
        <v>202816</v>
      </c>
      <c r="EX95" s="228">
        <v>299</v>
      </c>
      <c r="EY95" s="229">
        <v>1.5E-3</v>
      </c>
      <c r="EZ95" s="229">
        <v>0.26150000000000001</v>
      </c>
      <c r="FA95" s="227" t="s">
        <v>566</v>
      </c>
      <c r="FB95" s="161">
        <f t="shared" si="1"/>
        <v>708000</v>
      </c>
    </row>
    <row r="96" spans="1:158" ht="17.25" thickBot="1" x14ac:dyDescent="0.3">
      <c r="A96" s="226">
        <v>46121</v>
      </c>
      <c r="B96" s="227" t="s">
        <v>172</v>
      </c>
      <c r="C96" s="227" t="s">
        <v>577</v>
      </c>
      <c r="D96" s="228">
        <v>1000</v>
      </c>
      <c r="E96" s="228">
        <v>946.05</v>
      </c>
      <c r="F96" s="228">
        <v>960.8</v>
      </c>
      <c r="G96" s="228">
        <v>-14.75</v>
      </c>
      <c r="H96" s="229">
        <v>-1.54E-2</v>
      </c>
      <c r="I96" s="228">
        <v>941.85</v>
      </c>
      <c r="J96" s="228">
        <v>956.5</v>
      </c>
      <c r="K96" s="228">
        <v>-14.65</v>
      </c>
      <c r="L96" s="229">
        <v>-1.5299999999999999E-2</v>
      </c>
      <c r="M96" s="228">
        <v>946.05</v>
      </c>
      <c r="N96" s="228">
        <v>960.8</v>
      </c>
      <c r="O96" s="228">
        <v>-14.75</v>
      </c>
      <c r="P96" s="229">
        <v>-1.54E-2</v>
      </c>
      <c r="Q96" s="228">
        <v>948.5</v>
      </c>
      <c r="R96" s="228">
        <v>961.8</v>
      </c>
      <c r="S96" s="228">
        <v>-13.3</v>
      </c>
      <c r="T96" s="229">
        <v>-1.38E-2</v>
      </c>
      <c r="U96" s="228">
        <v>940.05</v>
      </c>
      <c r="V96" s="228">
        <v>958</v>
      </c>
      <c r="W96" s="228">
        <v>-17.95</v>
      </c>
      <c r="X96" s="229">
        <v>-1.8700000000000001E-2</v>
      </c>
      <c r="Y96" s="228">
        <v>4.2</v>
      </c>
      <c r="Z96" s="228">
        <v>4.3</v>
      </c>
      <c r="AA96" s="228">
        <v>-0.1</v>
      </c>
      <c r="AB96" s="229">
        <v>4.4999999999999997E-3</v>
      </c>
      <c r="AC96" s="228">
        <v>4.2</v>
      </c>
      <c r="AD96" s="228">
        <v>4.3</v>
      </c>
      <c r="AE96" s="228">
        <v>-0.1</v>
      </c>
      <c r="AF96" s="229">
        <v>4.4999999999999997E-3</v>
      </c>
      <c r="AG96" s="228">
        <v>6.65</v>
      </c>
      <c r="AH96" s="228">
        <v>5.3</v>
      </c>
      <c r="AI96" s="228">
        <v>1.35</v>
      </c>
      <c r="AJ96" s="229">
        <v>7.1000000000000004E-3</v>
      </c>
      <c r="AK96" s="228">
        <v>-1.8</v>
      </c>
      <c r="AL96" s="228">
        <v>1.5</v>
      </c>
      <c r="AM96" s="228">
        <v>-3.3</v>
      </c>
      <c r="AN96" s="229">
        <v>-1.9E-3</v>
      </c>
      <c r="AO96" s="228">
        <v>955.46</v>
      </c>
      <c r="AP96" s="228">
        <v>956.66</v>
      </c>
      <c r="AQ96" s="228">
        <v>0</v>
      </c>
      <c r="AR96" s="230">
        <v>3732000</v>
      </c>
      <c r="AS96" s="230">
        <v>3749000</v>
      </c>
      <c r="AT96" s="230">
        <v>-17000</v>
      </c>
      <c r="AU96" s="229">
        <v>-4.4999999999999997E-3</v>
      </c>
      <c r="AV96" s="230">
        <v>3553000</v>
      </c>
      <c r="AW96" s="230">
        <v>3572000</v>
      </c>
      <c r="AX96" s="230">
        <v>-19000</v>
      </c>
      <c r="AY96" s="229">
        <v>-5.3E-3</v>
      </c>
      <c r="AZ96" s="230">
        <v>152000</v>
      </c>
      <c r="BA96" s="230">
        <v>163000</v>
      </c>
      <c r="BB96" s="230">
        <v>-11000</v>
      </c>
      <c r="BC96" s="229">
        <v>-6.7500000000000004E-2</v>
      </c>
      <c r="BD96" s="230">
        <v>27000</v>
      </c>
      <c r="BE96" s="230">
        <v>14000</v>
      </c>
      <c r="BF96" s="230">
        <v>13000</v>
      </c>
      <c r="BG96" s="229">
        <v>0.92859999999999998</v>
      </c>
      <c r="BH96" s="230">
        <v>4652000</v>
      </c>
      <c r="BI96" s="230">
        <v>6601000</v>
      </c>
      <c r="BJ96" s="230">
        <v>-1949000</v>
      </c>
      <c r="BK96" s="229">
        <v>-0.29530000000000001</v>
      </c>
      <c r="BL96" s="230">
        <v>3118000</v>
      </c>
      <c r="BM96" s="230">
        <v>3025000</v>
      </c>
      <c r="BN96" s="230">
        <v>93000</v>
      </c>
      <c r="BO96" s="229">
        <v>3.0700000000000002E-2</v>
      </c>
      <c r="BP96" s="230">
        <v>11502000</v>
      </c>
      <c r="BQ96" s="230">
        <v>13375000</v>
      </c>
      <c r="BR96" s="230">
        <v>-1873000</v>
      </c>
      <c r="BS96" s="229">
        <v>-0.14000000000000001</v>
      </c>
      <c r="BT96" s="230">
        <v>2019622</v>
      </c>
      <c r="BU96" s="230">
        <v>2577906</v>
      </c>
      <c r="BV96" s="230">
        <v>-558284</v>
      </c>
      <c r="BW96" s="229">
        <v>-0.21659999999999999</v>
      </c>
      <c r="BX96" s="230">
        <v>9341000</v>
      </c>
      <c r="BY96" s="230">
        <v>9606000</v>
      </c>
      <c r="BZ96" s="230">
        <v>-265000</v>
      </c>
      <c r="CA96" s="229">
        <v>-2.76E-2</v>
      </c>
      <c r="CB96" s="230">
        <v>9186000</v>
      </c>
      <c r="CC96" s="230">
        <v>9469000</v>
      </c>
      <c r="CD96" s="230">
        <v>-283000</v>
      </c>
      <c r="CE96" s="229">
        <v>-2.9899999999999999E-2</v>
      </c>
      <c r="CF96" s="230">
        <v>127000</v>
      </c>
      <c r="CG96" s="230">
        <v>115000</v>
      </c>
      <c r="CH96" s="230">
        <v>12000</v>
      </c>
      <c r="CI96" s="229">
        <v>0.1043</v>
      </c>
      <c r="CJ96" s="230">
        <v>28000</v>
      </c>
      <c r="CK96" s="230">
        <v>22000</v>
      </c>
      <c r="CL96" s="230">
        <v>6000</v>
      </c>
      <c r="CM96" s="229">
        <v>0.2727</v>
      </c>
      <c r="CN96" s="230">
        <v>3185000</v>
      </c>
      <c r="CO96" s="230">
        <v>2821000</v>
      </c>
      <c r="CP96" s="230">
        <v>364000</v>
      </c>
      <c r="CQ96" s="229">
        <v>0.129</v>
      </c>
      <c r="CR96" s="230">
        <v>2397000</v>
      </c>
      <c r="CS96" s="230">
        <v>2332000</v>
      </c>
      <c r="CT96" s="230">
        <v>65000</v>
      </c>
      <c r="CU96" s="229">
        <v>2.7900000000000001E-2</v>
      </c>
      <c r="CV96" s="230">
        <v>14923000</v>
      </c>
      <c r="CW96" s="230">
        <v>14759000</v>
      </c>
      <c r="CX96" s="230">
        <v>164000</v>
      </c>
      <c r="CY96" s="229">
        <v>1.11E-2</v>
      </c>
      <c r="CZ96" s="228">
        <v>37.01</v>
      </c>
      <c r="DA96" s="228">
        <v>38.33</v>
      </c>
      <c r="DB96" s="228">
        <v>-1.32</v>
      </c>
      <c r="DC96" s="228">
        <v>-1.32</v>
      </c>
      <c r="DD96" s="228">
        <v>42.06</v>
      </c>
      <c r="DE96" s="228">
        <v>42.11</v>
      </c>
      <c r="DF96" s="228">
        <v>-5.05</v>
      </c>
      <c r="DG96" s="228">
        <v>-0.05</v>
      </c>
      <c r="DH96" s="228">
        <v>36.1</v>
      </c>
      <c r="DI96" s="228">
        <v>36.53</v>
      </c>
      <c r="DJ96" s="228">
        <v>-0.43</v>
      </c>
      <c r="DK96" s="228">
        <v>-0.43</v>
      </c>
      <c r="DL96" s="228">
        <v>38.380000000000003</v>
      </c>
      <c r="DM96" s="228">
        <v>42.27</v>
      </c>
      <c r="DN96" s="228">
        <v>-3.89</v>
      </c>
      <c r="DO96" s="228">
        <v>-3.89</v>
      </c>
      <c r="DP96" s="228">
        <v>0.75</v>
      </c>
      <c r="DQ96" s="228">
        <v>0.83</v>
      </c>
      <c r="DR96" s="228">
        <v>-0.08</v>
      </c>
      <c r="DS96" s="229">
        <v>-9.64E-2</v>
      </c>
      <c r="DT96" s="231">
        <v>1000</v>
      </c>
      <c r="DU96" s="228">
        <v>900</v>
      </c>
      <c r="DV96" s="228">
        <v>0.67</v>
      </c>
      <c r="DW96" s="228">
        <v>0.46</v>
      </c>
      <c r="DX96" s="228">
        <v>0.21</v>
      </c>
      <c r="DY96" s="229">
        <v>0.45650000000000002</v>
      </c>
      <c r="DZ96" s="229">
        <v>1.66E-2</v>
      </c>
      <c r="EA96" s="230">
        <v>137000</v>
      </c>
      <c r="EB96" s="229">
        <v>2.5999999999999999E-3</v>
      </c>
      <c r="EC96" s="229">
        <v>1.66E-2</v>
      </c>
      <c r="ED96" s="228">
        <v>1.2</v>
      </c>
      <c r="EE96" s="229">
        <v>1.2999999999999999E-3</v>
      </c>
      <c r="EF96" s="230">
        <v>663799</v>
      </c>
      <c r="EG96" s="230">
        <v>1143469</v>
      </c>
      <c r="EH96" s="229">
        <v>-0.41949999999999998</v>
      </c>
      <c r="EI96" s="229">
        <v>0.32869999999999999</v>
      </c>
      <c r="EJ96" s="231">
        <v>46788.97</v>
      </c>
      <c r="EK96" s="231">
        <v>29215.19</v>
      </c>
      <c r="EL96" s="231">
        <v>35658.959999999999</v>
      </c>
      <c r="EM96" s="231">
        <v>3154</v>
      </c>
      <c r="EN96" s="231">
        <v>111663.12</v>
      </c>
      <c r="EO96" s="231">
        <v>128777.25</v>
      </c>
      <c r="EP96" s="231">
        <v>-17114.13</v>
      </c>
      <c r="EQ96" s="229">
        <v>-0.13289999999999999</v>
      </c>
      <c r="ER96" s="231">
        <v>30322</v>
      </c>
      <c r="ES96" s="231">
        <v>20960</v>
      </c>
      <c r="ET96" s="231">
        <v>88372</v>
      </c>
      <c r="EU96" s="231">
        <v>52862157</v>
      </c>
      <c r="EV96" s="231">
        <v>139654</v>
      </c>
      <c r="EW96" s="231">
        <v>139218</v>
      </c>
      <c r="EX96" s="228">
        <v>436</v>
      </c>
      <c r="EY96" s="229">
        <v>3.0999999999999999E-3</v>
      </c>
      <c r="EZ96" s="229">
        <v>0.2823</v>
      </c>
      <c r="FA96" s="227" t="s">
        <v>567</v>
      </c>
      <c r="FB96" s="161">
        <f t="shared" si="1"/>
        <v>155000</v>
      </c>
    </row>
    <row r="97" spans="1:158" ht="17.25" thickBot="1" x14ac:dyDescent="0.3">
      <c r="A97" s="226">
        <v>46121</v>
      </c>
      <c r="B97" s="227" t="s">
        <v>181</v>
      </c>
      <c r="C97" s="227" t="s">
        <v>686</v>
      </c>
      <c r="D97" s="228">
        <v>1</v>
      </c>
      <c r="E97" s="228">
        <v>20.43</v>
      </c>
      <c r="F97" s="228">
        <v>19.7</v>
      </c>
      <c r="G97" s="228">
        <v>0.73</v>
      </c>
      <c r="H97" s="229">
        <v>3.6900000000000002E-2</v>
      </c>
      <c r="I97" s="228">
        <v>20.43</v>
      </c>
      <c r="J97" s="228">
        <v>19.7</v>
      </c>
      <c r="K97" s="228">
        <v>0.73</v>
      </c>
      <c r="L97" s="229">
        <v>3.6900000000000002E-2</v>
      </c>
      <c r="M97" s="228">
        <v>0</v>
      </c>
      <c r="N97" s="228">
        <v>0</v>
      </c>
      <c r="O97" s="228">
        <v>0</v>
      </c>
      <c r="P97" s="229">
        <v>0</v>
      </c>
      <c r="Q97" s="228">
        <v>0</v>
      </c>
      <c r="R97" s="228">
        <v>0</v>
      </c>
      <c r="S97" s="228">
        <v>0</v>
      </c>
      <c r="T97" s="229">
        <v>0</v>
      </c>
      <c r="U97" s="228">
        <v>0</v>
      </c>
      <c r="V97" s="228">
        <v>0</v>
      </c>
      <c r="W97" s="228">
        <v>0</v>
      </c>
      <c r="X97" s="229">
        <v>0</v>
      </c>
      <c r="Y97" s="228">
        <v>0</v>
      </c>
      <c r="Z97" s="228">
        <v>0</v>
      </c>
      <c r="AA97" s="228">
        <v>0</v>
      </c>
      <c r="AB97" s="229">
        <v>0</v>
      </c>
      <c r="AC97" s="228">
        <v>0</v>
      </c>
      <c r="AD97" s="228">
        <v>0</v>
      </c>
      <c r="AE97" s="228">
        <v>0</v>
      </c>
      <c r="AF97" s="229">
        <v>0</v>
      </c>
      <c r="AG97" s="228">
        <v>0</v>
      </c>
      <c r="AH97" s="228">
        <v>0</v>
      </c>
      <c r="AI97" s="228">
        <v>0</v>
      </c>
      <c r="AJ97" s="229">
        <v>0</v>
      </c>
      <c r="AK97" s="228">
        <v>0</v>
      </c>
      <c r="AL97" s="228">
        <v>0</v>
      </c>
      <c r="AM97" s="228">
        <v>0</v>
      </c>
      <c r="AN97" s="229">
        <v>0</v>
      </c>
      <c r="AO97" s="228">
        <v>0</v>
      </c>
      <c r="AP97" s="228">
        <v>0</v>
      </c>
      <c r="AQ97" s="228">
        <v>0</v>
      </c>
      <c r="AR97" s="228">
        <v>0</v>
      </c>
      <c r="AS97" s="228">
        <v>0</v>
      </c>
      <c r="AT97" s="228">
        <v>0</v>
      </c>
      <c r="AU97" s="229">
        <v>0</v>
      </c>
      <c r="AV97" s="228">
        <v>0</v>
      </c>
      <c r="AW97" s="228">
        <v>0</v>
      </c>
      <c r="AX97" s="228">
        <v>0</v>
      </c>
      <c r="AY97" s="229">
        <v>0</v>
      </c>
      <c r="AZ97" s="228">
        <v>0</v>
      </c>
      <c r="BA97" s="228">
        <v>0</v>
      </c>
      <c r="BB97" s="228">
        <v>0</v>
      </c>
      <c r="BC97" s="229">
        <v>0</v>
      </c>
      <c r="BD97" s="228">
        <v>0</v>
      </c>
      <c r="BE97" s="228">
        <v>0</v>
      </c>
      <c r="BF97" s="228">
        <v>0</v>
      </c>
      <c r="BG97" s="229">
        <v>0</v>
      </c>
      <c r="BH97" s="228">
        <v>0</v>
      </c>
      <c r="BI97" s="228">
        <v>0</v>
      </c>
      <c r="BJ97" s="228">
        <v>0</v>
      </c>
      <c r="BK97" s="229">
        <v>0</v>
      </c>
      <c r="BL97" s="228">
        <v>0</v>
      </c>
      <c r="BM97" s="228">
        <v>0</v>
      </c>
      <c r="BN97" s="228">
        <v>0</v>
      </c>
      <c r="BO97" s="229">
        <v>0</v>
      </c>
      <c r="BP97" s="228">
        <v>0</v>
      </c>
      <c r="BQ97" s="228">
        <v>0</v>
      </c>
      <c r="BR97" s="228">
        <v>0</v>
      </c>
      <c r="BS97" s="229">
        <v>0</v>
      </c>
      <c r="BT97" s="228">
        <v>0</v>
      </c>
      <c r="BU97" s="228">
        <v>0</v>
      </c>
      <c r="BV97" s="228">
        <v>0</v>
      </c>
      <c r="BW97" s="229">
        <v>0</v>
      </c>
      <c r="BX97" s="228">
        <v>0</v>
      </c>
      <c r="BY97" s="228">
        <v>0</v>
      </c>
      <c r="BZ97" s="228">
        <v>0</v>
      </c>
      <c r="CA97" s="229">
        <v>0</v>
      </c>
      <c r="CB97" s="228">
        <v>0</v>
      </c>
      <c r="CC97" s="228">
        <v>0</v>
      </c>
      <c r="CD97" s="228">
        <v>0</v>
      </c>
      <c r="CE97" s="229">
        <v>0</v>
      </c>
      <c r="CF97" s="228">
        <v>0</v>
      </c>
      <c r="CG97" s="228">
        <v>0</v>
      </c>
      <c r="CH97" s="228">
        <v>0</v>
      </c>
      <c r="CI97" s="229">
        <v>0</v>
      </c>
      <c r="CJ97" s="228">
        <v>0</v>
      </c>
      <c r="CK97" s="228">
        <v>0</v>
      </c>
      <c r="CL97" s="228">
        <v>0</v>
      </c>
      <c r="CM97" s="229">
        <v>0</v>
      </c>
      <c r="CN97" s="228">
        <v>0</v>
      </c>
      <c r="CO97" s="228">
        <v>0</v>
      </c>
      <c r="CP97" s="228">
        <v>0</v>
      </c>
      <c r="CQ97" s="229">
        <v>0</v>
      </c>
      <c r="CR97" s="228">
        <v>0</v>
      </c>
      <c r="CS97" s="228">
        <v>0</v>
      </c>
      <c r="CT97" s="228">
        <v>0</v>
      </c>
      <c r="CU97" s="229">
        <v>0</v>
      </c>
      <c r="CV97" s="228">
        <v>0</v>
      </c>
      <c r="CW97" s="228">
        <v>0</v>
      </c>
      <c r="CX97" s="228">
        <v>0</v>
      </c>
      <c r="CY97" s="229">
        <v>0</v>
      </c>
      <c r="CZ97" s="228">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9">
        <v>0</v>
      </c>
      <c r="DT97" s="228">
        <v>0</v>
      </c>
      <c r="DU97" s="228">
        <v>0</v>
      </c>
      <c r="DV97" s="228">
        <v>0</v>
      </c>
      <c r="DW97" s="228">
        <v>0</v>
      </c>
      <c r="DX97" s="228">
        <v>0</v>
      </c>
      <c r="DY97" s="229">
        <v>0</v>
      </c>
      <c r="DZ97" s="229">
        <v>0</v>
      </c>
      <c r="EA97" s="228">
        <v>0</v>
      </c>
      <c r="EB97" s="229">
        <v>0</v>
      </c>
      <c r="EC97" s="229">
        <v>0</v>
      </c>
      <c r="ED97" s="228">
        <v>0</v>
      </c>
      <c r="EE97" s="229">
        <v>0</v>
      </c>
      <c r="EF97" s="228">
        <v>0</v>
      </c>
      <c r="EG97" s="228">
        <v>0</v>
      </c>
      <c r="EH97" s="229">
        <v>0</v>
      </c>
      <c r="EI97" s="229">
        <v>0</v>
      </c>
      <c r="EJ97" s="228">
        <v>0</v>
      </c>
      <c r="EK97" s="228">
        <v>0</v>
      </c>
      <c r="EL97" s="228">
        <v>0</v>
      </c>
      <c r="EM97" s="228">
        <v>0</v>
      </c>
      <c r="EN97" s="228">
        <v>0</v>
      </c>
      <c r="EO97" s="228">
        <v>0</v>
      </c>
      <c r="EP97" s="228">
        <v>0</v>
      </c>
      <c r="EQ97" s="229">
        <v>0</v>
      </c>
      <c r="ER97" s="228">
        <v>0</v>
      </c>
      <c r="ES97" s="228">
        <v>0</v>
      </c>
      <c r="ET97" s="228">
        <v>0</v>
      </c>
      <c r="EU97" s="228">
        <v>0</v>
      </c>
      <c r="EV97" s="228">
        <v>0</v>
      </c>
      <c r="EW97" s="228">
        <v>0</v>
      </c>
      <c r="EX97" s="228">
        <v>0</v>
      </c>
      <c r="EY97" s="229">
        <v>0</v>
      </c>
      <c r="EZ97" s="229">
        <v>0</v>
      </c>
      <c r="FA97" s="227" t="s">
        <v>237</v>
      </c>
      <c r="FB97" s="161">
        <f t="shared" si="1"/>
        <v>0</v>
      </c>
    </row>
    <row r="98" spans="1:158" ht="17.25" thickBot="1" x14ac:dyDescent="0.3">
      <c r="A98" s="226">
        <v>46121</v>
      </c>
      <c r="B98" s="227" t="s">
        <v>215</v>
      </c>
      <c r="C98" s="227" t="s">
        <v>238</v>
      </c>
      <c r="D98" s="228">
        <v>150</v>
      </c>
      <c r="E98" s="231">
        <v>4470.6000000000004</v>
      </c>
      <c r="F98" s="231">
        <v>4624.8</v>
      </c>
      <c r="G98" s="228">
        <v>-154.19999999999999</v>
      </c>
      <c r="H98" s="229">
        <v>-3.3300000000000003E-2</v>
      </c>
      <c r="I98" s="231">
        <v>4449.1000000000004</v>
      </c>
      <c r="J98" s="231">
        <v>4615.5</v>
      </c>
      <c r="K98" s="228">
        <v>-166.4</v>
      </c>
      <c r="L98" s="229">
        <v>-3.61E-2</v>
      </c>
      <c r="M98" s="231">
        <v>4470.6000000000004</v>
      </c>
      <c r="N98" s="231">
        <v>4624.8</v>
      </c>
      <c r="O98" s="228">
        <v>-154.19999999999999</v>
      </c>
      <c r="P98" s="229">
        <v>-3.3300000000000003E-2</v>
      </c>
      <c r="Q98" s="231">
        <v>4485.3999999999996</v>
      </c>
      <c r="R98" s="231">
        <v>4637.8999999999996</v>
      </c>
      <c r="S98" s="228">
        <v>-152.5</v>
      </c>
      <c r="T98" s="229">
        <v>-3.2899999999999999E-2</v>
      </c>
      <c r="U98" s="231">
        <v>4508.2</v>
      </c>
      <c r="V98" s="231">
        <v>4660.6000000000004</v>
      </c>
      <c r="W98" s="228">
        <v>-152.4</v>
      </c>
      <c r="X98" s="229">
        <v>-3.27E-2</v>
      </c>
      <c r="Y98" s="228">
        <v>21.5</v>
      </c>
      <c r="Z98" s="228">
        <v>9.3000000000000007</v>
      </c>
      <c r="AA98" s="228">
        <v>12.2</v>
      </c>
      <c r="AB98" s="229">
        <v>4.7999999999999996E-3</v>
      </c>
      <c r="AC98" s="228">
        <v>21.5</v>
      </c>
      <c r="AD98" s="228">
        <v>9.3000000000000007</v>
      </c>
      <c r="AE98" s="228">
        <v>12.2</v>
      </c>
      <c r="AF98" s="229">
        <v>4.7999999999999996E-3</v>
      </c>
      <c r="AG98" s="228">
        <v>36.299999999999997</v>
      </c>
      <c r="AH98" s="228">
        <v>22.4</v>
      </c>
      <c r="AI98" s="228">
        <v>13.9</v>
      </c>
      <c r="AJ98" s="229">
        <v>8.2000000000000007E-3</v>
      </c>
      <c r="AK98" s="228">
        <v>59.1</v>
      </c>
      <c r="AL98" s="228">
        <v>45.1</v>
      </c>
      <c r="AM98" s="228">
        <v>14</v>
      </c>
      <c r="AN98" s="229">
        <v>1.3299999999999999E-2</v>
      </c>
      <c r="AO98" s="231">
        <v>4512.18</v>
      </c>
      <c r="AP98" s="231">
        <v>4528.68</v>
      </c>
      <c r="AQ98" s="228">
        <v>0</v>
      </c>
      <c r="AR98" s="230">
        <v>1723350</v>
      </c>
      <c r="AS98" s="230">
        <v>4845150</v>
      </c>
      <c r="AT98" s="230">
        <v>-3121800</v>
      </c>
      <c r="AU98" s="229">
        <v>-0.64429999999999998</v>
      </c>
      <c r="AV98" s="230">
        <v>1611600</v>
      </c>
      <c r="AW98" s="230">
        <v>4567800</v>
      </c>
      <c r="AX98" s="230">
        <v>-2956200</v>
      </c>
      <c r="AY98" s="229">
        <v>-0.6472</v>
      </c>
      <c r="AZ98" s="230">
        <v>96450</v>
      </c>
      <c r="BA98" s="230">
        <v>235050</v>
      </c>
      <c r="BB98" s="230">
        <v>-138600</v>
      </c>
      <c r="BC98" s="229">
        <v>-0.5897</v>
      </c>
      <c r="BD98" s="230">
        <v>15300</v>
      </c>
      <c r="BE98" s="230">
        <v>42300</v>
      </c>
      <c r="BF98" s="230">
        <v>-27000</v>
      </c>
      <c r="BG98" s="229">
        <v>-0.63829999999999998</v>
      </c>
      <c r="BH98" s="230">
        <v>8722050</v>
      </c>
      <c r="BI98" s="230">
        <v>19748850</v>
      </c>
      <c r="BJ98" s="230">
        <v>-11026800</v>
      </c>
      <c r="BK98" s="229">
        <v>-0.55840000000000001</v>
      </c>
      <c r="BL98" s="230">
        <v>6416850</v>
      </c>
      <c r="BM98" s="230">
        <v>10792200</v>
      </c>
      <c r="BN98" s="230">
        <v>-4375350</v>
      </c>
      <c r="BO98" s="229">
        <v>-0.40539999999999998</v>
      </c>
      <c r="BP98" s="230">
        <v>16862250</v>
      </c>
      <c r="BQ98" s="230">
        <v>35386200</v>
      </c>
      <c r="BR98" s="230">
        <v>-18523950</v>
      </c>
      <c r="BS98" s="229">
        <v>-0.52349999999999997</v>
      </c>
      <c r="BT98" s="230">
        <v>1993667</v>
      </c>
      <c r="BU98" s="230">
        <v>5751624</v>
      </c>
      <c r="BV98" s="230">
        <v>-3757957</v>
      </c>
      <c r="BW98" s="229">
        <v>-0.65339999999999998</v>
      </c>
      <c r="BX98" s="230">
        <v>7544400</v>
      </c>
      <c r="BY98" s="230">
        <v>7300050</v>
      </c>
      <c r="BZ98" s="230">
        <v>244350</v>
      </c>
      <c r="CA98" s="229">
        <v>3.3500000000000002E-2</v>
      </c>
      <c r="CB98" s="230">
        <v>7263150</v>
      </c>
      <c r="CC98" s="230">
        <v>7053150</v>
      </c>
      <c r="CD98" s="230">
        <v>210000</v>
      </c>
      <c r="CE98" s="229">
        <v>2.98E-2</v>
      </c>
      <c r="CF98" s="230">
        <v>238950</v>
      </c>
      <c r="CG98" s="230">
        <v>212250</v>
      </c>
      <c r="CH98" s="230">
        <v>26700</v>
      </c>
      <c r="CI98" s="229">
        <v>0.1258</v>
      </c>
      <c r="CJ98" s="230">
        <v>42300</v>
      </c>
      <c r="CK98" s="230">
        <v>34650</v>
      </c>
      <c r="CL98" s="230">
        <v>7650</v>
      </c>
      <c r="CM98" s="229">
        <v>0.2208</v>
      </c>
      <c r="CN98" s="230">
        <v>5758950</v>
      </c>
      <c r="CO98" s="230">
        <v>4719150</v>
      </c>
      <c r="CP98" s="230">
        <v>1039800</v>
      </c>
      <c r="CQ98" s="229">
        <v>0.2203</v>
      </c>
      <c r="CR98" s="230">
        <v>3322200</v>
      </c>
      <c r="CS98" s="230">
        <v>2958750</v>
      </c>
      <c r="CT98" s="230">
        <v>363450</v>
      </c>
      <c r="CU98" s="229">
        <v>0.12280000000000001</v>
      </c>
      <c r="CV98" s="230">
        <v>16625550</v>
      </c>
      <c r="CW98" s="230">
        <v>14977950</v>
      </c>
      <c r="CX98" s="230">
        <v>1647600</v>
      </c>
      <c r="CY98" s="229">
        <v>0.11</v>
      </c>
      <c r="CZ98" s="228">
        <v>40.630000000000003</v>
      </c>
      <c r="DA98" s="228">
        <v>40.25</v>
      </c>
      <c r="DB98" s="228">
        <v>0.38</v>
      </c>
      <c r="DC98" s="228">
        <v>0.38</v>
      </c>
      <c r="DD98" s="228">
        <v>39.93</v>
      </c>
      <c r="DE98" s="228">
        <v>39.72</v>
      </c>
      <c r="DF98" s="228">
        <v>0.7</v>
      </c>
      <c r="DG98" s="228">
        <v>0.21</v>
      </c>
      <c r="DH98" s="228">
        <v>38.82</v>
      </c>
      <c r="DI98" s="228">
        <v>38.71</v>
      </c>
      <c r="DJ98" s="228">
        <v>0.11</v>
      </c>
      <c r="DK98" s="228">
        <v>0.11</v>
      </c>
      <c r="DL98" s="228">
        <v>43.08</v>
      </c>
      <c r="DM98" s="228">
        <v>43.05</v>
      </c>
      <c r="DN98" s="228">
        <v>0.03</v>
      </c>
      <c r="DO98" s="228">
        <v>0.03</v>
      </c>
      <c r="DP98" s="228">
        <v>0.57999999999999996</v>
      </c>
      <c r="DQ98" s="228">
        <v>0.63</v>
      </c>
      <c r="DR98" s="228">
        <v>-0.05</v>
      </c>
      <c r="DS98" s="229">
        <v>-7.9399999999999998E-2</v>
      </c>
      <c r="DT98" s="231">
        <v>4700</v>
      </c>
      <c r="DU98" s="231">
        <v>4200</v>
      </c>
      <c r="DV98" s="228">
        <v>0.74</v>
      </c>
      <c r="DW98" s="228">
        <v>0.55000000000000004</v>
      </c>
      <c r="DX98" s="228">
        <v>0.19</v>
      </c>
      <c r="DY98" s="229">
        <v>0.34549999999999997</v>
      </c>
      <c r="DZ98" s="229">
        <v>3.73E-2</v>
      </c>
      <c r="EA98" s="230">
        <v>246900</v>
      </c>
      <c r="EB98" s="229">
        <v>3.3E-3</v>
      </c>
      <c r="EC98" s="229">
        <v>3.73E-2</v>
      </c>
      <c r="ED98" s="228">
        <v>16.5</v>
      </c>
      <c r="EE98" s="229">
        <v>3.7000000000000002E-3</v>
      </c>
      <c r="EF98" s="230">
        <v>830044</v>
      </c>
      <c r="EG98" s="230">
        <v>2157550</v>
      </c>
      <c r="EH98" s="229">
        <v>-0.61529999999999996</v>
      </c>
      <c r="EI98" s="229">
        <v>0.4163</v>
      </c>
      <c r="EJ98" s="231">
        <v>422902.49</v>
      </c>
      <c r="EK98" s="231">
        <v>283377.53999999998</v>
      </c>
      <c r="EL98" s="231">
        <v>77783.649999999994</v>
      </c>
      <c r="EM98" s="231">
        <v>19147</v>
      </c>
      <c r="EN98" s="231">
        <v>784063.68</v>
      </c>
      <c r="EO98" s="231">
        <v>1688642.99</v>
      </c>
      <c r="EP98" s="231">
        <v>-904579.31</v>
      </c>
      <c r="EQ98" s="229">
        <v>-0.53569999999999995</v>
      </c>
      <c r="ER98" s="231">
        <v>268977</v>
      </c>
      <c r="ES98" s="231">
        <v>140998</v>
      </c>
      <c r="ET98" s="231">
        <v>337331</v>
      </c>
      <c r="EU98" s="231">
        <v>33878797</v>
      </c>
      <c r="EV98" s="231">
        <v>747307</v>
      </c>
      <c r="EW98" s="231">
        <v>681860</v>
      </c>
      <c r="EX98" s="231">
        <v>65447</v>
      </c>
      <c r="EY98" s="229">
        <v>9.6000000000000002E-2</v>
      </c>
      <c r="EZ98" s="229">
        <v>0.49070000000000003</v>
      </c>
      <c r="FA98" s="227" t="s">
        <v>566</v>
      </c>
      <c r="FB98" s="161">
        <f t="shared" si="1"/>
        <v>281250</v>
      </c>
    </row>
    <row r="99" spans="1:158" ht="17.25" thickBot="1" x14ac:dyDescent="0.3">
      <c r="A99" s="226">
        <v>46121</v>
      </c>
      <c r="B99" s="227" t="s">
        <v>172</v>
      </c>
      <c r="C99" s="227" t="s">
        <v>239</v>
      </c>
      <c r="D99" s="228">
        <v>700</v>
      </c>
      <c r="E99" s="228">
        <v>817.25</v>
      </c>
      <c r="F99" s="228">
        <v>837.15</v>
      </c>
      <c r="G99" s="228">
        <v>-19.899999999999999</v>
      </c>
      <c r="H99" s="229">
        <v>-2.3800000000000002E-2</v>
      </c>
      <c r="I99" s="228">
        <v>814.55</v>
      </c>
      <c r="J99" s="228">
        <v>835.95</v>
      </c>
      <c r="K99" s="228">
        <v>-21.4</v>
      </c>
      <c r="L99" s="229">
        <v>-2.5600000000000001E-2</v>
      </c>
      <c r="M99" s="228">
        <v>817.25</v>
      </c>
      <c r="N99" s="228">
        <v>837.15</v>
      </c>
      <c r="O99" s="228">
        <v>-19.899999999999999</v>
      </c>
      <c r="P99" s="229">
        <v>-2.3800000000000002E-2</v>
      </c>
      <c r="Q99" s="228">
        <v>821.35</v>
      </c>
      <c r="R99" s="228">
        <v>841.95</v>
      </c>
      <c r="S99" s="228">
        <v>-20.6</v>
      </c>
      <c r="T99" s="229">
        <v>-2.4500000000000001E-2</v>
      </c>
      <c r="U99" s="228">
        <v>823.05</v>
      </c>
      <c r="V99" s="228">
        <v>846.3</v>
      </c>
      <c r="W99" s="228">
        <v>-23.25</v>
      </c>
      <c r="X99" s="229">
        <v>-2.75E-2</v>
      </c>
      <c r="Y99" s="228">
        <v>2.7</v>
      </c>
      <c r="Z99" s="228">
        <v>1.2</v>
      </c>
      <c r="AA99" s="228">
        <v>1.5</v>
      </c>
      <c r="AB99" s="229">
        <v>3.3E-3</v>
      </c>
      <c r="AC99" s="228">
        <v>2.7</v>
      </c>
      <c r="AD99" s="228">
        <v>1.2</v>
      </c>
      <c r="AE99" s="228">
        <v>1.5</v>
      </c>
      <c r="AF99" s="229">
        <v>3.3E-3</v>
      </c>
      <c r="AG99" s="228">
        <v>6.8</v>
      </c>
      <c r="AH99" s="228">
        <v>6</v>
      </c>
      <c r="AI99" s="228">
        <v>0.8</v>
      </c>
      <c r="AJ99" s="229">
        <v>8.3000000000000001E-3</v>
      </c>
      <c r="AK99" s="228">
        <v>8.5</v>
      </c>
      <c r="AL99" s="228">
        <v>10.35</v>
      </c>
      <c r="AM99" s="228">
        <v>-1.85</v>
      </c>
      <c r="AN99" s="229">
        <v>1.04E-2</v>
      </c>
      <c r="AO99" s="228">
        <v>823.48</v>
      </c>
      <c r="AP99" s="228">
        <v>829.25</v>
      </c>
      <c r="AQ99" s="228">
        <v>0</v>
      </c>
      <c r="AR99" s="230">
        <v>5892600</v>
      </c>
      <c r="AS99" s="230">
        <v>6698300</v>
      </c>
      <c r="AT99" s="230">
        <v>-805700</v>
      </c>
      <c r="AU99" s="229">
        <v>-0.1203</v>
      </c>
      <c r="AV99" s="230">
        <v>4981200</v>
      </c>
      <c r="AW99" s="230">
        <v>6358100</v>
      </c>
      <c r="AX99" s="230">
        <v>-1376900</v>
      </c>
      <c r="AY99" s="229">
        <v>-0.21659999999999999</v>
      </c>
      <c r="AZ99" s="230">
        <v>566300</v>
      </c>
      <c r="BA99" s="230">
        <v>253400</v>
      </c>
      <c r="BB99" s="230">
        <v>312900</v>
      </c>
      <c r="BC99" s="229">
        <v>1.2347999999999999</v>
      </c>
      <c r="BD99" s="230">
        <v>345100</v>
      </c>
      <c r="BE99" s="230">
        <v>86800</v>
      </c>
      <c r="BF99" s="230">
        <v>258300</v>
      </c>
      <c r="BG99" s="229">
        <v>2.9758</v>
      </c>
      <c r="BH99" s="230">
        <v>6895000</v>
      </c>
      <c r="BI99" s="230">
        <v>9394700</v>
      </c>
      <c r="BJ99" s="230">
        <v>-2499700</v>
      </c>
      <c r="BK99" s="229">
        <v>-0.2661</v>
      </c>
      <c r="BL99" s="230">
        <v>4868500</v>
      </c>
      <c r="BM99" s="230">
        <v>7749000</v>
      </c>
      <c r="BN99" s="230">
        <v>-2880500</v>
      </c>
      <c r="BO99" s="229">
        <v>-0.37169999999999997</v>
      </c>
      <c r="BP99" s="230">
        <v>17656100</v>
      </c>
      <c r="BQ99" s="230">
        <v>23842000</v>
      </c>
      <c r="BR99" s="230">
        <v>-6185900</v>
      </c>
      <c r="BS99" s="229">
        <v>-0.25950000000000001</v>
      </c>
      <c r="BT99" s="230">
        <v>3230444</v>
      </c>
      <c r="BU99" s="230">
        <v>3636229</v>
      </c>
      <c r="BV99" s="230">
        <v>-405785</v>
      </c>
      <c r="BW99" s="229">
        <v>-0.1116</v>
      </c>
      <c r="BX99" s="230">
        <v>38488100</v>
      </c>
      <c r="BY99" s="230">
        <v>38751300</v>
      </c>
      <c r="BZ99" s="230">
        <v>-263200</v>
      </c>
      <c r="CA99" s="229">
        <v>-6.7999999999999996E-3</v>
      </c>
      <c r="CB99" s="230">
        <v>36986600</v>
      </c>
      <c r="CC99" s="230">
        <v>37450000</v>
      </c>
      <c r="CD99" s="230">
        <v>-463400</v>
      </c>
      <c r="CE99" s="229">
        <v>-1.24E-2</v>
      </c>
      <c r="CF99" s="230">
        <v>1201900</v>
      </c>
      <c r="CG99" s="230">
        <v>1131900</v>
      </c>
      <c r="CH99" s="230">
        <v>70000</v>
      </c>
      <c r="CI99" s="229">
        <v>6.1800000000000001E-2</v>
      </c>
      <c r="CJ99" s="230">
        <v>299600</v>
      </c>
      <c r="CK99" s="230">
        <v>169400</v>
      </c>
      <c r="CL99" s="230">
        <v>130200</v>
      </c>
      <c r="CM99" s="229">
        <v>0.76859999999999995</v>
      </c>
      <c r="CN99" s="230">
        <v>5898200</v>
      </c>
      <c r="CO99" s="230">
        <v>5589500</v>
      </c>
      <c r="CP99" s="230">
        <v>308700</v>
      </c>
      <c r="CQ99" s="229">
        <v>5.5199999999999999E-2</v>
      </c>
      <c r="CR99" s="230">
        <v>6212500</v>
      </c>
      <c r="CS99" s="230">
        <v>5748400</v>
      </c>
      <c r="CT99" s="230">
        <v>464100</v>
      </c>
      <c r="CU99" s="229">
        <v>8.0699999999999994E-2</v>
      </c>
      <c r="CV99" s="230">
        <v>50598800</v>
      </c>
      <c r="CW99" s="230">
        <v>50089200</v>
      </c>
      <c r="CX99" s="230">
        <v>509600</v>
      </c>
      <c r="CY99" s="229">
        <v>1.0200000000000001E-2</v>
      </c>
      <c r="CZ99" s="228">
        <v>40.06</v>
      </c>
      <c r="DA99" s="228">
        <v>38.9</v>
      </c>
      <c r="DB99" s="228">
        <v>1.1599999999999999</v>
      </c>
      <c r="DC99" s="228">
        <v>1.1599999999999999</v>
      </c>
      <c r="DD99" s="228">
        <v>43.62</v>
      </c>
      <c r="DE99" s="228">
        <v>43.59</v>
      </c>
      <c r="DF99" s="228">
        <v>-3.56</v>
      </c>
      <c r="DG99" s="228">
        <v>0.03</v>
      </c>
      <c r="DH99" s="228">
        <v>37.92</v>
      </c>
      <c r="DI99" s="228">
        <v>36.56</v>
      </c>
      <c r="DJ99" s="228">
        <v>1.36</v>
      </c>
      <c r="DK99" s="228">
        <v>1.36</v>
      </c>
      <c r="DL99" s="228">
        <v>43.09</v>
      </c>
      <c r="DM99" s="228">
        <v>41.74</v>
      </c>
      <c r="DN99" s="228">
        <v>1.35</v>
      </c>
      <c r="DO99" s="228">
        <v>1.35</v>
      </c>
      <c r="DP99" s="228">
        <v>1.05</v>
      </c>
      <c r="DQ99" s="228">
        <v>1.03</v>
      </c>
      <c r="DR99" s="228">
        <v>0.02</v>
      </c>
      <c r="DS99" s="229">
        <v>1.9400000000000001E-2</v>
      </c>
      <c r="DT99" s="228">
        <v>900</v>
      </c>
      <c r="DU99" s="228">
        <v>780</v>
      </c>
      <c r="DV99" s="228">
        <v>0.71</v>
      </c>
      <c r="DW99" s="228">
        <v>0.82</v>
      </c>
      <c r="DX99" s="228">
        <v>-0.11</v>
      </c>
      <c r="DY99" s="229">
        <v>-0.1341</v>
      </c>
      <c r="DZ99" s="229">
        <v>3.9E-2</v>
      </c>
      <c r="EA99" s="230">
        <v>1301300</v>
      </c>
      <c r="EB99" s="229">
        <v>5.0000000000000001E-3</v>
      </c>
      <c r="EC99" s="229">
        <v>3.9E-2</v>
      </c>
      <c r="ED99" s="228">
        <v>5.77</v>
      </c>
      <c r="EE99" s="229">
        <v>7.0000000000000001E-3</v>
      </c>
      <c r="EF99" s="230">
        <v>1515618</v>
      </c>
      <c r="EG99" s="230">
        <v>1606471</v>
      </c>
      <c r="EH99" s="229">
        <v>-5.6599999999999998E-2</v>
      </c>
      <c r="EI99" s="229">
        <v>0.46920000000000001</v>
      </c>
      <c r="EJ99" s="231">
        <v>59894.26</v>
      </c>
      <c r="EK99" s="231">
        <v>39469.82</v>
      </c>
      <c r="EL99" s="231">
        <v>48584.91</v>
      </c>
      <c r="EM99" s="231">
        <v>7531</v>
      </c>
      <c r="EN99" s="231">
        <v>147948.99</v>
      </c>
      <c r="EO99" s="231">
        <v>200806.8</v>
      </c>
      <c r="EP99" s="231">
        <v>-52857.81</v>
      </c>
      <c r="EQ99" s="229">
        <v>-0.26319999999999999</v>
      </c>
      <c r="ER99" s="231">
        <v>49693</v>
      </c>
      <c r="ES99" s="231">
        <v>48882</v>
      </c>
      <c r="ET99" s="231">
        <v>314611</v>
      </c>
      <c r="EU99" s="231">
        <v>93808799</v>
      </c>
      <c r="EV99" s="231">
        <v>413185</v>
      </c>
      <c r="EW99" s="231">
        <v>416910</v>
      </c>
      <c r="EX99" s="231">
        <v>-3725</v>
      </c>
      <c r="EY99" s="229">
        <v>-8.8999999999999999E-3</v>
      </c>
      <c r="EZ99" s="229">
        <v>0.53939999999999999</v>
      </c>
      <c r="FA99" s="227" t="s">
        <v>567</v>
      </c>
      <c r="FB99" s="161">
        <f t="shared" si="1"/>
        <v>1501500</v>
      </c>
    </row>
    <row r="100" spans="1:158" ht="17.25" thickBot="1" x14ac:dyDescent="0.3">
      <c r="A100" s="226">
        <v>46121</v>
      </c>
      <c r="B100" s="227" t="s">
        <v>188</v>
      </c>
      <c r="C100" s="227" t="s">
        <v>473</v>
      </c>
      <c r="D100" s="228">
        <v>1700</v>
      </c>
      <c r="E100" s="228">
        <v>439.7</v>
      </c>
      <c r="F100" s="228">
        <v>442.65</v>
      </c>
      <c r="G100" s="228">
        <v>-2.95</v>
      </c>
      <c r="H100" s="229">
        <v>-6.7000000000000002E-3</v>
      </c>
      <c r="I100" s="228">
        <v>438.45</v>
      </c>
      <c r="J100" s="228">
        <v>440.95</v>
      </c>
      <c r="K100" s="228">
        <v>-2.5</v>
      </c>
      <c r="L100" s="229">
        <v>-5.7000000000000002E-3</v>
      </c>
      <c r="M100" s="228">
        <v>439.7</v>
      </c>
      <c r="N100" s="228">
        <v>442.65</v>
      </c>
      <c r="O100" s="228">
        <v>-2.95</v>
      </c>
      <c r="P100" s="229">
        <v>-6.7000000000000002E-3</v>
      </c>
      <c r="Q100" s="228">
        <v>442</v>
      </c>
      <c r="R100" s="228">
        <v>445.3</v>
      </c>
      <c r="S100" s="228">
        <v>-3.3</v>
      </c>
      <c r="T100" s="229">
        <v>-7.4000000000000003E-3</v>
      </c>
      <c r="U100" s="228">
        <v>444.85</v>
      </c>
      <c r="V100" s="228">
        <v>447.65</v>
      </c>
      <c r="W100" s="228">
        <v>-2.8</v>
      </c>
      <c r="X100" s="229">
        <v>-6.3E-3</v>
      </c>
      <c r="Y100" s="228">
        <v>1.25</v>
      </c>
      <c r="Z100" s="228">
        <v>1.7</v>
      </c>
      <c r="AA100" s="228">
        <v>-0.45</v>
      </c>
      <c r="AB100" s="229">
        <v>2.8999999999999998E-3</v>
      </c>
      <c r="AC100" s="228">
        <v>1.25</v>
      </c>
      <c r="AD100" s="228">
        <v>1.7</v>
      </c>
      <c r="AE100" s="228">
        <v>-0.45</v>
      </c>
      <c r="AF100" s="229">
        <v>2.8999999999999998E-3</v>
      </c>
      <c r="AG100" s="228">
        <v>3.55</v>
      </c>
      <c r="AH100" s="228">
        <v>4.3499999999999996</v>
      </c>
      <c r="AI100" s="228">
        <v>-0.8</v>
      </c>
      <c r="AJ100" s="229">
        <v>8.0999999999999996E-3</v>
      </c>
      <c r="AK100" s="228">
        <v>6.4</v>
      </c>
      <c r="AL100" s="228">
        <v>6.7</v>
      </c>
      <c r="AM100" s="228">
        <v>-0.3</v>
      </c>
      <c r="AN100" s="229">
        <v>1.46E-2</v>
      </c>
      <c r="AO100" s="228">
        <v>438.48</v>
      </c>
      <c r="AP100" s="228">
        <v>441.48</v>
      </c>
      <c r="AQ100" s="228">
        <v>0</v>
      </c>
      <c r="AR100" s="230">
        <v>8576500</v>
      </c>
      <c r="AS100" s="230">
        <v>11417200</v>
      </c>
      <c r="AT100" s="230">
        <v>-2840700</v>
      </c>
      <c r="AU100" s="229">
        <v>-0.24879999999999999</v>
      </c>
      <c r="AV100" s="230">
        <v>8296000</v>
      </c>
      <c r="AW100" s="230">
        <v>10980300</v>
      </c>
      <c r="AX100" s="230">
        <v>-2684300</v>
      </c>
      <c r="AY100" s="229">
        <v>-0.2445</v>
      </c>
      <c r="AZ100" s="230">
        <v>249900</v>
      </c>
      <c r="BA100" s="230">
        <v>385900</v>
      </c>
      <c r="BB100" s="230">
        <v>-136000</v>
      </c>
      <c r="BC100" s="229">
        <v>-0.35239999999999999</v>
      </c>
      <c r="BD100" s="230">
        <v>30600</v>
      </c>
      <c r="BE100" s="230">
        <v>51000</v>
      </c>
      <c r="BF100" s="230">
        <v>-20400</v>
      </c>
      <c r="BG100" s="229">
        <v>-0.4</v>
      </c>
      <c r="BH100" s="230">
        <v>19390200</v>
      </c>
      <c r="BI100" s="230">
        <v>27954800</v>
      </c>
      <c r="BJ100" s="230">
        <v>-8564600</v>
      </c>
      <c r="BK100" s="229">
        <v>-0.30640000000000001</v>
      </c>
      <c r="BL100" s="230">
        <v>7359300</v>
      </c>
      <c r="BM100" s="230">
        <v>12275700</v>
      </c>
      <c r="BN100" s="230">
        <v>-4916400</v>
      </c>
      <c r="BO100" s="229">
        <v>-0.40050000000000002</v>
      </c>
      <c r="BP100" s="230">
        <v>35326000</v>
      </c>
      <c r="BQ100" s="230">
        <v>51647700</v>
      </c>
      <c r="BR100" s="230">
        <v>-16321700</v>
      </c>
      <c r="BS100" s="229">
        <v>-0.316</v>
      </c>
      <c r="BT100" s="230">
        <v>3575982</v>
      </c>
      <c r="BU100" s="230">
        <v>3379265</v>
      </c>
      <c r="BV100" s="230">
        <v>196717</v>
      </c>
      <c r="BW100" s="229">
        <v>5.8200000000000002E-2</v>
      </c>
      <c r="BX100" s="230">
        <v>65694800</v>
      </c>
      <c r="BY100" s="230">
        <v>64662900</v>
      </c>
      <c r="BZ100" s="230">
        <v>1031900</v>
      </c>
      <c r="CA100" s="229">
        <v>1.6E-2</v>
      </c>
      <c r="CB100" s="230">
        <v>64846500</v>
      </c>
      <c r="CC100" s="230">
        <v>63913200</v>
      </c>
      <c r="CD100" s="230">
        <v>933300</v>
      </c>
      <c r="CE100" s="229">
        <v>1.46E-2</v>
      </c>
      <c r="CF100" s="230">
        <v>756500</v>
      </c>
      <c r="CG100" s="230">
        <v>680000</v>
      </c>
      <c r="CH100" s="230">
        <v>76500</v>
      </c>
      <c r="CI100" s="229">
        <v>0.1125</v>
      </c>
      <c r="CJ100" s="230">
        <v>91800</v>
      </c>
      <c r="CK100" s="230">
        <v>69700</v>
      </c>
      <c r="CL100" s="230">
        <v>22100</v>
      </c>
      <c r="CM100" s="229">
        <v>0.31709999999999999</v>
      </c>
      <c r="CN100" s="230">
        <v>12410000</v>
      </c>
      <c r="CO100" s="230">
        <v>9361900</v>
      </c>
      <c r="CP100" s="230">
        <v>3048100</v>
      </c>
      <c r="CQ100" s="229">
        <v>0.3256</v>
      </c>
      <c r="CR100" s="230">
        <v>8690400</v>
      </c>
      <c r="CS100" s="230">
        <v>8430300</v>
      </c>
      <c r="CT100" s="230">
        <v>260100</v>
      </c>
      <c r="CU100" s="229">
        <v>3.09E-2</v>
      </c>
      <c r="CV100" s="230">
        <v>86795200</v>
      </c>
      <c r="CW100" s="230">
        <v>82455100</v>
      </c>
      <c r="CX100" s="230">
        <v>4340100</v>
      </c>
      <c r="CY100" s="229">
        <v>5.2600000000000001E-2</v>
      </c>
      <c r="CZ100" s="228">
        <v>32.82</v>
      </c>
      <c r="DA100" s="228">
        <v>32.5</v>
      </c>
      <c r="DB100" s="228">
        <v>0.32</v>
      </c>
      <c r="DC100" s="228">
        <v>0.32</v>
      </c>
      <c r="DD100" s="228">
        <v>37.72</v>
      </c>
      <c r="DE100" s="228">
        <v>37.81</v>
      </c>
      <c r="DF100" s="228">
        <v>-4.9000000000000004</v>
      </c>
      <c r="DG100" s="228">
        <v>-0.09</v>
      </c>
      <c r="DH100" s="228">
        <v>32.369999999999997</v>
      </c>
      <c r="DI100" s="228">
        <v>32.04</v>
      </c>
      <c r="DJ100" s="228">
        <v>0.33</v>
      </c>
      <c r="DK100" s="228">
        <v>0.33</v>
      </c>
      <c r="DL100" s="228">
        <v>34</v>
      </c>
      <c r="DM100" s="228">
        <v>33.54</v>
      </c>
      <c r="DN100" s="228">
        <v>0.46</v>
      </c>
      <c r="DO100" s="228">
        <v>0.46</v>
      </c>
      <c r="DP100" s="228">
        <v>0.7</v>
      </c>
      <c r="DQ100" s="228">
        <v>0.9</v>
      </c>
      <c r="DR100" s="228">
        <v>-0.2</v>
      </c>
      <c r="DS100" s="229">
        <v>-0.22220000000000001</v>
      </c>
      <c r="DT100" s="228">
        <v>440</v>
      </c>
      <c r="DU100" s="228">
        <v>430</v>
      </c>
      <c r="DV100" s="228">
        <v>0.38</v>
      </c>
      <c r="DW100" s="228">
        <v>0.44</v>
      </c>
      <c r="DX100" s="228">
        <v>-0.06</v>
      </c>
      <c r="DY100" s="229">
        <v>-0.13639999999999999</v>
      </c>
      <c r="DZ100" s="229">
        <v>1.29E-2</v>
      </c>
      <c r="EA100" s="230">
        <v>749700</v>
      </c>
      <c r="EB100" s="229">
        <v>5.1999999999999998E-3</v>
      </c>
      <c r="EC100" s="229">
        <v>1.29E-2</v>
      </c>
      <c r="ED100" s="228">
        <v>3</v>
      </c>
      <c r="EE100" s="229">
        <v>6.7999999999999996E-3</v>
      </c>
      <c r="EF100" s="230">
        <v>1488004</v>
      </c>
      <c r="EG100" s="230">
        <v>1568321</v>
      </c>
      <c r="EH100" s="229">
        <v>-5.1200000000000002E-2</v>
      </c>
      <c r="EI100" s="229">
        <v>0.41610000000000003</v>
      </c>
      <c r="EJ100" s="231">
        <v>90227.67</v>
      </c>
      <c r="EK100" s="231">
        <v>31911.96</v>
      </c>
      <c r="EL100" s="231">
        <v>37615.629999999997</v>
      </c>
      <c r="EM100" s="231">
        <v>4281</v>
      </c>
      <c r="EN100" s="231">
        <v>159755.26</v>
      </c>
      <c r="EO100" s="231">
        <v>232036.46</v>
      </c>
      <c r="EP100" s="231">
        <v>-72281.2</v>
      </c>
      <c r="EQ100" s="229">
        <v>-0.3115</v>
      </c>
      <c r="ER100" s="231">
        <v>57020</v>
      </c>
      <c r="ES100" s="231">
        <v>36050</v>
      </c>
      <c r="ET100" s="231">
        <v>288882</v>
      </c>
      <c r="EU100" s="231">
        <v>193625858</v>
      </c>
      <c r="EV100" s="231">
        <v>381952</v>
      </c>
      <c r="EW100" s="231">
        <v>363911</v>
      </c>
      <c r="EX100" s="231">
        <v>18041</v>
      </c>
      <c r="EY100" s="229">
        <v>4.9599999999999998E-2</v>
      </c>
      <c r="EZ100" s="229">
        <v>0.44829999999999998</v>
      </c>
      <c r="FA100" s="227" t="s">
        <v>566</v>
      </c>
      <c r="FB100" s="161">
        <f t="shared" si="1"/>
        <v>848300</v>
      </c>
    </row>
    <row r="101" spans="1:158" ht="17.25" thickBot="1" x14ac:dyDescent="0.3">
      <c r="A101" s="226">
        <v>46121</v>
      </c>
      <c r="B101" s="227" t="s">
        <v>221</v>
      </c>
      <c r="C101" s="227" t="s">
        <v>240</v>
      </c>
      <c r="D101" s="228">
        <v>400</v>
      </c>
      <c r="E101" s="231">
        <v>1332.5</v>
      </c>
      <c r="F101" s="231">
        <v>1344</v>
      </c>
      <c r="G101" s="228">
        <v>-11.5</v>
      </c>
      <c r="H101" s="229">
        <v>-8.6E-3</v>
      </c>
      <c r="I101" s="231">
        <v>1331.6</v>
      </c>
      <c r="J101" s="231">
        <v>1346.2</v>
      </c>
      <c r="K101" s="228">
        <v>-14.6</v>
      </c>
      <c r="L101" s="229">
        <v>-1.0800000000000001E-2</v>
      </c>
      <c r="M101" s="231">
        <v>1332.5</v>
      </c>
      <c r="N101" s="231">
        <v>1344</v>
      </c>
      <c r="O101" s="228">
        <v>-11.5</v>
      </c>
      <c r="P101" s="229">
        <v>-8.6E-3</v>
      </c>
      <c r="Q101" s="231">
        <v>1334.3</v>
      </c>
      <c r="R101" s="231">
        <v>1343.4</v>
      </c>
      <c r="S101" s="228">
        <v>-9.1</v>
      </c>
      <c r="T101" s="229">
        <v>-6.7999999999999996E-3</v>
      </c>
      <c r="U101" s="231">
        <v>1330.3</v>
      </c>
      <c r="V101" s="231">
        <v>1340.8</v>
      </c>
      <c r="W101" s="228">
        <v>-10.5</v>
      </c>
      <c r="X101" s="229">
        <v>-7.7999999999999996E-3</v>
      </c>
      <c r="Y101" s="228">
        <v>0.9</v>
      </c>
      <c r="Z101" s="228">
        <v>-2.2000000000000002</v>
      </c>
      <c r="AA101" s="228">
        <v>3.1</v>
      </c>
      <c r="AB101" s="229">
        <v>6.9999999999999999E-4</v>
      </c>
      <c r="AC101" s="228">
        <v>0.9</v>
      </c>
      <c r="AD101" s="228">
        <v>-2.2000000000000002</v>
      </c>
      <c r="AE101" s="228">
        <v>3.1</v>
      </c>
      <c r="AF101" s="229">
        <v>6.9999999999999999E-4</v>
      </c>
      <c r="AG101" s="228">
        <v>2.7</v>
      </c>
      <c r="AH101" s="228">
        <v>-2.8</v>
      </c>
      <c r="AI101" s="228">
        <v>5.5</v>
      </c>
      <c r="AJ101" s="229">
        <v>2E-3</v>
      </c>
      <c r="AK101" s="228">
        <v>-1.3</v>
      </c>
      <c r="AL101" s="228">
        <v>-5.4</v>
      </c>
      <c r="AM101" s="228">
        <v>4.0999999999999996</v>
      </c>
      <c r="AN101" s="229">
        <v>-1E-3</v>
      </c>
      <c r="AO101" s="231">
        <v>1323.39</v>
      </c>
      <c r="AP101" s="231">
        <v>1323.57</v>
      </c>
      <c r="AQ101" s="228">
        <v>0</v>
      </c>
      <c r="AR101" s="230">
        <v>11685200</v>
      </c>
      <c r="AS101" s="230">
        <v>13163600</v>
      </c>
      <c r="AT101" s="230">
        <v>-1478400</v>
      </c>
      <c r="AU101" s="229">
        <v>-0.1123</v>
      </c>
      <c r="AV101" s="230">
        <v>10429200</v>
      </c>
      <c r="AW101" s="230">
        <v>12020800</v>
      </c>
      <c r="AX101" s="230">
        <v>-1591600</v>
      </c>
      <c r="AY101" s="229">
        <v>-0.13239999999999999</v>
      </c>
      <c r="AZ101" s="230">
        <v>989200</v>
      </c>
      <c r="BA101" s="230">
        <v>830800</v>
      </c>
      <c r="BB101" s="230">
        <v>158400</v>
      </c>
      <c r="BC101" s="229">
        <v>0.19070000000000001</v>
      </c>
      <c r="BD101" s="230">
        <v>266800</v>
      </c>
      <c r="BE101" s="230">
        <v>312000</v>
      </c>
      <c r="BF101" s="230">
        <v>-45200</v>
      </c>
      <c r="BG101" s="229">
        <v>-0.1449</v>
      </c>
      <c r="BH101" s="230">
        <v>24494000</v>
      </c>
      <c r="BI101" s="230">
        <v>30969600</v>
      </c>
      <c r="BJ101" s="230">
        <v>-6475600</v>
      </c>
      <c r="BK101" s="229">
        <v>-0.20910000000000001</v>
      </c>
      <c r="BL101" s="230">
        <v>13040000</v>
      </c>
      <c r="BM101" s="230">
        <v>14411600</v>
      </c>
      <c r="BN101" s="230">
        <v>-1371600</v>
      </c>
      <c r="BO101" s="229">
        <v>-9.5200000000000007E-2</v>
      </c>
      <c r="BP101" s="230">
        <v>49219200</v>
      </c>
      <c r="BQ101" s="230">
        <v>58544800</v>
      </c>
      <c r="BR101" s="230">
        <v>-9325600</v>
      </c>
      <c r="BS101" s="229">
        <v>-0.1593</v>
      </c>
      <c r="BT101" s="230">
        <v>16821840</v>
      </c>
      <c r="BU101" s="230">
        <v>17478809</v>
      </c>
      <c r="BV101" s="230">
        <v>-656969</v>
      </c>
      <c r="BW101" s="229">
        <v>-3.7600000000000001E-2</v>
      </c>
      <c r="BX101" s="230">
        <v>76865200</v>
      </c>
      <c r="BY101" s="230">
        <v>77227600</v>
      </c>
      <c r="BZ101" s="230">
        <v>-362400</v>
      </c>
      <c r="CA101" s="229">
        <v>-4.7000000000000002E-3</v>
      </c>
      <c r="CB101" s="230">
        <v>74068800</v>
      </c>
      <c r="CC101" s="230">
        <v>74711200</v>
      </c>
      <c r="CD101" s="230">
        <v>-642400</v>
      </c>
      <c r="CE101" s="229">
        <v>-8.6E-3</v>
      </c>
      <c r="CF101" s="230">
        <v>2180000</v>
      </c>
      <c r="CG101" s="230">
        <v>1924000</v>
      </c>
      <c r="CH101" s="230">
        <v>256000</v>
      </c>
      <c r="CI101" s="229">
        <v>0.1331</v>
      </c>
      <c r="CJ101" s="230">
        <v>616400</v>
      </c>
      <c r="CK101" s="230">
        <v>592400</v>
      </c>
      <c r="CL101" s="230">
        <v>24000</v>
      </c>
      <c r="CM101" s="229">
        <v>4.0500000000000001E-2</v>
      </c>
      <c r="CN101" s="230">
        <v>20953600</v>
      </c>
      <c r="CO101" s="230">
        <v>19346400</v>
      </c>
      <c r="CP101" s="230">
        <v>1607200</v>
      </c>
      <c r="CQ101" s="229">
        <v>8.3099999999999993E-2</v>
      </c>
      <c r="CR101" s="230">
        <v>16014400</v>
      </c>
      <c r="CS101" s="230">
        <v>15430800</v>
      </c>
      <c r="CT101" s="230">
        <v>583600</v>
      </c>
      <c r="CU101" s="229">
        <v>3.78E-2</v>
      </c>
      <c r="CV101" s="230">
        <v>113833200</v>
      </c>
      <c r="CW101" s="230">
        <v>112004800</v>
      </c>
      <c r="CX101" s="230">
        <v>1828400</v>
      </c>
      <c r="CY101" s="229">
        <v>1.6299999999999999E-2</v>
      </c>
      <c r="CZ101" s="228">
        <v>37.21</v>
      </c>
      <c r="DA101" s="228">
        <v>35.979999999999997</v>
      </c>
      <c r="DB101" s="228">
        <v>1.23</v>
      </c>
      <c r="DC101" s="228">
        <v>1.23</v>
      </c>
      <c r="DD101" s="228">
        <v>30.86</v>
      </c>
      <c r="DE101" s="228">
        <v>30.9</v>
      </c>
      <c r="DF101" s="228">
        <v>6.35</v>
      </c>
      <c r="DG101" s="228">
        <v>-0.04</v>
      </c>
      <c r="DH101" s="228">
        <v>36.090000000000003</v>
      </c>
      <c r="DI101" s="228">
        <v>34.630000000000003</v>
      </c>
      <c r="DJ101" s="228">
        <v>1.46</v>
      </c>
      <c r="DK101" s="228">
        <v>1.46</v>
      </c>
      <c r="DL101" s="228">
        <v>39.32</v>
      </c>
      <c r="DM101" s="228">
        <v>38.9</v>
      </c>
      <c r="DN101" s="228">
        <v>0.42</v>
      </c>
      <c r="DO101" s="228">
        <v>0.42</v>
      </c>
      <c r="DP101" s="228">
        <v>0.76</v>
      </c>
      <c r="DQ101" s="228">
        <v>0.8</v>
      </c>
      <c r="DR101" s="228">
        <v>-0.04</v>
      </c>
      <c r="DS101" s="229">
        <v>-0.05</v>
      </c>
      <c r="DT101" s="231">
        <v>1400</v>
      </c>
      <c r="DU101" s="231">
        <v>1280</v>
      </c>
      <c r="DV101" s="228">
        <v>0.53</v>
      </c>
      <c r="DW101" s="228">
        <v>0.47</v>
      </c>
      <c r="DX101" s="228">
        <v>0.06</v>
      </c>
      <c r="DY101" s="229">
        <v>0.12770000000000001</v>
      </c>
      <c r="DZ101" s="229">
        <v>3.6400000000000002E-2</v>
      </c>
      <c r="EA101" s="230">
        <v>2516400</v>
      </c>
      <c r="EB101" s="229">
        <v>1.4E-3</v>
      </c>
      <c r="EC101" s="229">
        <v>3.6400000000000002E-2</v>
      </c>
      <c r="ED101" s="228">
        <v>0.18</v>
      </c>
      <c r="EE101" s="229">
        <v>1E-4</v>
      </c>
      <c r="EF101" s="230">
        <v>7424410</v>
      </c>
      <c r="EG101" s="230">
        <v>9478487</v>
      </c>
      <c r="EH101" s="229">
        <v>-0.2167</v>
      </c>
      <c r="EI101" s="229">
        <v>0.44140000000000001</v>
      </c>
      <c r="EJ101" s="231">
        <v>343679.45</v>
      </c>
      <c r="EK101" s="231">
        <v>169739.16</v>
      </c>
      <c r="EL101" s="231">
        <v>154635.75</v>
      </c>
      <c r="EM101" s="231">
        <v>26037</v>
      </c>
      <c r="EN101" s="231">
        <v>668054.36</v>
      </c>
      <c r="EO101" s="231">
        <v>803030.91</v>
      </c>
      <c r="EP101" s="231">
        <v>-134976.54999999999</v>
      </c>
      <c r="EQ101" s="229">
        <v>-0.1681</v>
      </c>
      <c r="ER101" s="231">
        <v>286923</v>
      </c>
      <c r="ES101" s="231">
        <v>204640</v>
      </c>
      <c r="ET101" s="231">
        <v>1024254</v>
      </c>
      <c r="EU101" s="231">
        <v>475237614</v>
      </c>
      <c r="EV101" s="231">
        <v>1515818</v>
      </c>
      <c r="EW101" s="231">
        <v>1500017</v>
      </c>
      <c r="EX101" s="231">
        <v>15801</v>
      </c>
      <c r="EY101" s="229">
        <v>1.0500000000000001E-2</v>
      </c>
      <c r="EZ101" s="229">
        <v>0.23949999999999999</v>
      </c>
      <c r="FA101" s="227" t="s">
        <v>567</v>
      </c>
      <c r="FB101" s="161">
        <f t="shared" si="1"/>
        <v>2796400</v>
      </c>
    </row>
    <row r="102" spans="1:158" ht="17.25" thickBot="1" x14ac:dyDescent="0.3">
      <c r="A102" s="226">
        <v>46121</v>
      </c>
      <c r="B102" s="227" t="s">
        <v>161</v>
      </c>
      <c r="C102" s="227" t="s">
        <v>667</v>
      </c>
      <c r="D102" s="228">
        <v>3575</v>
      </c>
      <c r="E102" s="228">
        <v>85.73</v>
      </c>
      <c r="F102" s="228">
        <v>86.96</v>
      </c>
      <c r="G102" s="228">
        <v>-1.23</v>
      </c>
      <c r="H102" s="229">
        <v>-1.41E-2</v>
      </c>
      <c r="I102" s="228">
        <v>85.39</v>
      </c>
      <c r="J102" s="228">
        <v>86.51</v>
      </c>
      <c r="K102" s="228">
        <v>-1.1200000000000001</v>
      </c>
      <c r="L102" s="229">
        <v>-1.29E-2</v>
      </c>
      <c r="M102" s="228">
        <v>85.73</v>
      </c>
      <c r="N102" s="228">
        <v>86.96</v>
      </c>
      <c r="O102" s="228">
        <v>-1.23</v>
      </c>
      <c r="P102" s="229">
        <v>-1.41E-2</v>
      </c>
      <c r="Q102" s="228">
        <v>86.16</v>
      </c>
      <c r="R102" s="228">
        <v>87.49</v>
      </c>
      <c r="S102" s="228">
        <v>-1.33</v>
      </c>
      <c r="T102" s="229">
        <v>-1.52E-2</v>
      </c>
      <c r="U102" s="228">
        <v>86.73</v>
      </c>
      <c r="V102" s="228">
        <v>88.01</v>
      </c>
      <c r="W102" s="228">
        <v>-1.28</v>
      </c>
      <c r="X102" s="229">
        <v>-1.4500000000000001E-2</v>
      </c>
      <c r="Y102" s="228">
        <v>0.34</v>
      </c>
      <c r="Z102" s="228">
        <v>0.45</v>
      </c>
      <c r="AA102" s="228">
        <v>-0.11</v>
      </c>
      <c r="AB102" s="229">
        <v>4.0000000000000001E-3</v>
      </c>
      <c r="AC102" s="228">
        <v>0.34</v>
      </c>
      <c r="AD102" s="228">
        <v>0.45</v>
      </c>
      <c r="AE102" s="228">
        <v>-0.11</v>
      </c>
      <c r="AF102" s="229">
        <v>4.0000000000000001E-3</v>
      </c>
      <c r="AG102" s="228">
        <v>0.77</v>
      </c>
      <c r="AH102" s="228">
        <v>0.98</v>
      </c>
      <c r="AI102" s="228">
        <v>-0.21</v>
      </c>
      <c r="AJ102" s="229">
        <v>8.9999999999999993E-3</v>
      </c>
      <c r="AK102" s="228">
        <v>1.34</v>
      </c>
      <c r="AL102" s="228">
        <v>1.5</v>
      </c>
      <c r="AM102" s="228">
        <v>-0.16</v>
      </c>
      <c r="AN102" s="229">
        <v>1.5699999999999999E-2</v>
      </c>
      <c r="AO102" s="228">
        <v>85.97</v>
      </c>
      <c r="AP102" s="228">
        <v>86.68</v>
      </c>
      <c r="AQ102" s="228">
        <v>0</v>
      </c>
      <c r="AR102" s="230">
        <v>9638200</v>
      </c>
      <c r="AS102" s="230">
        <v>12526800</v>
      </c>
      <c r="AT102" s="230">
        <v>-2888600</v>
      </c>
      <c r="AU102" s="229">
        <v>-0.2306</v>
      </c>
      <c r="AV102" s="230">
        <v>8737300</v>
      </c>
      <c r="AW102" s="230">
        <v>11618750</v>
      </c>
      <c r="AX102" s="230">
        <v>-2881450</v>
      </c>
      <c r="AY102" s="229">
        <v>-0.248</v>
      </c>
      <c r="AZ102" s="230">
        <v>807950</v>
      </c>
      <c r="BA102" s="230">
        <v>829400</v>
      </c>
      <c r="BB102" s="230">
        <v>-21450</v>
      </c>
      <c r="BC102" s="229">
        <v>-2.5899999999999999E-2</v>
      </c>
      <c r="BD102" s="230">
        <v>92950</v>
      </c>
      <c r="BE102" s="230">
        <v>78650</v>
      </c>
      <c r="BF102" s="230">
        <v>14300</v>
      </c>
      <c r="BG102" s="229">
        <v>0.18179999999999999</v>
      </c>
      <c r="BH102" s="230">
        <v>9684675</v>
      </c>
      <c r="BI102" s="230">
        <v>21542950</v>
      </c>
      <c r="BJ102" s="230">
        <v>-11858275</v>
      </c>
      <c r="BK102" s="229">
        <v>-0.5504</v>
      </c>
      <c r="BL102" s="230">
        <v>4636775</v>
      </c>
      <c r="BM102" s="230">
        <v>10678525</v>
      </c>
      <c r="BN102" s="230">
        <v>-6041750</v>
      </c>
      <c r="BO102" s="229">
        <v>-0.56579999999999997</v>
      </c>
      <c r="BP102" s="230">
        <v>23959650</v>
      </c>
      <c r="BQ102" s="230">
        <v>44748275</v>
      </c>
      <c r="BR102" s="230">
        <v>-20788625</v>
      </c>
      <c r="BS102" s="229">
        <v>-0.46460000000000001</v>
      </c>
      <c r="BT102" s="230">
        <v>9464824</v>
      </c>
      <c r="BU102" s="230">
        <v>16402108</v>
      </c>
      <c r="BV102" s="230">
        <v>-6937284</v>
      </c>
      <c r="BW102" s="229">
        <v>-0.42299999999999999</v>
      </c>
      <c r="BX102" s="230">
        <v>101383425</v>
      </c>
      <c r="BY102" s="230">
        <v>100947275</v>
      </c>
      <c r="BZ102" s="230">
        <v>436150</v>
      </c>
      <c r="CA102" s="229">
        <v>4.3E-3</v>
      </c>
      <c r="CB102" s="230">
        <v>96349825</v>
      </c>
      <c r="CC102" s="230">
        <v>96178225</v>
      </c>
      <c r="CD102" s="230">
        <v>171600</v>
      </c>
      <c r="CE102" s="229">
        <v>1.8E-3</v>
      </c>
      <c r="CF102" s="230">
        <v>4833400</v>
      </c>
      <c r="CG102" s="230">
        <v>4611750</v>
      </c>
      <c r="CH102" s="230">
        <v>221650</v>
      </c>
      <c r="CI102" s="229">
        <v>4.8099999999999997E-2</v>
      </c>
      <c r="CJ102" s="230">
        <v>200200</v>
      </c>
      <c r="CK102" s="230">
        <v>157300</v>
      </c>
      <c r="CL102" s="230">
        <v>42900</v>
      </c>
      <c r="CM102" s="229">
        <v>0.2727</v>
      </c>
      <c r="CN102" s="230">
        <v>17853550</v>
      </c>
      <c r="CO102" s="230">
        <v>16784625</v>
      </c>
      <c r="CP102" s="230">
        <v>1068925</v>
      </c>
      <c r="CQ102" s="229">
        <v>6.3700000000000007E-2</v>
      </c>
      <c r="CR102" s="230">
        <v>19197750</v>
      </c>
      <c r="CS102" s="230">
        <v>18733000</v>
      </c>
      <c r="CT102" s="230">
        <v>464750</v>
      </c>
      <c r="CU102" s="229">
        <v>2.4799999999999999E-2</v>
      </c>
      <c r="CV102" s="230">
        <v>138434725</v>
      </c>
      <c r="CW102" s="230">
        <v>136464900</v>
      </c>
      <c r="CX102" s="230">
        <v>1969825</v>
      </c>
      <c r="CY102" s="229">
        <v>1.44E-2</v>
      </c>
      <c r="CZ102" s="228">
        <v>49.48</v>
      </c>
      <c r="DA102" s="228">
        <v>52.43</v>
      </c>
      <c r="DB102" s="228">
        <v>-2.95</v>
      </c>
      <c r="DC102" s="228">
        <v>-2.95</v>
      </c>
      <c r="DD102" s="228">
        <v>53.93</v>
      </c>
      <c r="DE102" s="228">
        <v>54.03</v>
      </c>
      <c r="DF102" s="228">
        <v>-4.45</v>
      </c>
      <c r="DG102" s="228">
        <v>-0.1</v>
      </c>
      <c r="DH102" s="228">
        <v>48.74</v>
      </c>
      <c r="DI102" s="228">
        <v>51.43</v>
      </c>
      <c r="DJ102" s="228">
        <v>-2.69</v>
      </c>
      <c r="DK102" s="228">
        <v>-2.69</v>
      </c>
      <c r="DL102" s="228">
        <v>51.03</v>
      </c>
      <c r="DM102" s="228">
        <v>54.45</v>
      </c>
      <c r="DN102" s="228">
        <v>-3.42</v>
      </c>
      <c r="DO102" s="228">
        <v>-3.42</v>
      </c>
      <c r="DP102" s="228">
        <v>1.08</v>
      </c>
      <c r="DQ102" s="228">
        <v>1.1200000000000001</v>
      </c>
      <c r="DR102" s="228">
        <v>-0.04</v>
      </c>
      <c r="DS102" s="229">
        <v>-3.5700000000000003E-2</v>
      </c>
      <c r="DT102" s="228">
        <v>90</v>
      </c>
      <c r="DU102" s="228">
        <v>65</v>
      </c>
      <c r="DV102" s="228">
        <v>0.48</v>
      </c>
      <c r="DW102" s="228">
        <v>0.5</v>
      </c>
      <c r="DX102" s="228">
        <v>-0.02</v>
      </c>
      <c r="DY102" s="229">
        <v>-0.04</v>
      </c>
      <c r="DZ102" s="229">
        <v>4.9599999999999998E-2</v>
      </c>
      <c r="EA102" s="230">
        <v>4769050</v>
      </c>
      <c r="EB102" s="229">
        <v>5.0000000000000001E-3</v>
      </c>
      <c r="EC102" s="229">
        <v>4.9599999999999998E-2</v>
      </c>
      <c r="ED102" s="228">
        <v>0.71</v>
      </c>
      <c r="EE102" s="229">
        <v>8.3000000000000001E-3</v>
      </c>
      <c r="EF102" s="230">
        <v>2507627</v>
      </c>
      <c r="EG102" s="230">
        <v>5318061</v>
      </c>
      <c r="EH102" s="229">
        <v>-0.52849999999999997</v>
      </c>
      <c r="EI102" s="229">
        <v>0.26490000000000002</v>
      </c>
      <c r="EJ102" s="231">
        <v>8943.3700000000008</v>
      </c>
      <c r="EK102" s="231">
        <v>4066.89</v>
      </c>
      <c r="EL102" s="231">
        <v>8292.6200000000008</v>
      </c>
      <c r="EM102" s="231">
        <v>2672</v>
      </c>
      <c r="EN102" s="231">
        <v>21302.880000000001</v>
      </c>
      <c r="EO102" s="231">
        <v>39433.51</v>
      </c>
      <c r="EP102" s="231">
        <v>-18130.63</v>
      </c>
      <c r="EQ102" s="229">
        <v>-0.45979999999999999</v>
      </c>
      <c r="ER102" s="231">
        <v>15762</v>
      </c>
      <c r="ES102" s="231">
        <v>15756</v>
      </c>
      <c r="ET102" s="231">
        <v>86939</v>
      </c>
      <c r="EU102" s="231">
        <v>144708707</v>
      </c>
      <c r="EV102" s="231">
        <v>118457</v>
      </c>
      <c r="EW102" s="231">
        <v>117920</v>
      </c>
      <c r="EX102" s="228">
        <v>537</v>
      </c>
      <c r="EY102" s="229">
        <v>4.5999999999999999E-3</v>
      </c>
      <c r="EZ102" s="229">
        <v>0.95660000000000001</v>
      </c>
      <c r="FA102" s="227" t="s">
        <v>566</v>
      </c>
      <c r="FB102" s="161">
        <f t="shared" si="1"/>
        <v>5033600</v>
      </c>
    </row>
    <row r="103" spans="1:158" ht="17.25" thickBot="1" x14ac:dyDescent="0.3">
      <c r="A103" s="226">
        <v>46121</v>
      </c>
      <c r="B103" s="227" t="s">
        <v>193</v>
      </c>
      <c r="C103" s="227" t="s">
        <v>241</v>
      </c>
      <c r="D103" s="228">
        <v>4875</v>
      </c>
      <c r="E103" s="228">
        <v>141.91999999999999</v>
      </c>
      <c r="F103" s="228">
        <v>143.63</v>
      </c>
      <c r="G103" s="228">
        <v>-1.71</v>
      </c>
      <c r="H103" s="229">
        <v>-1.1900000000000001E-2</v>
      </c>
      <c r="I103" s="228">
        <v>141.66999999999999</v>
      </c>
      <c r="J103" s="228">
        <v>143.35</v>
      </c>
      <c r="K103" s="228">
        <v>-1.68</v>
      </c>
      <c r="L103" s="229">
        <v>-1.17E-2</v>
      </c>
      <c r="M103" s="228">
        <v>141.91999999999999</v>
      </c>
      <c r="N103" s="228">
        <v>143.63</v>
      </c>
      <c r="O103" s="228">
        <v>-1.71</v>
      </c>
      <c r="P103" s="229">
        <v>-1.1900000000000001E-2</v>
      </c>
      <c r="Q103" s="228">
        <v>142.72999999999999</v>
      </c>
      <c r="R103" s="228">
        <v>144.4</v>
      </c>
      <c r="S103" s="228">
        <v>-1.67</v>
      </c>
      <c r="T103" s="229">
        <v>-1.1599999999999999E-2</v>
      </c>
      <c r="U103" s="228">
        <v>143.62</v>
      </c>
      <c r="V103" s="228">
        <v>145.28</v>
      </c>
      <c r="W103" s="228">
        <v>-1.66</v>
      </c>
      <c r="X103" s="229">
        <v>-1.14E-2</v>
      </c>
      <c r="Y103" s="228">
        <v>0.25</v>
      </c>
      <c r="Z103" s="228">
        <v>0.28000000000000003</v>
      </c>
      <c r="AA103" s="228">
        <v>-0.03</v>
      </c>
      <c r="AB103" s="229">
        <v>1.8E-3</v>
      </c>
      <c r="AC103" s="228">
        <v>0.25</v>
      </c>
      <c r="AD103" s="228">
        <v>0.28000000000000003</v>
      </c>
      <c r="AE103" s="228">
        <v>-0.03</v>
      </c>
      <c r="AF103" s="229">
        <v>1.8E-3</v>
      </c>
      <c r="AG103" s="228">
        <v>1.06</v>
      </c>
      <c r="AH103" s="228">
        <v>1.05</v>
      </c>
      <c r="AI103" s="228">
        <v>0.01</v>
      </c>
      <c r="AJ103" s="229">
        <v>7.4999999999999997E-3</v>
      </c>
      <c r="AK103" s="228">
        <v>1.95</v>
      </c>
      <c r="AL103" s="228">
        <v>1.93</v>
      </c>
      <c r="AM103" s="228">
        <v>0.02</v>
      </c>
      <c r="AN103" s="229">
        <v>1.38E-2</v>
      </c>
      <c r="AO103" s="228">
        <v>141.79</v>
      </c>
      <c r="AP103" s="228">
        <v>142.56</v>
      </c>
      <c r="AQ103" s="228">
        <v>0</v>
      </c>
      <c r="AR103" s="230">
        <v>17462250</v>
      </c>
      <c r="AS103" s="230">
        <v>46541625</v>
      </c>
      <c r="AT103" s="230">
        <v>-29079375</v>
      </c>
      <c r="AU103" s="229">
        <v>-0.62480000000000002</v>
      </c>
      <c r="AV103" s="230">
        <v>16155750</v>
      </c>
      <c r="AW103" s="230">
        <v>43285125</v>
      </c>
      <c r="AX103" s="230">
        <v>-27129375</v>
      </c>
      <c r="AY103" s="229">
        <v>-0.62680000000000002</v>
      </c>
      <c r="AZ103" s="230">
        <v>1101750</v>
      </c>
      <c r="BA103" s="230">
        <v>2866500</v>
      </c>
      <c r="BB103" s="230">
        <v>-1764750</v>
      </c>
      <c r="BC103" s="229">
        <v>-0.61560000000000004</v>
      </c>
      <c r="BD103" s="230">
        <v>204750</v>
      </c>
      <c r="BE103" s="230">
        <v>390000</v>
      </c>
      <c r="BF103" s="230">
        <v>-185250</v>
      </c>
      <c r="BG103" s="229">
        <v>-0.47499999999999998</v>
      </c>
      <c r="BH103" s="230">
        <v>41525250</v>
      </c>
      <c r="BI103" s="230">
        <v>153708750</v>
      </c>
      <c r="BJ103" s="230">
        <v>-112183500</v>
      </c>
      <c r="BK103" s="229">
        <v>-0.7298</v>
      </c>
      <c r="BL103" s="230">
        <v>27368250</v>
      </c>
      <c r="BM103" s="230">
        <v>57198375</v>
      </c>
      <c r="BN103" s="230">
        <v>-29830125</v>
      </c>
      <c r="BO103" s="229">
        <v>-0.52149999999999996</v>
      </c>
      <c r="BP103" s="230">
        <v>86355750</v>
      </c>
      <c r="BQ103" s="230">
        <v>257448750</v>
      </c>
      <c r="BR103" s="230">
        <v>-171093000</v>
      </c>
      <c r="BS103" s="229">
        <v>-0.66459999999999997</v>
      </c>
      <c r="BT103" s="230">
        <v>23277069</v>
      </c>
      <c r="BU103" s="230">
        <v>49422674</v>
      </c>
      <c r="BV103" s="230">
        <v>-26145605</v>
      </c>
      <c r="BW103" s="229">
        <v>-0.52900000000000003</v>
      </c>
      <c r="BX103" s="230">
        <v>110009250</v>
      </c>
      <c r="BY103" s="230">
        <v>111856875</v>
      </c>
      <c r="BZ103" s="230">
        <v>-1847625</v>
      </c>
      <c r="CA103" s="229">
        <v>-1.6500000000000001E-2</v>
      </c>
      <c r="CB103" s="230">
        <v>105982500</v>
      </c>
      <c r="CC103" s="230">
        <v>108073875</v>
      </c>
      <c r="CD103" s="230">
        <v>-2091375</v>
      </c>
      <c r="CE103" s="229">
        <v>-1.9400000000000001E-2</v>
      </c>
      <c r="CF103" s="230">
        <v>3485625</v>
      </c>
      <c r="CG103" s="230">
        <v>3383250</v>
      </c>
      <c r="CH103" s="230">
        <v>102375</v>
      </c>
      <c r="CI103" s="229">
        <v>3.0300000000000001E-2</v>
      </c>
      <c r="CJ103" s="230">
        <v>541125</v>
      </c>
      <c r="CK103" s="230">
        <v>399750</v>
      </c>
      <c r="CL103" s="230">
        <v>141375</v>
      </c>
      <c r="CM103" s="229">
        <v>0.35370000000000001</v>
      </c>
      <c r="CN103" s="230">
        <v>61239750</v>
      </c>
      <c r="CO103" s="230">
        <v>60645000</v>
      </c>
      <c r="CP103" s="230">
        <v>594750</v>
      </c>
      <c r="CQ103" s="229">
        <v>9.7999999999999997E-3</v>
      </c>
      <c r="CR103" s="230">
        <v>42324750</v>
      </c>
      <c r="CS103" s="230">
        <v>37371750</v>
      </c>
      <c r="CT103" s="230">
        <v>4953000</v>
      </c>
      <c r="CU103" s="229">
        <v>0.13250000000000001</v>
      </c>
      <c r="CV103" s="230">
        <v>213573750</v>
      </c>
      <c r="CW103" s="230">
        <v>209873625</v>
      </c>
      <c r="CX103" s="230">
        <v>3700125</v>
      </c>
      <c r="CY103" s="229">
        <v>1.7600000000000001E-2</v>
      </c>
      <c r="CZ103" s="228">
        <v>38.6</v>
      </c>
      <c r="DA103" s="228">
        <v>38.520000000000003</v>
      </c>
      <c r="DB103" s="228">
        <v>0.08</v>
      </c>
      <c r="DC103" s="228">
        <v>0.08</v>
      </c>
      <c r="DD103" s="228">
        <v>34.159999999999997</v>
      </c>
      <c r="DE103" s="228">
        <v>34.200000000000003</v>
      </c>
      <c r="DF103" s="228">
        <v>4.4400000000000004</v>
      </c>
      <c r="DG103" s="228">
        <v>-0.04</v>
      </c>
      <c r="DH103" s="228">
        <v>37.369999999999997</v>
      </c>
      <c r="DI103" s="228">
        <v>37.75</v>
      </c>
      <c r="DJ103" s="228">
        <v>-0.38</v>
      </c>
      <c r="DK103" s="228">
        <v>-0.38</v>
      </c>
      <c r="DL103" s="228">
        <v>40.479999999999997</v>
      </c>
      <c r="DM103" s="228">
        <v>40.57</v>
      </c>
      <c r="DN103" s="228">
        <v>-0.09</v>
      </c>
      <c r="DO103" s="228">
        <v>-0.09</v>
      </c>
      <c r="DP103" s="228">
        <v>0.69</v>
      </c>
      <c r="DQ103" s="228">
        <v>0.62</v>
      </c>
      <c r="DR103" s="228">
        <v>7.0000000000000007E-2</v>
      </c>
      <c r="DS103" s="229">
        <v>0.1129</v>
      </c>
      <c r="DT103" s="228">
        <v>150</v>
      </c>
      <c r="DU103" s="228">
        <v>140</v>
      </c>
      <c r="DV103" s="228">
        <v>0.66</v>
      </c>
      <c r="DW103" s="228">
        <v>0.37</v>
      </c>
      <c r="DX103" s="228">
        <v>0.28999999999999998</v>
      </c>
      <c r="DY103" s="229">
        <v>0.78380000000000005</v>
      </c>
      <c r="DZ103" s="229">
        <v>3.6600000000000001E-2</v>
      </c>
      <c r="EA103" s="230">
        <v>3783000</v>
      </c>
      <c r="EB103" s="229">
        <v>5.7000000000000002E-3</v>
      </c>
      <c r="EC103" s="229">
        <v>3.6600000000000001E-2</v>
      </c>
      <c r="ED103" s="228">
        <v>0.77</v>
      </c>
      <c r="EE103" s="229">
        <v>5.4000000000000003E-3</v>
      </c>
      <c r="EF103" s="230">
        <v>11391721</v>
      </c>
      <c r="EG103" s="230">
        <v>18914019</v>
      </c>
      <c r="EH103" s="229">
        <v>-0.3977</v>
      </c>
      <c r="EI103" s="229">
        <v>0.4894</v>
      </c>
      <c r="EJ103" s="231">
        <v>63437.120000000003</v>
      </c>
      <c r="EK103" s="231">
        <v>37575.97</v>
      </c>
      <c r="EL103" s="231">
        <v>24772.49</v>
      </c>
      <c r="EM103" s="231">
        <v>5019</v>
      </c>
      <c r="EN103" s="231">
        <v>125785.58</v>
      </c>
      <c r="EO103" s="231">
        <v>381064.8</v>
      </c>
      <c r="EP103" s="231">
        <v>-255279.22</v>
      </c>
      <c r="EQ103" s="229">
        <v>-0.66990000000000005</v>
      </c>
      <c r="ER103" s="231">
        <v>92990</v>
      </c>
      <c r="ES103" s="231">
        <v>59010</v>
      </c>
      <c r="ET103" s="231">
        <v>156163</v>
      </c>
      <c r="EU103" s="231">
        <v>684903861</v>
      </c>
      <c r="EV103" s="231">
        <v>308163</v>
      </c>
      <c r="EW103" s="231">
        <v>305042</v>
      </c>
      <c r="EX103" s="231">
        <v>3121</v>
      </c>
      <c r="EY103" s="229">
        <v>1.0200000000000001E-2</v>
      </c>
      <c r="EZ103" s="229">
        <v>0.31180000000000002</v>
      </c>
      <c r="FA103" s="227" t="s">
        <v>567</v>
      </c>
      <c r="FB103" s="161">
        <f t="shared" si="1"/>
        <v>4026750</v>
      </c>
    </row>
    <row r="104" spans="1:158" ht="17.25" thickBot="1" x14ac:dyDescent="0.3">
      <c r="A104" s="226">
        <v>46121</v>
      </c>
      <c r="B104" s="227" t="s">
        <v>175</v>
      </c>
      <c r="C104" s="227" t="s">
        <v>663</v>
      </c>
      <c r="D104" s="228">
        <v>3450</v>
      </c>
      <c r="E104" s="228">
        <v>122.71</v>
      </c>
      <c r="F104" s="228">
        <v>122.68</v>
      </c>
      <c r="G104" s="228">
        <v>0.03</v>
      </c>
      <c r="H104" s="229">
        <v>2.0000000000000001E-4</v>
      </c>
      <c r="I104" s="228">
        <v>123.13</v>
      </c>
      <c r="J104" s="228">
        <v>122.46</v>
      </c>
      <c r="K104" s="228">
        <v>0.67</v>
      </c>
      <c r="L104" s="229">
        <v>5.4999999999999997E-3</v>
      </c>
      <c r="M104" s="228">
        <v>122.71</v>
      </c>
      <c r="N104" s="228">
        <v>122.68</v>
      </c>
      <c r="O104" s="228">
        <v>0.03</v>
      </c>
      <c r="P104" s="229">
        <v>2.0000000000000001E-4</v>
      </c>
      <c r="Q104" s="228">
        <v>121.16</v>
      </c>
      <c r="R104" s="228">
        <v>121.11</v>
      </c>
      <c r="S104" s="228">
        <v>0.05</v>
      </c>
      <c r="T104" s="229">
        <v>4.0000000000000002E-4</v>
      </c>
      <c r="U104" s="228">
        <v>120.65</v>
      </c>
      <c r="V104" s="228">
        <v>120.47</v>
      </c>
      <c r="W104" s="228">
        <v>0.18</v>
      </c>
      <c r="X104" s="229">
        <v>1.5E-3</v>
      </c>
      <c r="Y104" s="228">
        <v>-0.42</v>
      </c>
      <c r="Z104" s="228">
        <v>0.22</v>
      </c>
      <c r="AA104" s="228">
        <v>-0.64</v>
      </c>
      <c r="AB104" s="229">
        <v>-3.3999999999999998E-3</v>
      </c>
      <c r="AC104" s="228">
        <v>-0.42</v>
      </c>
      <c r="AD104" s="228">
        <v>0.22</v>
      </c>
      <c r="AE104" s="228">
        <v>-0.64</v>
      </c>
      <c r="AF104" s="229">
        <v>-3.3999999999999998E-3</v>
      </c>
      <c r="AG104" s="228">
        <v>-1.97</v>
      </c>
      <c r="AH104" s="228">
        <v>-1.35</v>
      </c>
      <c r="AI104" s="228">
        <v>-0.62</v>
      </c>
      <c r="AJ104" s="229">
        <v>-1.6E-2</v>
      </c>
      <c r="AK104" s="228">
        <v>-2.48</v>
      </c>
      <c r="AL104" s="228">
        <v>-1.99</v>
      </c>
      <c r="AM104" s="228">
        <v>-0.49</v>
      </c>
      <c r="AN104" s="229">
        <v>-2.01E-2</v>
      </c>
      <c r="AO104" s="228">
        <v>122.29</v>
      </c>
      <c r="AP104" s="228">
        <v>120.78</v>
      </c>
      <c r="AQ104" s="228">
        <v>0</v>
      </c>
      <c r="AR104" s="230">
        <v>10267200</v>
      </c>
      <c r="AS104" s="230">
        <v>16580700</v>
      </c>
      <c r="AT104" s="230">
        <v>-6313500</v>
      </c>
      <c r="AU104" s="229">
        <v>-0.38080000000000003</v>
      </c>
      <c r="AV104" s="230">
        <v>7272600</v>
      </c>
      <c r="AW104" s="230">
        <v>13006500</v>
      </c>
      <c r="AX104" s="230">
        <v>-5733900</v>
      </c>
      <c r="AY104" s="229">
        <v>-0.44080000000000003</v>
      </c>
      <c r="AZ104" s="230">
        <v>2252850</v>
      </c>
      <c r="BA104" s="230">
        <v>3063600</v>
      </c>
      <c r="BB104" s="230">
        <v>-810750</v>
      </c>
      <c r="BC104" s="229">
        <v>-0.2646</v>
      </c>
      <c r="BD104" s="230">
        <v>741750</v>
      </c>
      <c r="BE104" s="230">
        <v>510600</v>
      </c>
      <c r="BF104" s="230">
        <v>231150</v>
      </c>
      <c r="BG104" s="229">
        <v>0.45269999999999999</v>
      </c>
      <c r="BH104" s="230">
        <v>14703900</v>
      </c>
      <c r="BI104" s="230">
        <v>25053900</v>
      </c>
      <c r="BJ104" s="230">
        <v>-10350000</v>
      </c>
      <c r="BK104" s="229">
        <v>-0.41310000000000002</v>
      </c>
      <c r="BL104" s="230">
        <v>6668850</v>
      </c>
      <c r="BM104" s="230">
        <v>10850250</v>
      </c>
      <c r="BN104" s="230">
        <v>-4181400</v>
      </c>
      <c r="BO104" s="229">
        <v>-0.38540000000000002</v>
      </c>
      <c r="BP104" s="230">
        <v>31639950</v>
      </c>
      <c r="BQ104" s="230">
        <v>52484850</v>
      </c>
      <c r="BR104" s="230">
        <v>-20844900</v>
      </c>
      <c r="BS104" s="229">
        <v>-0.3972</v>
      </c>
      <c r="BT104" s="230">
        <v>11298483</v>
      </c>
      <c r="BU104" s="230">
        <v>12632499</v>
      </c>
      <c r="BV104" s="230">
        <v>-1334016</v>
      </c>
      <c r="BW104" s="229">
        <v>-0.1056</v>
      </c>
      <c r="BX104" s="230">
        <v>50031900</v>
      </c>
      <c r="BY104" s="230">
        <v>48662250</v>
      </c>
      <c r="BZ104" s="230">
        <v>1369650</v>
      </c>
      <c r="CA104" s="229">
        <v>2.81E-2</v>
      </c>
      <c r="CB104" s="230">
        <v>43035300</v>
      </c>
      <c r="CC104" s="230">
        <v>42483300</v>
      </c>
      <c r="CD104" s="230">
        <v>552000</v>
      </c>
      <c r="CE104" s="229">
        <v>1.2999999999999999E-2</v>
      </c>
      <c r="CF104" s="230">
        <v>5709750</v>
      </c>
      <c r="CG104" s="230">
        <v>5233650</v>
      </c>
      <c r="CH104" s="230">
        <v>476100</v>
      </c>
      <c r="CI104" s="229">
        <v>9.0999999999999998E-2</v>
      </c>
      <c r="CJ104" s="230">
        <v>1286850</v>
      </c>
      <c r="CK104" s="230">
        <v>945300</v>
      </c>
      <c r="CL104" s="230">
        <v>341550</v>
      </c>
      <c r="CM104" s="229">
        <v>0.36130000000000001</v>
      </c>
      <c r="CN104" s="230">
        <v>16335750</v>
      </c>
      <c r="CO104" s="230">
        <v>16149450</v>
      </c>
      <c r="CP104" s="230">
        <v>186300</v>
      </c>
      <c r="CQ104" s="229">
        <v>1.15E-2</v>
      </c>
      <c r="CR104" s="230">
        <v>14855700</v>
      </c>
      <c r="CS104" s="230">
        <v>14624550</v>
      </c>
      <c r="CT104" s="230">
        <v>231150</v>
      </c>
      <c r="CU104" s="229">
        <v>1.5800000000000002E-2</v>
      </c>
      <c r="CV104" s="230">
        <v>81223350</v>
      </c>
      <c r="CW104" s="230">
        <v>79436250</v>
      </c>
      <c r="CX104" s="230">
        <v>1787100</v>
      </c>
      <c r="CY104" s="229">
        <v>2.2499999999999999E-2</v>
      </c>
      <c r="CZ104" s="228">
        <v>44.3</v>
      </c>
      <c r="DA104" s="228">
        <v>43.94</v>
      </c>
      <c r="DB104" s="228">
        <v>0.36</v>
      </c>
      <c r="DC104" s="228">
        <v>0.36</v>
      </c>
      <c r="DD104" s="228">
        <v>48.92</v>
      </c>
      <c r="DE104" s="228">
        <v>49.04</v>
      </c>
      <c r="DF104" s="228">
        <v>-4.62</v>
      </c>
      <c r="DG104" s="228">
        <v>-0.12</v>
      </c>
      <c r="DH104" s="228">
        <v>43.34</v>
      </c>
      <c r="DI104" s="228">
        <v>42.8</v>
      </c>
      <c r="DJ104" s="228">
        <v>0.54</v>
      </c>
      <c r="DK104" s="228">
        <v>0.54</v>
      </c>
      <c r="DL104" s="228">
        <v>46.41</v>
      </c>
      <c r="DM104" s="228">
        <v>46.57</v>
      </c>
      <c r="DN104" s="228">
        <v>-0.16</v>
      </c>
      <c r="DO104" s="228">
        <v>-0.16</v>
      </c>
      <c r="DP104" s="228">
        <v>0.91</v>
      </c>
      <c r="DQ104" s="228">
        <v>0.91</v>
      </c>
      <c r="DR104" s="228">
        <v>0</v>
      </c>
      <c r="DS104" s="229">
        <v>0</v>
      </c>
      <c r="DT104" s="228">
        <v>130</v>
      </c>
      <c r="DU104" s="228">
        <v>146</v>
      </c>
      <c r="DV104" s="228">
        <v>0.45</v>
      </c>
      <c r="DW104" s="228">
        <v>0.43</v>
      </c>
      <c r="DX104" s="228">
        <v>0.02</v>
      </c>
      <c r="DY104" s="229">
        <v>4.65E-2</v>
      </c>
      <c r="DZ104" s="229">
        <v>0.13980000000000001</v>
      </c>
      <c r="EA104" s="230">
        <v>6178950</v>
      </c>
      <c r="EB104" s="229">
        <v>-1.26E-2</v>
      </c>
      <c r="EC104" s="229">
        <v>0.13980000000000001</v>
      </c>
      <c r="ED104" s="228">
        <v>-1.51</v>
      </c>
      <c r="EE104" s="229">
        <v>-1.23E-2</v>
      </c>
      <c r="EF104" s="230">
        <v>2704291</v>
      </c>
      <c r="EG104" s="230">
        <v>5037462</v>
      </c>
      <c r="EH104" s="229">
        <v>-0.4632</v>
      </c>
      <c r="EI104" s="229">
        <v>0.23930000000000001</v>
      </c>
      <c r="EJ104" s="231">
        <v>19088.61</v>
      </c>
      <c r="EK104" s="231">
        <v>7811.42</v>
      </c>
      <c r="EL104" s="231">
        <v>12508.26</v>
      </c>
      <c r="EM104" s="231">
        <v>2901</v>
      </c>
      <c r="EN104" s="231">
        <v>39408.29</v>
      </c>
      <c r="EO104" s="231">
        <v>64905.43</v>
      </c>
      <c r="EP104" s="231">
        <v>-25497.14</v>
      </c>
      <c r="EQ104" s="229">
        <v>-0.39279999999999998</v>
      </c>
      <c r="ER104" s="231">
        <v>20149</v>
      </c>
      <c r="ES104" s="231">
        <v>17523</v>
      </c>
      <c r="ET104" s="231">
        <v>61279</v>
      </c>
      <c r="EU104" s="231">
        <v>119011160</v>
      </c>
      <c r="EV104" s="231">
        <v>98952</v>
      </c>
      <c r="EW104" s="231">
        <v>96665</v>
      </c>
      <c r="EX104" s="231">
        <v>2287</v>
      </c>
      <c r="EY104" s="229">
        <v>2.3699999999999999E-2</v>
      </c>
      <c r="EZ104" s="229">
        <v>0.6825</v>
      </c>
      <c r="FA104" s="227" t="s">
        <v>555</v>
      </c>
      <c r="FB104" s="161">
        <f t="shared" si="1"/>
        <v>6996600</v>
      </c>
    </row>
    <row r="105" spans="1:158" ht="17.25" thickBot="1" x14ac:dyDescent="0.3">
      <c r="A105" s="226">
        <v>46121</v>
      </c>
      <c r="B105" s="227" t="s">
        <v>215</v>
      </c>
      <c r="C105" s="227" t="s">
        <v>591</v>
      </c>
      <c r="D105" s="228">
        <v>4250</v>
      </c>
      <c r="E105" s="228">
        <v>98.53</v>
      </c>
      <c r="F105" s="228">
        <v>99.13</v>
      </c>
      <c r="G105" s="228">
        <v>-0.6</v>
      </c>
      <c r="H105" s="229">
        <v>-6.1000000000000004E-3</v>
      </c>
      <c r="I105" s="228">
        <v>98.49</v>
      </c>
      <c r="J105" s="228">
        <v>98.91</v>
      </c>
      <c r="K105" s="228">
        <v>-0.42</v>
      </c>
      <c r="L105" s="229">
        <v>-4.1999999999999997E-3</v>
      </c>
      <c r="M105" s="228">
        <v>98.53</v>
      </c>
      <c r="N105" s="228">
        <v>99.13</v>
      </c>
      <c r="O105" s="228">
        <v>-0.6</v>
      </c>
      <c r="P105" s="229">
        <v>-6.1000000000000004E-3</v>
      </c>
      <c r="Q105" s="228">
        <v>97.93</v>
      </c>
      <c r="R105" s="228">
        <v>98.57</v>
      </c>
      <c r="S105" s="228">
        <v>-0.64</v>
      </c>
      <c r="T105" s="229">
        <v>-6.4999999999999997E-3</v>
      </c>
      <c r="U105" s="228">
        <v>97.89</v>
      </c>
      <c r="V105" s="228">
        <v>98.58</v>
      </c>
      <c r="W105" s="228">
        <v>-0.69</v>
      </c>
      <c r="X105" s="229">
        <v>-7.0000000000000001E-3</v>
      </c>
      <c r="Y105" s="228">
        <v>0.04</v>
      </c>
      <c r="Z105" s="228">
        <v>0.22</v>
      </c>
      <c r="AA105" s="228">
        <v>-0.18</v>
      </c>
      <c r="AB105" s="229">
        <v>4.0000000000000002E-4</v>
      </c>
      <c r="AC105" s="228">
        <v>0.04</v>
      </c>
      <c r="AD105" s="228">
        <v>0.22</v>
      </c>
      <c r="AE105" s="228">
        <v>-0.18</v>
      </c>
      <c r="AF105" s="229">
        <v>4.0000000000000002E-4</v>
      </c>
      <c r="AG105" s="228">
        <v>-0.56000000000000005</v>
      </c>
      <c r="AH105" s="228">
        <v>-0.34</v>
      </c>
      <c r="AI105" s="228">
        <v>-0.22</v>
      </c>
      <c r="AJ105" s="229">
        <v>-5.7000000000000002E-3</v>
      </c>
      <c r="AK105" s="228">
        <v>-0.6</v>
      </c>
      <c r="AL105" s="228">
        <v>-0.33</v>
      </c>
      <c r="AM105" s="228">
        <v>-0.27</v>
      </c>
      <c r="AN105" s="229">
        <v>-6.1000000000000004E-3</v>
      </c>
      <c r="AO105" s="228">
        <v>98.48</v>
      </c>
      <c r="AP105" s="228">
        <v>97.76</v>
      </c>
      <c r="AQ105" s="228">
        <v>0</v>
      </c>
      <c r="AR105" s="230">
        <v>8011250</v>
      </c>
      <c r="AS105" s="230">
        <v>16039500</v>
      </c>
      <c r="AT105" s="230">
        <v>-8028250</v>
      </c>
      <c r="AU105" s="229">
        <v>-0.50049999999999994</v>
      </c>
      <c r="AV105" s="230">
        <v>6217750</v>
      </c>
      <c r="AW105" s="230">
        <v>12796750</v>
      </c>
      <c r="AX105" s="230">
        <v>-6579000</v>
      </c>
      <c r="AY105" s="229">
        <v>-0.5141</v>
      </c>
      <c r="AZ105" s="230">
        <v>1491750</v>
      </c>
      <c r="BA105" s="230">
        <v>2575500</v>
      </c>
      <c r="BB105" s="230">
        <v>-1083750</v>
      </c>
      <c r="BC105" s="229">
        <v>-0.42080000000000001</v>
      </c>
      <c r="BD105" s="230">
        <v>301750</v>
      </c>
      <c r="BE105" s="230">
        <v>667250</v>
      </c>
      <c r="BF105" s="230">
        <v>-365500</v>
      </c>
      <c r="BG105" s="229">
        <v>-0.54779999999999995</v>
      </c>
      <c r="BH105" s="230">
        <v>29835000</v>
      </c>
      <c r="BI105" s="230">
        <v>70465000</v>
      </c>
      <c r="BJ105" s="230">
        <v>-40630000</v>
      </c>
      <c r="BK105" s="229">
        <v>-0.5766</v>
      </c>
      <c r="BL105" s="230">
        <v>11997750</v>
      </c>
      <c r="BM105" s="230">
        <v>19656250</v>
      </c>
      <c r="BN105" s="230">
        <v>-7658500</v>
      </c>
      <c r="BO105" s="229">
        <v>-0.3896</v>
      </c>
      <c r="BP105" s="230">
        <v>49844000</v>
      </c>
      <c r="BQ105" s="230">
        <v>106160750</v>
      </c>
      <c r="BR105" s="230">
        <v>-56316750</v>
      </c>
      <c r="BS105" s="229">
        <v>-0.53049999999999997</v>
      </c>
      <c r="BT105" s="230">
        <v>17680341</v>
      </c>
      <c r="BU105" s="230">
        <v>24853137</v>
      </c>
      <c r="BV105" s="230">
        <v>-7172796</v>
      </c>
      <c r="BW105" s="229">
        <v>-0.28860000000000002</v>
      </c>
      <c r="BX105" s="230">
        <v>53613750</v>
      </c>
      <c r="BY105" s="230">
        <v>53044250</v>
      </c>
      <c r="BZ105" s="230">
        <v>569500</v>
      </c>
      <c r="CA105" s="229">
        <v>1.0699999999999999E-2</v>
      </c>
      <c r="CB105" s="230">
        <v>46745750</v>
      </c>
      <c r="CC105" s="230">
        <v>46673500</v>
      </c>
      <c r="CD105" s="230">
        <v>72250</v>
      </c>
      <c r="CE105" s="229">
        <v>1.5E-3</v>
      </c>
      <c r="CF105" s="230">
        <v>5746000</v>
      </c>
      <c r="CG105" s="230">
        <v>5389000</v>
      </c>
      <c r="CH105" s="230">
        <v>357000</v>
      </c>
      <c r="CI105" s="229">
        <v>6.6199999999999995E-2</v>
      </c>
      <c r="CJ105" s="230">
        <v>1122000</v>
      </c>
      <c r="CK105" s="230">
        <v>981750</v>
      </c>
      <c r="CL105" s="230">
        <v>140250</v>
      </c>
      <c r="CM105" s="229">
        <v>0.1429</v>
      </c>
      <c r="CN105" s="230">
        <v>33596250</v>
      </c>
      <c r="CO105" s="230">
        <v>34875500</v>
      </c>
      <c r="CP105" s="230">
        <v>-1279250</v>
      </c>
      <c r="CQ105" s="229">
        <v>-3.6700000000000003E-2</v>
      </c>
      <c r="CR105" s="230">
        <v>24900750</v>
      </c>
      <c r="CS105" s="230">
        <v>24705250</v>
      </c>
      <c r="CT105" s="230">
        <v>195500</v>
      </c>
      <c r="CU105" s="229">
        <v>7.9000000000000008E-3</v>
      </c>
      <c r="CV105" s="230">
        <v>112110750</v>
      </c>
      <c r="CW105" s="230">
        <v>112625000</v>
      </c>
      <c r="CX105" s="230">
        <v>-514250</v>
      </c>
      <c r="CY105" s="229">
        <v>-4.5999999999999999E-3</v>
      </c>
      <c r="CZ105" s="228">
        <v>38.049999999999997</v>
      </c>
      <c r="DA105" s="228">
        <v>39.21</v>
      </c>
      <c r="DB105" s="228">
        <v>-1.1599999999999999</v>
      </c>
      <c r="DC105" s="228">
        <v>-1.1599999999999999</v>
      </c>
      <c r="DD105" s="228">
        <v>46.06</v>
      </c>
      <c r="DE105" s="228">
        <v>46.17</v>
      </c>
      <c r="DF105" s="228">
        <v>-8.01</v>
      </c>
      <c r="DG105" s="228">
        <v>-0.11</v>
      </c>
      <c r="DH105" s="228">
        <v>37.270000000000003</v>
      </c>
      <c r="DI105" s="228">
        <v>38.6</v>
      </c>
      <c r="DJ105" s="228">
        <v>-1.33</v>
      </c>
      <c r="DK105" s="228">
        <v>-1.33</v>
      </c>
      <c r="DL105" s="228">
        <v>40</v>
      </c>
      <c r="DM105" s="228">
        <v>41.37</v>
      </c>
      <c r="DN105" s="228">
        <v>-1.37</v>
      </c>
      <c r="DO105" s="228">
        <v>-1.37</v>
      </c>
      <c r="DP105" s="228">
        <v>0.74</v>
      </c>
      <c r="DQ105" s="228">
        <v>0.71</v>
      </c>
      <c r="DR105" s="228">
        <v>0.03</v>
      </c>
      <c r="DS105" s="229">
        <v>4.2299999999999997E-2</v>
      </c>
      <c r="DT105" s="228">
        <v>110</v>
      </c>
      <c r="DU105" s="228">
        <v>90</v>
      </c>
      <c r="DV105" s="228">
        <v>0.4</v>
      </c>
      <c r="DW105" s="228">
        <v>0.28000000000000003</v>
      </c>
      <c r="DX105" s="228">
        <v>0.12</v>
      </c>
      <c r="DY105" s="229">
        <v>0.42859999999999998</v>
      </c>
      <c r="DZ105" s="229">
        <v>0.12809999999999999</v>
      </c>
      <c r="EA105" s="230">
        <v>6370750</v>
      </c>
      <c r="EB105" s="229">
        <v>-6.1000000000000004E-3</v>
      </c>
      <c r="EC105" s="229">
        <v>0.12809999999999999</v>
      </c>
      <c r="ED105" s="228">
        <v>-0.72</v>
      </c>
      <c r="EE105" s="229">
        <v>-7.3000000000000001E-3</v>
      </c>
      <c r="EF105" s="230">
        <v>4293705</v>
      </c>
      <c r="EG105" s="230">
        <v>8137222</v>
      </c>
      <c r="EH105" s="229">
        <v>-0.4723</v>
      </c>
      <c r="EI105" s="229">
        <v>0.2429</v>
      </c>
      <c r="EJ105" s="231">
        <v>31828.720000000001</v>
      </c>
      <c r="EK105" s="231">
        <v>11508.1</v>
      </c>
      <c r="EL105" s="231">
        <v>7876.73</v>
      </c>
      <c r="EM105" s="231">
        <v>2542</v>
      </c>
      <c r="EN105" s="231">
        <v>51213.55</v>
      </c>
      <c r="EO105" s="231">
        <v>109806.5</v>
      </c>
      <c r="EP105" s="231">
        <v>-58592.95</v>
      </c>
      <c r="EQ105" s="229">
        <v>-0.53359999999999996</v>
      </c>
      <c r="ER105" s="231">
        <v>34778</v>
      </c>
      <c r="ES105" s="231">
        <v>23827</v>
      </c>
      <c r="ET105" s="231">
        <v>52784</v>
      </c>
      <c r="EU105" s="231">
        <v>267310350</v>
      </c>
      <c r="EV105" s="231">
        <v>111389</v>
      </c>
      <c r="EW105" s="231">
        <v>112462</v>
      </c>
      <c r="EX105" s="231">
        <v>-1073</v>
      </c>
      <c r="EY105" s="229">
        <v>-9.4999999999999998E-3</v>
      </c>
      <c r="EZ105" s="229">
        <v>0.4194</v>
      </c>
      <c r="FA105" s="227" t="s">
        <v>566</v>
      </c>
      <c r="FB105" s="161">
        <f t="shared" si="1"/>
        <v>6868000</v>
      </c>
    </row>
    <row r="106" spans="1:158" ht="17.25" thickBot="1" x14ac:dyDescent="0.3">
      <c r="A106" s="226">
        <v>46121</v>
      </c>
      <c r="B106" s="227" t="s">
        <v>168</v>
      </c>
      <c r="C106" s="227" t="s">
        <v>242</v>
      </c>
      <c r="D106" s="228">
        <v>1600</v>
      </c>
      <c r="E106" s="228">
        <v>303.75</v>
      </c>
      <c r="F106" s="228">
        <v>303.64999999999998</v>
      </c>
      <c r="G106" s="228">
        <v>0.1</v>
      </c>
      <c r="H106" s="229">
        <v>2.9999999999999997E-4</v>
      </c>
      <c r="I106" s="228">
        <v>303</v>
      </c>
      <c r="J106" s="228">
        <v>302.45</v>
      </c>
      <c r="K106" s="228">
        <v>0.55000000000000004</v>
      </c>
      <c r="L106" s="229">
        <v>1.8E-3</v>
      </c>
      <c r="M106" s="228">
        <v>303.75</v>
      </c>
      <c r="N106" s="228">
        <v>303.64999999999998</v>
      </c>
      <c r="O106" s="228">
        <v>0.1</v>
      </c>
      <c r="P106" s="229">
        <v>2.9999999999999997E-4</v>
      </c>
      <c r="Q106" s="228">
        <v>305.55</v>
      </c>
      <c r="R106" s="228">
        <v>305.64999999999998</v>
      </c>
      <c r="S106" s="228">
        <v>-0.1</v>
      </c>
      <c r="T106" s="229">
        <v>-2.9999999999999997E-4</v>
      </c>
      <c r="U106" s="228">
        <v>307.45</v>
      </c>
      <c r="V106" s="228">
        <v>307.2</v>
      </c>
      <c r="W106" s="228">
        <v>0.25</v>
      </c>
      <c r="X106" s="229">
        <v>8.0000000000000004E-4</v>
      </c>
      <c r="Y106" s="228">
        <v>0.75</v>
      </c>
      <c r="Z106" s="228">
        <v>1.2</v>
      </c>
      <c r="AA106" s="228">
        <v>-0.45</v>
      </c>
      <c r="AB106" s="229">
        <v>2.5000000000000001E-3</v>
      </c>
      <c r="AC106" s="228">
        <v>0.75</v>
      </c>
      <c r="AD106" s="228">
        <v>1.2</v>
      </c>
      <c r="AE106" s="228">
        <v>-0.45</v>
      </c>
      <c r="AF106" s="229">
        <v>2.5000000000000001E-3</v>
      </c>
      <c r="AG106" s="228">
        <v>2.5499999999999998</v>
      </c>
      <c r="AH106" s="228">
        <v>3.2</v>
      </c>
      <c r="AI106" s="228">
        <v>-0.65</v>
      </c>
      <c r="AJ106" s="229">
        <v>8.3999999999999995E-3</v>
      </c>
      <c r="AK106" s="228">
        <v>4.45</v>
      </c>
      <c r="AL106" s="228">
        <v>4.75</v>
      </c>
      <c r="AM106" s="228">
        <v>-0.3</v>
      </c>
      <c r="AN106" s="229">
        <v>1.47E-2</v>
      </c>
      <c r="AO106" s="228">
        <v>303.97000000000003</v>
      </c>
      <c r="AP106" s="228">
        <v>305.72000000000003</v>
      </c>
      <c r="AQ106" s="228">
        <v>0</v>
      </c>
      <c r="AR106" s="230">
        <v>10537600</v>
      </c>
      <c r="AS106" s="230">
        <v>19593600</v>
      </c>
      <c r="AT106" s="230">
        <v>-9056000</v>
      </c>
      <c r="AU106" s="229">
        <v>-0.4622</v>
      </c>
      <c r="AV106" s="230">
        <v>9440000</v>
      </c>
      <c r="AW106" s="230">
        <v>16552000</v>
      </c>
      <c r="AX106" s="230">
        <v>-7112000</v>
      </c>
      <c r="AY106" s="229">
        <v>-0.42970000000000003</v>
      </c>
      <c r="AZ106" s="230">
        <v>924800</v>
      </c>
      <c r="BA106" s="230">
        <v>2544000</v>
      </c>
      <c r="BB106" s="230">
        <v>-1619200</v>
      </c>
      <c r="BC106" s="229">
        <v>-0.63649999999999995</v>
      </c>
      <c r="BD106" s="230">
        <v>172800</v>
      </c>
      <c r="BE106" s="230">
        <v>497600</v>
      </c>
      <c r="BF106" s="230">
        <v>-324800</v>
      </c>
      <c r="BG106" s="229">
        <v>-0.65269999999999995</v>
      </c>
      <c r="BH106" s="230">
        <v>69985600</v>
      </c>
      <c r="BI106" s="230">
        <v>82990400</v>
      </c>
      <c r="BJ106" s="230">
        <v>-13004800</v>
      </c>
      <c r="BK106" s="229">
        <v>-0.15670000000000001</v>
      </c>
      <c r="BL106" s="230">
        <v>25619200</v>
      </c>
      <c r="BM106" s="230">
        <v>41249600</v>
      </c>
      <c r="BN106" s="230">
        <v>-15630400</v>
      </c>
      <c r="BO106" s="229">
        <v>-0.37890000000000001</v>
      </c>
      <c r="BP106" s="230">
        <v>106142400</v>
      </c>
      <c r="BQ106" s="230">
        <v>143833600</v>
      </c>
      <c r="BR106" s="230">
        <v>-37691200</v>
      </c>
      <c r="BS106" s="229">
        <v>-0.26200000000000001</v>
      </c>
      <c r="BT106" s="230">
        <v>18381582</v>
      </c>
      <c r="BU106" s="230">
        <v>23543372</v>
      </c>
      <c r="BV106" s="230">
        <v>-5161790</v>
      </c>
      <c r="BW106" s="229">
        <v>-0.21920000000000001</v>
      </c>
      <c r="BX106" s="230">
        <v>160203200</v>
      </c>
      <c r="BY106" s="230">
        <v>159860800</v>
      </c>
      <c r="BZ106" s="230">
        <v>342400</v>
      </c>
      <c r="CA106" s="229">
        <v>2.0999999999999999E-3</v>
      </c>
      <c r="CB106" s="230">
        <v>146667200</v>
      </c>
      <c r="CC106" s="230">
        <v>146670400</v>
      </c>
      <c r="CD106" s="230">
        <v>-3200</v>
      </c>
      <c r="CE106" s="229">
        <v>0</v>
      </c>
      <c r="CF106" s="230">
        <v>11976000</v>
      </c>
      <c r="CG106" s="230">
        <v>11700800</v>
      </c>
      <c r="CH106" s="230">
        <v>275200</v>
      </c>
      <c r="CI106" s="229">
        <v>2.35E-2</v>
      </c>
      <c r="CJ106" s="230">
        <v>1560000</v>
      </c>
      <c r="CK106" s="230">
        <v>1489600</v>
      </c>
      <c r="CL106" s="230">
        <v>70400</v>
      </c>
      <c r="CM106" s="229">
        <v>4.7300000000000002E-2</v>
      </c>
      <c r="CN106" s="230">
        <v>85006400</v>
      </c>
      <c r="CO106" s="230">
        <v>77982400</v>
      </c>
      <c r="CP106" s="230">
        <v>7024000</v>
      </c>
      <c r="CQ106" s="229">
        <v>9.01E-2</v>
      </c>
      <c r="CR106" s="230">
        <v>48224000</v>
      </c>
      <c r="CS106" s="230">
        <v>47676800</v>
      </c>
      <c r="CT106" s="230">
        <v>547200</v>
      </c>
      <c r="CU106" s="229">
        <v>1.15E-2</v>
      </c>
      <c r="CV106" s="230">
        <v>293433600</v>
      </c>
      <c r="CW106" s="230">
        <v>285520000</v>
      </c>
      <c r="CX106" s="230">
        <v>7913600</v>
      </c>
      <c r="CY106" s="229">
        <v>2.7699999999999999E-2</v>
      </c>
      <c r="CZ106" s="228">
        <v>19.559999999999999</v>
      </c>
      <c r="DA106" s="228">
        <v>19.940000000000001</v>
      </c>
      <c r="DB106" s="228">
        <v>-0.38</v>
      </c>
      <c r="DC106" s="228">
        <v>-0.38</v>
      </c>
      <c r="DD106" s="228">
        <v>24.54</v>
      </c>
      <c r="DE106" s="228">
        <v>24.6</v>
      </c>
      <c r="DF106" s="228">
        <v>-4.9800000000000004</v>
      </c>
      <c r="DG106" s="228">
        <v>-0.06</v>
      </c>
      <c r="DH106" s="228">
        <v>19.28</v>
      </c>
      <c r="DI106" s="228">
        <v>19.34</v>
      </c>
      <c r="DJ106" s="228">
        <v>-0.06</v>
      </c>
      <c r="DK106" s="228">
        <v>-0.06</v>
      </c>
      <c r="DL106" s="228">
        <v>20.350000000000001</v>
      </c>
      <c r="DM106" s="228">
        <v>21.15</v>
      </c>
      <c r="DN106" s="228">
        <v>-0.8</v>
      </c>
      <c r="DO106" s="228">
        <v>-0.8</v>
      </c>
      <c r="DP106" s="228">
        <v>0.56999999999999995</v>
      </c>
      <c r="DQ106" s="228">
        <v>0.61</v>
      </c>
      <c r="DR106" s="228">
        <v>-0.04</v>
      </c>
      <c r="DS106" s="229">
        <v>-6.5600000000000006E-2</v>
      </c>
      <c r="DT106" s="228">
        <v>300</v>
      </c>
      <c r="DU106" s="228">
        <v>300</v>
      </c>
      <c r="DV106" s="228">
        <v>0.37</v>
      </c>
      <c r="DW106" s="228">
        <v>0.5</v>
      </c>
      <c r="DX106" s="228">
        <v>-0.13</v>
      </c>
      <c r="DY106" s="229">
        <v>-0.26</v>
      </c>
      <c r="DZ106" s="229">
        <v>8.4500000000000006E-2</v>
      </c>
      <c r="EA106" s="230">
        <v>13190400</v>
      </c>
      <c r="EB106" s="229">
        <v>5.8999999999999999E-3</v>
      </c>
      <c r="EC106" s="229">
        <v>8.4500000000000006E-2</v>
      </c>
      <c r="ED106" s="228">
        <v>1.75</v>
      </c>
      <c r="EE106" s="229">
        <v>5.7999999999999996E-3</v>
      </c>
      <c r="EF106" s="230">
        <v>12101013</v>
      </c>
      <c r="EG106" s="230">
        <v>15114291</v>
      </c>
      <c r="EH106" s="229">
        <v>-0.19939999999999999</v>
      </c>
      <c r="EI106" s="229">
        <v>0.6583</v>
      </c>
      <c r="EJ106" s="231">
        <v>220907.37</v>
      </c>
      <c r="EK106" s="231">
        <v>76664.539999999994</v>
      </c>
      <c r="EL106" s="231">
        <v>32053.94</v>
      </c>
      <c r="EM106" s="231">
        <v>9304</v>
      </c>
      <c r="EN106" s="231">
        <v>329625.84999999998</v>
      </c>
      <c r="EO106" s="231">
        <v>443736.84</v>
      </c>
      <c r="EP106" s="231">
        <v>-114110.99</v>
      </c>
      <c r="EQ106" s="229">
        <v>-0.25719999999999998</v>
      </c>
      <c r="ER106" s="231">
        <v>267680</v>
      </c>
      <c r="ES106" s="231">
        <v>143443</v>
      </c>
      <c r="ET106" s="231">
        <v>486891</v>
      </c>
      <c r="EU106" s="231">
        <v>1317896781</v>
      </c>
      <c r="EV106" s="231">
        <v>898014</v>
      </c>
      <c r="EW106" s="231">
        <v>873413</v>
      </c>
      <c r="EX106" s="231">
        <v>24601</v>
      </c>
      <c r="EY106" s="229">
        <v>2.8199999999999999E-2</v>
      </c>
      <c r="EZ106" s="229">
        <v>0.22270000000000001</v>
      </c>
      <c r="FA106" s="227" t="s">
        <v>555</v>
      </c>
      <c r="FB106" s="161">
        <f t="shared" si="1"/>
        <v>13536000</v>
      </c>
    </row>
    <row r="107" spans="1:158" ht="17.25" thickBot="1" x14ac:dyDescent="0.3">
      <c r="A107" s="226">
        <v>46121</v>
      </c>
      <c r="B107" s="227" t="s">
        <v>227</v>
      </c>
      <c r="C107" s="227" t="s">
        <v>243</v>
      </c>
      <c r="D107" s="228">
        <v>625</v>
      </c>
      <c r="E107" s="231">
        <v>1205.5</v>
      </c>
      <c r="F107" s="231">
        <v>1208.4000000000001</v>
      </c>
      <c r="G107" s="228">
        <v>-2.9</v>
      </c>
      <c r="H107" s="229">
        <v>-2.3999999999999998E-3</v>
      </c>
      <c r="I107" s="231">
        <v>1199.5999999999999</v>
      </c>
      <c r="J107" s="231">
        <v>1213.0999999999999</v>
      </c>
      <c r="K107" s="228">
        <v>-13.5</v>
      </c>
      <c r="L107" s="229">
        <v>-1.11E-2</v>
      </c>
      <c r="M107" s="231">
        <v>1205.5</v>
      </c>
      <c r="N107" s="231">
        <v>1208.4000000000001</v>
      </c>
      <c r="O107" s="228">
        <v>-2.9</v>
      </c>
      <c r="P107" s="229">
        <v>-2.3999999999999998E-3</v>
      </c>
      <c r="Q107" s="231">
        <v>1211.4000000000001</v>
      </c>
      <c r="R107" s="231">
        <v>1213.3</v>
      </c>
      <c r="S107" s="228">
        <v>-1.9</v>
      </c>
      <c r="T107" s="229">
        <v>-1.6000000000000001E-3</v>
      </c>
      <c r="U107" s="231">
        <v>1219</v>
      </c>
      <c r="V107" s="231">
        <v>1219.7</v>
      </c>
      <c r="W107" s="228">
        <v>-0.7</v>
      </c>
      <c r="X107" s="229">
        <v>-5.9999999999999995E-4</v>
      </c>
      <c r="Y107" s="228">
        <v>5.9</v>
      </c>
      <c r="Z107" s="228">
        <v>-4.7</v>
      </c>
      <c r="AA107" s="228">
        <v>10.6</v>
      </c>
      <c r="AB107" s="229">
        <v>4.8999999999999998E-3</v>
      </c>
      <c r="AC107" s="228">
        <v>5.9</v>
      </c>
      <c r="AD107" s="228">
        <v>-4.7</v>
      </c>
      <c r="AE107" s="228">
        <v>10.6</v>
      </c>
      <c r="AF107" s="229">
        <v>4.8999999999999998E-3</v>
      </c>
      <c r="AG107" s="228">
        <v>11.8</v>
      </c>
      <c r="AH107" s="228">
        <v>0.2</v>
      </c>
      <c r="AI107" s="228">
        <v>11.6</v>
      </c>
      <c r="AJ107" s="229">
        <v>9.7999999999999997E-3</v>
      </c>
      <c r="AK107" s="228">
        <v>19.399999999999999</v>
      </c>
      <c r="AL107" s="228">
        <v>6.6</v>
      </c>
      <c r="AM107" s="228">
        <v>12.8</v>
      </c>
      <c r="AN107" s="229">
        <v>1.6199999999999999E-2</v>
      </c>
      <c r="AO107" s="231">
        <v>1211.9000000000001</v>
      </c>
      <c r="AP107" s="231">
        <v>1219.01</v>
      </c>
      <c r="AQ107" s="228">
        <v>0</v>
      </c>
      <c r="AR107" s="230">
        <v>2267500</v>
      </c>
      <c r="AS107" s="230">
        <v>3913125</v>
      </c>
      <c r="AT107" s="230">
        <v>-1645625</v>
      </c>
      <c r="AU107" s="229">
        <v>-0.42049999999999998</v>
      </c>
      <c r="AV107" s="230">
        <v>2158125</v>
      </c>
      <c r="AW107" s="230">
        <v>3510625</v>
      </c>
      <c r="AX107" s="230">
        <v>-1352500</v>
      </c>
      <c r="AY107" s="229">
        <v>-0.38529999999999998</v>
      </c>
      <c r="AZ107" s="230">
        <v>101875</v>
      </c>
      <c r="BA107" s="230">
        <v>395625</v>
      </c>
      <c r="BB107" s="230">
        <v>-293750</v>
      </c>
      <c r="BC107" s="229">
        <v>-0.74250000000000005</v>
      </c>
      <c r="BD107" s="230">
        <v>7500</v>
      </c>
      <c r="BE107" s="230">
        <v>6875</v>
      </c>
      <c r="BF107" s="228">
        <v>625</v>
      </c>
      <c r="BG107" s="229">
        <v>9.0899999999999995E-2</v>
      </c>
      <c r="BH107" s="230">
        <v>3070625</v>
      </c>
      <c r="BI107" s="230">
        <v>5179375</v>
      </c>
      <c r="BJ107" s="230">
        <v>-2108750</v>
      </c>
      <c r="BK107" s="229">
        <v>-0.40710000000000002</v>
      </c>
      <c r="BL107" s="230">
        <v>2936250</v>
      </c>
      <c r="BM107" s="230">
        <v>3176875</v>
      </c>
      <c r="BN107" s="230">
        <v>-240625</v>
      </c>
      <c r="BO107" s="229">
        <v>-7.5700000000000003E-2</v>
      </c>
      <c r="BP107" s="230">
        <v>8274375</v>
      </c>
      <c r="BQ107" s="230">
        <v>12269375</v>
      </c>
      <c r="BR107" s="230">
        <v>-3995000</v>
      </c>
      <c r="BS107" s="229">
        <v>-0.3256</v>
      </c>
      <c r="BT107" s="230">
        <v>2250037</v>
      </c>
      <c r="BU107" s="230">
        <v>1610737</v>
      </c>
      <c r="BV107" s="230">
        <v>639300</v>
      </c>
      <c r="BW107" s="229">
        <v>0.39689999999999998</v>
      </c>
      <c r="BX107" s="230">
        <v>12489375</v>
      </c>
      <c r="BY107" s="230">
        <v>12351875</v>
      </c>
      <c r="BZ107" s="230">
        <v>137500</v>
      </c>
      <c r="CA107" s="229">
        <v>1.11E-2</v>
      </c>
      <c r="CB107" s="230">
        <v>11275625</v>
      </c>
      <c r="CC107" s="230">
        <v>11186250</v>
      </c>
      <c r="CD107" s="230">
        <v>89375</v>
      </c>
      <c r="CE107" s="229">
        <v>8.0000000000000002E-3</v>
      </c>
      <c r="CF107" s="230">
        <v>1200625</v>
      </c>
      <c r="CG107" s="230">
        <v>1153125</v>
      </c>
      <c r="CH107" s="230">
        <v>47500</v>
      </c>
      <c r="CI107" s="229">
        <v>4.1200000000000001E-2</v>
      </c>
      <c r="CJ107" s="230">
        <v>13125</v>
      </c>
      <c r="CK107" s="230">
        <v>12500</v>
      </c>
      <c r="CL107" s="228">
        <v>625</v>
      </c>
      <c r="CM107" s="229">
        <v>0.05</v>
      </c>
      <c r="CN107" s="230">
        <v>2676875</v>
      </c>
      <c r="CO107" s="230">
        <v>2505000</v>
      </c>
      <c r="CP107" s="230">
        <v>171875</v>
      </c>
      <c r="CQ107" s="229">
        <v>6.8599999999999994E-2</v>
      </c>
      <c r="CR107" s="230">
        <v>2815000</v>
      </c>
      <c r="CS107" s="230">
        <v>2500000</v>
      </c>
      <c r="CT107" s="230">
        <v>315000</v>
      </c>
      <c r="CU107" s="229">
        <v>0.126</v>
      </c>
      <c r="CV107" s="230">
        <v>17981250</v>
      </c>
      <c r="CW107" s="230">
        <v>17356875</v>
      </c>
      <c r="CX107" s="230">
        <v>624375</v>
      </c>
      <c r="CY107" s="229">
        <v>3.5999999999999997E-2</v>
      </c>
      <c r="CZ107" s="228">
        <v>32.090000000000003</v>
      </c>
      <c r="DA107" s="228">
        <v>32.9</v>
      </c>
      <c r="DB107" s="228">
        <v>-0.81</v>
      </c>
      <c r="DC107" s="228">
        <v>-0.81</v>
      </c>
      <c r="DD107" s="228">
        <v>38.21</v>
      </c>
      <c r="DE107" s="228">
        <v>38.270000000000003</v>
      </c>
      <c r="DF107" s="228">
        <v>-6.12</v>
      </c>
      <c r="DG107" s="228">
        <v>-0.06</v>
      </c>
      <c r="DH107" s="228">
        <v>30.83</v>
      </c>
      <c r="DI107" s="228">
        <v>31.52</v>
      </c>
      <c r="DJ107" s="228">
        <v>-0.69</v>
      </c>
      <c r="DK107" s="228">
        <v>-0.69</v>
      </c>
      <c r="DL107" s="228">
        <v>33.4</v>
      </c>
      <c r="DM107" s="228">
        <v>35.159999999999997</v>
      </c>
      <c r="DN107" s="228">
        <v>-1.76</v>
      </c>
      <c r="DO107" s="228">
        <v>-1.76</v>
      </c>
      <c r="DP107" s="228">
        <v>1.05</v>
      </c>
      <c r="DQ107" s="228">
        <v>1</v>
      </c>
      <c r="DR107" s="228">
        <v>0.05</v>
      </c>
      <c r="DS107" s="229">
        <v>0.05</v>
      </c>
      <c r="DT107" s="231">
        <v>1200</v>
      </c>
      <c r="DU107" s="231">
        <v>1200</v>
      </c>
      <c r="DV107" s="228">
        <v>0.96</v>
      </c>
      <c r="DW107" s="228">
        <v>0.61</v>
      </c>
      <c r="DX107" s="228">
        <v>0.35</v>
      </c>
      <c r="DY107" s="229">
        <v>0.57379999999999998</v>
      </c>
      <c r="DZ107" s="229">
        <v>9.7199999999999995E-2</v>
      </c>
      <c r="EA107" s="230">
        <v>1165625</v>
      </c>
      <c r="EB107" s="229">
        <v>4.8999999999999998E-3</v>
      </c>
      <c r="EC107" s="229">
        <v>9.7199999999999995E-2</v>
      </c>
      <c r="ED107" s="228">
        <v>7.11</v>
      </c>
      <c r="EE107" s="229">
        <v>5.8999999999999999E-3</v>
      </c>
      <c r="EF107" s="230">
        <v>1216141</v>
      </c>
      <c r="EG107" s="230">
        <v>574833</v>
      </c>
      <c r="EH107" s="229">
        <v>1.1155999999999999</v>
      </c>
      <c r="EI107" s="229">
        <v>0.54049999999999998</v>
      </c>
      <c r="EJ107" s="231">
        <v>38995.72</v>
      </c>
      <c r="EK107" s="231">
        <v>34725.93</v>
      </c>
      <c r="EL107" s="231">
        <v>27487.99</v>
      </c>
      <c r="EM107" s="231">
        <v>6816</v>
      </c>
      <c r="EN107" s="231">
        <v>101209.64</v>
      </c>
      <c r="EO107" s="231">
        <v>149562.20000000001</v>
      </c>
      <c r="EP107" s="231">
        <v>-48352.56</v>
      </c>
      <c r="EQ107" s="229">
        <v>-0.32329999999999998</v>
      </c>
      <c r="ER107" s="231">
        <v>32957</v>
      </c>
      <c r="ES107" s="231">
        <v>31966</v>
      </c>
      <c r="ET107" s="231">
        <v>150632</v>
      </c>
      <c r="EU107" s="231">
        <v>45844541</v>
      </c>
      <c r="EV107" s="231">
        <v>215555</v>
      </c>
      <c r="EW107" s="231">
        <v>208188</v>
      </c>
      <c r="EX107" s="231">
        <v>7367</v>
      </c>
      <c r="EY107" s="229">
        <v>3.5400000000000001E-2</v>
      </c>
      <c r="EZ107" s="229">
        <v>0.39219999999999999</v>
      </c>
      <c r="FA107" s="227" t="s">
        <v>566</v>
      </c>
      <c r="FB107" s="161">
        <f t="shared" si="1"/>
        <v>1213750</v>
      </c>
    </row>
    <row r="108" spans="1:158" ht="17.25" thickBot="1" x14ac:dyDescent="0.3">
      <c r="A108" s="226">
        <v>46121</v>
      </c>
      <c r="B108" s="227" t="s">
        <v>175</v>
      </c>
      <c r="C108" s="227" t="s">
        <v>569</v>
      </c>
      <c r="D108" s="228">
        <v>2350</v>
      </c>
      <c r="E108" s="228">
        <v>239.74</v>
      </c>
      <c r="F108" s="228">
        <v>247.91</v>
      </c>
      <c r="G108" s="228">
        <v>-8.17</v>
      </c>
      <c r="H108" s="229">
        <v>-3.3000000000000002E-2</v>
      </c>
      <c r="I108" s="228">
        <v>238.84</v>
      </c>
      <c r="J108" s="228">
        <v>246.86</v>
      </c>
      <c r="K108" s="228">
        <v>-8.02</v>
      </c>
      <c r="L108" s="229">
        <v>-3.2500000000000001E-2</v>
      </c>
      <c r="M108" s="228">
        <v>239.74</v>
      </c>
      <c r="N108" s="228">
        <v>247.91</v>
      </c>
      <c r="O108" s="228">
        <v>-8.17</v>
      </c>
      <c r="P108" s="229">
        <v>-3.3000000000000002E-2</v>
      </c>
      <c r="Q108" s="228">
        <v>241.3</v>
      </c>
      <c r="R108" s="228">
        <v>249.22</v>
      </c>
      <c r="S108" s="228">
        <v>-7.92</v>
      </c>
      <c r="T108" s="229">
        <v>-3.1800000000000002E-2</v>
      </c>
      <c r="U108" s="228">
        <v>242.6</v>
      </c>
      <c r="V108" s="228">
        <v>250.73</v>
      </c>
      <c r="W108" s="228">
        <v>-8.1300000000000008</v>
      </c>
      <c r="X108" s="229">
        <v>-3.2399999999999998E-2</v>
      </c>
      <c r="Y108" s="228">
        <v>0.9</v>
      </c>
      <c r="Z108" s="228">
        <v>1.05</v>
      </c>
      <c r="AA108" s="228">
        <v>-0.15</v>
      </c>
      <c r="AB108" s="229">
        <v>3.8E-3</v>
      </c>
      <c r="AC108" s="228">
        <v>0.9</v>
      </c>
      <c r="AD108" s="228">
        <v>1.05</v>
      </c>
      <c r="AE108" s="228">
        <v>-0.15</v>
      </c>
      <c r="AF108" s="229">
        <v>3.8E-3</v>
      </c>
      <c r="AG108" s="228">
        <v>2.46</v>
      </c>
      <c r="AH108" s="228">
        <v>2.36</v>
      </c>
      <c r="AI108" s="228">
        <v>0.1</v>
      </c>
      <c r="AJ108" s="229">
        <v>1.03E-2</v>
      </c>
      <c r="AK108" s="228">
        <v>3.76</v>
      </c>
      <c r="AL108" s="228">
        <v>3.87</v>
      </c>
      <c r="AM108" s="228">
        <v>-0.11</v>
      </c>
      <c r="AN108" s="229">
        <v>1.5699999999999999E-2</v>
      </c>
      <c r="AO108" s="228">
        <v>240.9</v>
      </c>
      <c r="AP108" s="228">
        <v>243.2</v>
      </c>
      <c r="AQ108" s="228">
        <v>0</v>
      </c>
      <c r="AR108" s="230">
        <v>18374650</v>
      </c>
      <c r="AS108" s="230">
        <v>18788250</v>
      </c>
      <c r="AT108" s="230">
        <v>-413600</v>
      </c>
      <c r="AU108" s="229">
        <v>-2.1999999999999999E-2</v>
      </c>
      <c r="AV108" s="230">
        <v>16069300</v>
      </c>
      <c r="AW108" s="230">
        <v>15148100</v>
      </c>
      <c r="AX108" s="230">
        <v>921200</v>
      </c>
      <c r="AY108" s="229">
        <v>6.08E-2</v>
      </c>
      <c r="AZ108" s="230">
        <v>1877650</v>
      </c>
      <c r="BA108" s="230">
        <v>3151350</v>
      </c>
      <c r="BB108" s="230">
        <v>-1273700</v>
      </c>
      <c r="BC108" s="229">
        <v>-0.4042</v>
      </c>
      <c r="BD108" s="230">
        <v>427700</v>
      </c>
      <c r="BE108" s="230">
        <v>488800</v>
      </c>
      <c r="BF108" s="230">
        <v>-61100</v>
      </c>
      <c r="BG108" s="229">
        <v>-0.125</v>
      </c>
      <c r="BH108" s="230">
        <v>36831550</v>
      </c>
      <c r="BI108" s="230">
        <v>48337150</v>
      </c>
      <c r="BJ108" s="230">
        <v>-11505600</v>
      </c>
      <c r="BK108" s="229">
        <v>-0.23799999999999999</v>
      </c>
      <c r="BL108" s="230">
        <v>20555450</v>
      </c>
      <c r="BM108" s="230">
        <v>23565800</v>
      </c>
      <c r="BN108" s="230">
        <v>-3010350</v>
      </c>
      <c r="BO108" s="229">
        <v>-0.12770000000000001</v>
      </c>
      <c r="BP108" s="230">
        <v>75761650</v>
      </c>
      <c r="BQ108" s="230">
        <v>90691200</v>
      </c>
      <c r="BR108" s="230">
        <v>-14929550</v>
      </c>
      <c r="BS108" s="229">
        <v>-0.1646</v>
      </c>
      <c r="BT108" s="230">
        <v>22489343</v>
      </c>
      <c r="BU108" s="230">
        <v>20846492</v>
      </c>
      <c r="BV108" s="230">
        <v>1642851</v>
      </c>
      <c r="BW108" s="229">
        <v>7.8799999999999995E-2</v>
      </c>
      <c r="BX108" s="230">
        <v>152973250</v>
      </c>
      <c r="BY108" s="230">
        <v>152275300</v>
      </c>
      <c r="BZ108" s="230">
        <v>697950</v>
      </c>
      <c r="CA108" s="229">
        <v>4.5999999999999999E-3</v>
      </c>
      <c r="CB108" s="230">
        <v>132716250</v>
      </c>
      <c r="CC108" s="230">
        <v>133085200</v>
      </c>
      <c r="CD108" s="230">
        <v>-368950</v>
      </c>
      <c r="CE108" s="229">
        <v>-2.8E-3</v>
      </c>
      <c r="CF108" s="230">
        <v>18999750</v>
      </c>
      <c r="CG108" s="230">
        <v>18193700</v>
      </c>
      <c r="CH108" s="230">
        <v>806050</v>
      </c>
      <c r="CI108" s="229">
        <v>4.4299999999999999E-2</v>
      </c>
      <c r="CJ108" s="230">
        <v>1257250</v>
      </c>
      <c r="CK108" s="230">
        <v>996400</v>
      </c>
      <c r="CL108" s="230">
        <v>260850</v>
      </c>
      <c r="CM108" s="229">
        <v>0.26179999999999998</v>
      </c>
      <c r="CN108" s="230">
        <v>40546900</v>
      </c>
      <c r="CO108" s="230">
        <v>35090200</v>
      </c>
      <c r="CP108" s="230">
        <v>5456700</v>
      </c>
      <c r="CQ108" s="229">
        <v>0.1555</v>
      </c>
      <c r="CR108" s="230">
        <v>33722500</v>
      </c>
      <c r="CS108" s="230">
        <v>30505350</v>
      </c>
      <c r="CT108" s="230">
        <v>3217150</v>
      </c>
      <c r="CU108" s="229">
        <v>0.1055</v>
      </c>
      <c r="CV108" s="230">
        <v>227242650</v>
      </c>
      <c r="CW108" s="230">
        <v>217870850</v>
      </c>
      <c r="CX108" s="230">
        <v>9371800</v>
      </c>
      <c r="CY108" s="229">
        <v>4.2999999999999997E-2</v>
      </c>
      <c r="CZ108" s="228">
        <v>37.9</v>
      </c>
      <c r="DA108" s="228">
        <v>36.32</v>
      </c>
      <c r="DB108" s="228">
        <v>1.58</v>
      </c>
      <c r="DC108" s="228">
        <v>1.58</v>
      </c>
      <c r="DD108" s="228">
        <v>37.46</v>
      </c>
      <c r="DE108" s="228">
        <v>37.28</v>
      </c>
      <c r="DF108" s="228">
        <v>0.44</v>
      </c>
      <c r="DG108" s="228">
        <v>0.18</v>
      </c>
      <c r="DH108" s="228">
        <v>37.409999999999997</v>
      </c>
      <c r="DI108" s="228">
        <v>35.369999999999997</v>
      </c>
      <c r="DJ108" s="228">
        <v>2.04</v>
      </c>
      <c r="DK108" s="228">
        <v>2.04</v>
      </c>
      <c r="DL108" s="228">
        <v>38.770000000000003</v>
      </c>
      <c r="DM108" s="228">
        <v>38.270000000000003</v>
      </c>
      <c r="DN108" s="228">
        <v>0.5</v>
      </c>
      <c r="DO108" s="228">
        <v>0.5</v>
      </c>
      <c r="DP108" s="228">
        <v>0.83</v>
      </c>
      <c r="DQ108" s="228">
        <v>0.87</v>
      </c>
      <c r="DR108" s="228">
        <v>-0.04</v>
      </c>
      <c r="DS108" s="229">
        <v>-4.5999999999999999E-2</v>
      </c>
      <c r="DT108" s="228">
        <v>250</v>
      </c>
      <c r="DU108" s="228">
        <v>240</v>
      </c>
      <c r="DV108" s="228">
        <v>0.56000000000000005</v>
      </c>
      <c r="DW108" s="228">
        <v>0.49</v>
      </c>
      <c r="DX108" s="228">
        <v>7.0000000000000007E-2</v>
      </c>
      <c r="DY108" s="229">
        <v>0.1429</v>
      </c>
      <c r="DZ108" s="229">
        <v>0.13239999999999999</v>
      </c>
      <c r="EA108" s="230">
        <v>19190100</v>
      </c>
      <c r="EB108" s="229">
        <v>6.4999999999999997E-3</v>
      </c>
      <c r="EC108" s="229">
        <v>0.13239999999999999</v>
      </c>
      <c r="ED108" s="228">
        <v>2.2999999999999998</v>
      </c>
      <c r="EE108" s="229">
        <v>9.4999999999999998E-3</v>
      </c>
      <c r="EF108" s="230">
        <v>11240686</v>
      </c>
      <c r="EG108" s="230">
        <v>8661588</v>
      </c>
      <c r="EH108" s="229">
        <v>0.29780000000000001</v>
      </c>
      <c r="EI108" s="229">
        <v>0.49980000000000002</v>
      </c>
      <c r="EJ108" s="231">
        <v>94827.48</v>
      </c>
      <c r="EK108" s="231">
        <v>49100.95</v>
      </c>
      <c r="EL108" s="231">
        <v>44323.56</v>
      </c>
      <c r="EM108" s="231">
        <v>6330</v>
      </c>
      <c r="EN108" s="231">
        <v>188251.99</v>
      </c>
      <c r="EO108" s="231">
        <v>228953.73</v>
      </c>
      <c r="EP108" s="231">
        <v>-40701.74</v>
      </c>
      <c r="EQ108" s="229">
        <v>-0.17780000000000001</v>
      </c>
      <c r="ER108" s="231">
        <v>103773</v>
      </c>
      <c r="ES108" s="231">
        <v>82037</v>
      </c>
      <c r="ET108" s="231">
        <v>367070</v>
      </c>
      <c r="EU108" s="231">
        <v>490240515</v>
      </c>
      <c r="EV108" s="231">
        <v>552881</v>
      </c>
      <c r="EW108" s="231">
        <v>542190</v>
      </c>
      <c r="EX108" s="231">
        <v>10691</v>
      </c>
      <c r="EY108" s="229">
        <v>1.9699999999999999E-2</v>
      </c>
      <c r="EZ108" s="229">
        <v>0.46350000000000002</v>
      </c>
      <c r="FA108" s="227" t="s">
        <v>566</v>
      </c>
      <c r="FB108" s="161">
        <f t="shared" si="1"/>
        <v>20257000</v>
      </c>
    </row>
    <row r="109" spans="1:158" ht="17.25" thickBot="1" x14ac:dyDescent="0.3">
      <c r="A109" s="226">
        <v>46121</v>
      </c>
      <c r="B109" s="227" t="s">
        <v>161</v>
      </c>
      <c r="C109" s="227" t="s">
        <v>579</v>
      </c>
      <c r="D109" s="228">
        <v>1000</v>
      </c>
      <c r="E109" s="228">
        <v>491.65</v>
      </c>
      <c r="F109" s="228">
        <v>504.7</v>
      </c>
      <c r="G109" s="228">
        <v>-13.05</v>
      </c>
      <c r="H109" s="229">
        <v>-2.5899999999999999E-2</v>
      </c>
      <c r="I109" s="228">
        <v>489.15</v>
      </c>
      <c r="J109" s="228">
        <v>502.05</v>
      </c>
      <c r="K109" s="228">
        <v>-12.9</v>
      </c>
      <c r="L109" s="229">
        <v>-2.5700000000000001E-2</v>
      </c>
      <c r="M109" s="228">
        <v>491.65</v>
      </c>
      <c r="N109" s="228">
        <v>504.7</v>
      </c>
      <c r="O109" s="228">
        <v>-13.05</v>
      </c>
      <c r="P109" s="229">
        <v>-2.5899999999999999E-2</v>
      </c>
      <c r="Q109" s="228">
        <v>494.45</v>
      </c>
      <c r="R109" s="228">
        <v>507.85</v>
      </c>
      <c r="S109" s="228">
        <v>-13.4</v>
      </c>
      <c r="T109" s="229">
        <v>-2.64E-2</v>
      </c>
      <c r="U109" s="228">
        <v>502.25</v>
      </c>
      <c r="V109" s="228">
        <v>505.95</v>
      </c>
      <c r="W109" s="228">
        <v>-3.7</v>
      </c>
      <c r="X109" s="229">
        <v>-7.3000000000000001E-3</v>
      </c>
      <c r="Y109" s="228">
        <v>2.5</v>
      </c>
      <c r="Z109" s="228">
        <v>2.65</v>
      </c>
      <c r="AA109" s="228">
        <v>-0.15</v>
      </c>
      <c r="AB109" s="229">
        <v>5.1000000000000004E-3</v>
      </c>
      <c r="AC109" s="228">
        <v>2.5</v>
      </c>
      <c r="AD109" s="228">
        <v>2.65</v>
      </c>
      <c r="AE109" s="228">
        <v>-0.15</v>
      </c>
      <c r="AF109" s="229">
        <v>5.1000000000000004E-3</v>
      </c>
      <c r="AG109" s="228">
        <v>5.3</v>
      </c>
      <c r="AH109" s="228">
        <v>5.8</v>
      </c>
      <c r="AI109" s="228">
        <v>-0.5</v>
      </c>
      <c r="AJ109" s="229">
        <v>1.0800000000000001E-2</v>
      </c>
      <c r="AK109" s="228">
        <v>13.1</v>
      </c>
      <c r="AL109" s="228">
        <v>3.9</v>
      </c>
      <c r="AM109" s="228">
        <v>9.1999999999999993</v>
      </c>
      <c r="AN109" s="229">
        <v>2.6800000000000001E-2</v>
      </c>
      <c r="AO109" s="228">
        <v>497.12</v>
      </c>
      <c r="AP109" s="228">
        <v>500.59</v>
      </c>
      <c r="AQ109" s="228">
        <v>0</v>
      </c>
      <c r="AR109" s="230">
        <v>3599000</v>
      </c>
      <c r="AS109" s="230">
        <v>2888000</v>
      </c>
      <c r="AT109" s="230">
        <v>711000</v>
      </c>
      <c r="AU109" s="229">
        <v>0.2462</v>
      </c>
      <c r="AV109" s="230">
        <v>3476000</v>
      </c>
      <c r="AW109" s="230">
        <v>2802000</v>
      </c>
      <c r="AX109" s="230">
        <v>674000</v>
      </c>
      <c r="AY109" s="229">
        <v>0.24049999999999999</v>
      </c>
      <c r="AZ109" s="230">
        <v>120000</v>
      </c>
      <c r="BA109" s="230">
        <v>78000</v>
      </c>
      <c r="BB109" s="230">
        <v>42000</v>
      </c>
      <c r="BC109" s="229">
        <v>0.53849999999999998</v>
      </c>
      <c r="BD109" s="230">
        <v>3000</v>
      </c>
      <c r="BE109" s="230">
        <v>8000</v>
      </c>
      <c r="BF109" s="230">
        <v>-5000</v>
      </c>
      <c r="BG109" s="229">
        <v>-0.625</v>
      </c>
      <c r="BH109" s="230">
        <v>9266000</v>
      </c>
      <c r="BI109" s="230">
        <v>6405000</v>
      </c>
      <c r="BJ109" s="230">
        <v>2861000</v>
      </c>
      <c r="BK109" s="229">
        <v>0.44669999999999999</v>
      </c>
      <c r="BL109" s="230">
        <v>3024000</v>
      </c>
      <c r="BM109" s="230">
        <v>2296000</v>
      </c>
      <c r="BN109" s="230">
        <v>728000</v>
      </c>
      <c r="BO109" s="229">
        <v>0.31709999999999999</v>
      </c>
      <c r="BP109" s="230">
        <v>15889000</v>
      </c>
      <c r="BQ109" s="230">
        <v>11589000</v>
      </c>
      <c r="BR109" s="230">
        <v>4300000</v>
      </c>
      <c r="BS109" s="229">
        <v>0.371</v>
      </c>
      <c r="BT109" s="230">
        <v>3318137</v>
      </c>
      <c r="BU109" s="230">
        <v>2337710</v>
      </c>
      <c r="BV109" s="230">
        <v>980427</v>
      </c>
      <c r="BW109" s="229">
        <v>0.4194</v>
      </c>
      <c r="BX109" s="230">
        <v>27229000</v>
      </c>
      <c r="BY109" s="230">
        <v>26463000</v>
      </c>
      <c r="BZ109" s="230">
        <v>766000</v>
      </c>
      <c r="CA109" s="229">
        <v>2.8899999999999999E-2</v>
      </c>
      <c r="CB109" s="230">
        <v>26964000</v>
      </c>
      <c r="CC109" s="230">
        <v>26247000</v>
      </c>
      <c r="CD109" s="230">
        <v>717000</v>
      </c>
      <c r="CE109" s="229">
        <v>2.7300000000000001E-2</v>
      </c>
      <c r="CF109" s="230">
        <v>246000</v>
      </c>
      <c r="CG109" s="230">
        <v>200000</v>
      </c>
      <c r="CH109" s="230">
        <v>46000</v>
      </c>
      <c r="CI109" s="229">
        <v>0.23</v>
      </c>
      <c r="CJ109" s="230">
        <v>19000</v>
      </c>
      <c r="CK109" s="230">
        <v>16000</v>
      </c>
      <c r="CL109" s="230">
        <v>3000</v>
      </c>
      <c r="CM109" s="229">
        <v>0.1875</v>
      </c>
      <c r="CN109" s="230">
        <v>7095000</v>
      </c>
      <c r="CO109" s="230">
        <v>5534000</v>
      </c>
      <c r="CP109" s="230">
        <v>1561000</v>
      </c>
      <c r="CQ109" s="229">
        <v>0.28210000000000002</v>
      </c>
      <c r="CR109" s="230">
        <v>3940000</v>
      </c>
      <c r="CS109" s="230">
        <v>3261000</v>
      </c>
      <c r="CT109" s="230">
        <v>679000</v>
      </c>
      <c r="CU109" s="229">
        <v>0.2082</v>
      </c>
      <c r="CV109" s="230">
        <v>38264000</v>
      </c>
      <c r="CW109" s="230">
        <v>35258000</v>
      </c>
      <c r="CX109" s="230">
        <v>3006000</v>
      </c>
      <c r="CY109" s="229">
        <v>8.5300000000000001E-2</v>
      </c>
      <c r="CZ109" s="228">
        <v>35.1</v>
      </c>
      <c r="DA109" s="228">
        <v>33.33</v>
      </c>
      <c r="DB109" s="228">
        <v>1.77</v>
      </c>
      <c r="DC109" s="228">
        <v>1.77</v>
      </c>
      <c r="DD109" s="228">
        <v>42.81</v>
      </c>
      <c r="DE109" s="228">
        <v>42.77</v>
      </c>
      <c r="DF109" s="228">
        <v>-7.71</v>
      </c>
      <c r="DG109" s="228">
        <v>0.04</v>
      </c>
      <c r="DH109" s="228">
        <v>35.299999999999997</v>
      </c>
      <c r="DI109" s="228">
        <v>33.26</v>
      </c>
      <c r="DJ109" s="228">
        <v>2.04</v>
      </c>
      <c r="DK109" s="228">
        <v>2.04</v>
      </c>
      <c r="DL109" s="228">
        <v>34.49</v>
      </c>
      <c r="DM109" s="228">
        <v>33.5</v>
      </c>
      <c r="DN109" s="228">
        <v>0.99</v>
      </c>
      <c r="DO109" s="228">
        <v>0.99</v>
      </c>
      <c r="DP109" s="228">
        <v>0.56000000000000005</v>
      </c>
      <c r="DQ109" s="228">
        <v>0.59</v>
      </c>
      <c r="DR109" s="228">
        <v>-0.03</v>
      </c>
      <c r="DS109" s="229">
        <v>-5.0799999999999998E-2</v>
      </c>
      <c r="DT109" s="228">
        <v>500</v>
      </c>
      <c r="DU109" s="228">
        <v>500</v>
      </c>
      <c r="DV109" s="228">
        <v>0.33</v>
      </c>
      <c r="DW109" s="228">
        <v>0.36</v>
      </c>
      <c r="DX109" s="228">
        <v>-0.03</v>
      </c>
      <c r="DY109" s="229">
        <v>-8.3299999999999999E-2</v>
      </c>
      <c r="DZ109" s="229">
        <v>9.7000000000000003E-3</v>
      </c>
      <c r="EA109" s="230">
        <v>216000</v>
      </c>
      <c r="EB109" s="229">
        <v>5.7000000000000002E-3</v>
      </c>
      <c r="EC109" s="229">
        <v>9.7000000000000003E-3</v>
      </c>
      <c r="ED109" s="228">
        <v>3.47</v>
      </c>
      <c r="EE109" s="229">
        <v>7.0000000000000001E-3</v>
      </c>
      <c r="EF109" s="230">
        <v>1619331</v>
      </c>
      <c r="EG109" s="230">
        <v>986472</v>
      </c>
      <c r="EH109" s="229">
        <v>0.64149999999999996</v>
      </c>
      <c r="EI109" s="229">
        <v>0.48799999999999999</v>
      </c>
      <c r="EJ109" s="231">
        <v>48542.52</v>
      </c>
      <c r="EK109" s="231">
        <v>15089.82</v>
      </c>
      <c r="EL109" s="231">
        <v>17895.740000000002</v>
      </c>
      <c r="EM109" s="231">
        <v>3238</v>
      </c>
      <c r="EN109" s="231">
        <v>81528.08</v>
      </c>
      <c r="EO109" s="231">
        <v>59880.81</v>
      </c>
      <c r="EP109" s="231">
        <v>21647.27</v>
      </c>
      <c r="EQ109" s="229">
        <v>0.36149999999999999</v>
      </c>
      <c r="ER109" s="231">
        <v>36614</v>
      </c>
      <c r="ES109" s="231">
        <v>19400</v>
      </c>
      <c r="ET109" s="231">
        <v>133880</v>
      </c>
      <c r="EU109" s="231">
        <v>75294901</v>
      </c>
      <c r="EV109" s="231">
        <v>189894</v>
      </c>
      <c r="EW109" s="231">
        <v>178296</v>
      </c>
      <c r="EX109" s="231">
        <v>11598</v>
      </c>
      <c r="EY109" s="229">
        <v>6.5000000000000002E-2</v>
      </c>
      <c r="EZ109" s="229">
        <v>0.50819999999999999</v>
      </c>
      <c r="FA109" s="227" t="s">
        <v>566</v>
      </c>
      <c r="FB109" s="161">
        <f t="shared" si="1"/>
        <v>265000</v>
      </c>
    </row>
    <row r="110" spans="1:158" ht="17.25" thickBot="1" x14ac:dyDescent="0.3">
      <c r="A110" s="226">
        <v>46121</v>
      </c>
      <c r="B110" s="227" t="s">
        <v>227</v>
      </c>
      <c r="C110" s="227" t="s">
        <v>244</v>
      </c>
      <c r="D110" s="228">
        <v>675</v>
      </c>
      <c r="E110" s="231">
        <v>1213.9000000000001</v>
      </c>
      <c r="F110" s="231">
        <v>1196.9000000000001</v>
      </c>
      <c r="G110" s="228">
        <v>17</v>
      </c>
      <c r="H110" s="229">
        <v>1.4200000000000001E-2</v>
      </c>
      <c r="I110" s="231">
        <v>1209.7</v>
      </c>
      <c r="J110" s="231">
        <v>1194.3</v>
      </c>
      <c r="K110" s="228">
        <v>15.4</v>
      </c>
      <c r="L110" s="229">
        <v>1.29E-2</v>
      </c>
      <c r="M110" s="231">
        <v>1213.9000000000001</v>
      </c>
      <c r="N110" s="231">
        <v>1196.9000000000001</v>
      </c>
      <c r="O110" s="228">
        <v>17</v>
      </c>
      <c r="P110" s="229">
        <v>1.4200000000000001E-2</v>
      </c>
      <c r="Q110" s="231">
        <v>1220.5999999999999</v>
      </c>
      <c r="R110" s="231">
        <v>1203.9000000000001</v>
      </c>
      <c r="S110" s="228">
        <v>16.7</v>
      </c>
      <c r="T110" s="229">
        <v>1.3899999999999999E-2</v>
      </c>
      <c r="U110" s="231">
        <v>1226.4000000000001</v>
      </c>
      <c r="V110" s="231">
        <v>1211.3</v>
      </c>
      <c r="W110" s="228">
        <v>15.1</v>
      </c>
      <c r="X110" s="229">
        <v>1.2500000000000001E-2</v>
      </c>
      <c r="Y110" s="228">
        <v>4.2</v>
      </c>
      <c r="Z110" s="228">
        <v>2.6</v>
      </c>
      <c r="AA110" s="228">
        <v>1.6</v>
      </c>
      <c r="AB110" s="229">
        <v>3.5000000000000001E-3</v>
      </c>
      <c r="AC110" s="228">
        <v>4.2</v>
      </c>
      <c r="AD110" s="228">
        <v>2.6</v>
      </c>
      <c r="AE110" s="228">
        <v>1.6</v>
      </c>
      <c r="AF110" s="229">
        <v>3.5000000000000001E-3</v>
      </c>
      <c r="AG110" s="228">
        <v>10.9</v>
      </c>
      <c r="AH110" s="228">
        <v>9.6</v>
      </c>
      <c r="AI110" s="228">
        <v>1.3</v>
      </c>
      <c r="AJ110" s="229">
        <v>8.9999999999999993E-3</v>
      </c>
      <c r="AK110" s="228">
        <v>16.7</v>
      </c>
      <c r="AL110" s="228">
        <v>17</v>
      </c>
      <c r="AM110" s="228">
        <v>-0.3</v>
      </c>
      <c r="AN110" s="229">
        <v>1.38E-2</v>
      </c>
      <c r="AO110" s="231">
        <v>1211.79</v>
      </c>
      <c r="AP110" s="231">
        <v>1218.3</v>
      </c>
      <c r="AQ110" s="228">
        <v>0</v>
      </c>
      <c r="AR110" s="230">
        <v>3559950</v>
      </c>
      <c r="AS110" s="230">
        <v>3882600</v>
      </c>
      <c r="AT110" s="230">
        <v>-322650</v>
      </c>
      <c r="AU110" s="229">
        <v>-8.3099999999999993E-2</v>
      </c>
      <c r="AV110" s="230">
        <v>3304800</v>
      </c>
      <c r="AW110" s="230">
        <v>3646350</v>
      </c>
      <c r="AX110" s="230">
        <v>-341550</v>
      </c>
      <c r="AY110" s="229">
        <v>-9.3700000000000006E-2</v>
      </c>
      <c r="AZ110" s="230">
        <v>245700</v>
      </c>
      <c r="BA110" s="230">
        <v>220725</v>
      </c>
      <c r="BB110" s="230">
        <v>24975</v>
      </c>
      <c r="BC110" s="229">
        <v>0.11310000000000001</v>
      </c>
      <c r="BD110" s="230">
        <v>9450</v>
      </c>
      <c r="BE110" s="230">
        <v>15525</v>
      </c>
      <c r="BF110" s="230">
        <v>-6075</v>
      </c>
      <c r="BG110" s="229">
        <v>-0.39129999999999998</v>
      </c>
      <c r="BH110" s="230">
        <v>6980850</v>
      </c>
      <c r="BI110" s="230">
        <v>6567750</v>
      </c>
      <c r="BJ110" s="230">
        <v>413100</v>
      </c>
      <c r="BK110" s="229">
        <v>6.2899999999999998E-2</v>
      </c>
      <c r="BL110" s="230">
        <v>4094550</v>
      </c>
      <c r="BM110" s="230">
        <v>5896800</v>
      </c>
      <c r="BN110" s="230">
        <v>-1802250</v>
      </c>
      <c r="BO110" s="229">
        <v>-0.30559999999999998</v>
      </c>
      <c r="BP110" s="230">
        <v>14635350</v>
      </c>
      <c r="BQ110" s="230">
        <v>16347150</v>
      </c>
      <c r="BR110" s="230">
        <v>-1711800</v>
      </c>
      <c r="BS110" s="229">
        <v>-0.1047</v>
      </c>
      <c r="BT110" s="230">
        <v>2738895</v>
      </c>
      <c r="BU110" s="230">
        <v>2463396</v>
      </c>
      <c r="BV110" s="230">
        <v>275499</v>
      </c>
      <c r="BW110" s="229">
        <v>0.1118</v>
      </c>
      <c r="BX110" s="230">
        <v>50805225</v>
      </c>
      <c r="BY110" s="230">
        <v>50983425</v>
      </c>
      <c r="BZ110" s="230">
        <v>-178200</v>
      </c>
      <c r="CA110" s="229">
        <v>-3.5000000000000001E-3</v>
      </c>
      <c r="CB110" s="230">
        <v>46454175</v>
      </c>
      <c r="CC110" s="230">
        <v>46702575</v>
      </c>
      <c r="CD110" s="230">
        <v>-248400</v>
      </c>
      <c r="CE110" s="229">
        <v>-5.3E-3</v>
      </c>
      <c r="CF110" s="230">
        <v>4259925</v>
      </c>
      <c r="CG110" s="230">
        <v>4193100</v>
      </c>
      <c r="CH110" s="230">
        <v>66825</v>
      </c>
      <c r="CI110" s="229">
        <v>1.5900000000000001E-2</v>
      </c>
      <c r="CJ110" s="230">
        <v>91125</v>
      </c>
      <c r="CK110" s="230">
        <v>87750</v>
      </c>
      <c r="CL110" s="230">
        <v>3375</v>
      </c>
      <c r="CM110" s="229">
        <v>3.85E-2</v>
      </c>
      <c r="CN110" s="230">
        <v>6817500</v>
      </c>
      <c r="CO110" s="230">
        <v>6752700</v>
      </c>
      <c r="CP110" s="230">
        <v>64800</v>
      </c>
      <c r="CQ110" s="229">
        <v>9.5999999999999992E-3</v>
      </c>
      <c r="CR110" s="230">
        <v>5674050</v>
      </c>
      <c r="CS110" s="230">
        <v>5658525</v>
      </c>
      <c r="CT110" s="230">
        <v>15525</v>
      </c>
      <c r="CU110" s="229">
        <v>2.7000000000000001E-3</v>
      </c>
      <c r="CV110" s="230">
        <v>63296775</v>
      </c>
      <c r="CW110" s="230">
        <v>63394650</v>
      </c>
      <c r="CX110" s="230">
        <v>-97875</v>
      </c>
      <c r="CY110" s="229">
        <v>-1.5E-3</v>
      </c>
      <c r="CZ110" s="228">
        <v>31.05</v>
      </c>
      <c r="DA110" s="228">
        <v>33.630000000000003</v>
      </c>
      <c r="DB110" s="228">
        <v>-2.58</v>
      </c>
      <c r="DC110" s="228">
        <v>-2.58</v>
      </c>
      <c r="DD110" s="228">
        <v>32.28</v>
      </c>
      <c r="DE110" s="228">
        <v>32.299999999999997</v>
      </c>
      <c r="DF110" s="228">
        <v>-1.23</v>
      </c>
      <c r="DG110" s="228">
        <v>-0.02</v>
      </c>
      <c r="DH110" s="228">
        <v>29.65</v>
      </c>
      <c r="DI110" s="228">
        <v>31.77</v>
      </c>
      <c r="DJ110" s="228">
        <v>-2.12</v>
      </c>
      <c r="DK110" s="228">
        <v>-2.12</v>
      </c>
      <c r="DL110" s="228">
        <v>33.43</v>
      </c>
      <c r="DM110" s="228">
        <v>35.700000000000003</v>
      </c>
      <c r="DN110" s="228">
        <v>-2.27</v>
      </c>
      <c r="DO110" s="228">
        <v>-2.27</v>
      </c>
      <c r="DP110" s="228">
        <v>0.83</v>
      </c>
      <c r="DQ110" s="228">
        <v>0.84</v>
      </c>
      <c r="DR110" s="228">
        <v>-0.01</v>
      </c>
      <c r="DS110" s="229">
        <v>-1.1900000000000001E-2</v>
      </c>
      <c r="DT110" s="231">
        <v>1160</v>
      </c>
      <c r="DU110" s="231">
        <v>1100</v>
      </c>
      <c r="DV110" s="228">
        <v>0.59</v>
      </c>
      <c r="DW110" s="228">
        <v>0.9</v>
      </c>
      <c r="DX110" s="228">
        <v>-0.31</v>
      </c>
      <c r="DY110" s="229">
        <v>-0.34439999999999998</v>
      </c>
      <c r="DZ110" s="229">
        <v>8.5599999999999996E-2</v>
      </c>
      <c r="EA110" s="230">
        <v>4280850</v>
      </c>
      <c r="EB110" s="229">
        <v>5.4999999999999997E-3</v>
      </c>
      <c r="EC110" s="229">
        <v>8.5599999999999996E-2</v>
      </c>
      <c r="ED110" s="228">
        <v>6.51</v>
      </c>
      <c r="EE110" s="229">
        <v>5.4000000000000003E-3</v>
      </c>
      <c r="EF110" s="230">
        <v>1259851</v>
      </c>
      <c r="EG110" s="230">
        <v>1155535</v>
      </c>
      <c r="EH110" s="229">
        <v>9.0300000000000005E-2</v>
      </c>
      <c r="EI110" s="229">
        <v>0.46</v>
      </c>
      <c r="EJ110" s="231">
        <v>88133.17</v>
      </c>
      <c r="EK110" s="231">
        <v>47889.120000000003</v>
      </c>
      <c r="EL110" s="231">
        <v>43156.47</v>
      </c>
      <c r="EM110" s="231">
        <v>5534</v>
      </c>
      <c r="EN110" s="231">
        <v>179178.76</v>
      </c>
      <c r="EO110" s="231">
        <v>195511.52</v>
      </c>
      <c r="EP110" s="231">
        <v>-16332.76</v>
      </c>
      <c r="EQ110" s="229">
        <v>-8.3500000000000005E-2</v>
      </c>
      <c r="ER110" s="231">
        <v>82468</v>
      </c>
      <c r="ES110" s="231">
        <v>63189</v>
      </c>
      <c r="ET110" s="231">
        <v>617021</v>
      </c>
      <c r="EU110" s="231">
        <v>133242960</v>
      </c>
      <c r="EV110" s="231">
        <v>762679</v>
      </c>
      <c r="EW110" s="231">
        <v>754264</v>
      </c>
      <c r="EX110" s="231">
        <v>8415</v>
      </c>
      <c r="EY110" s="229">
        <v>1.12E-2</v>
      </c>
      <c r="EZ110" s="229">
        <v>0.47499999999999998</v>
      </c>
      <c r="FA110" s="227" t="s">
        <v>694</v>
      </c>
      <c r="FB110" s="161">
        <f t="shared" si="1"/>
        <v>4351050</v>
      </c>
    </row>
    <row r="111" spans="1:158" ht="17.25" thickBot="1" x14ac:dyDescent="0.3">
      <c r="A111" s="226">
        <v>46121</v>
      </c>
      <c r="B111" s="227" t="s">
        <v>168</v>
      </c>
      <c r="C111" s="227" t="s">
        <v>245</v>
      </c>
      <c r="D111" s="228">
        <v>1250</v>
      </c>
      <c r="E111" s="228">
        <v>426.35</v>
      </c>
      <c r="F111" s="228">
        <v>428.75</v>
      </c>
      <c r="G111" s="228">
        <v>-2.4</v>
      </c>
      <c r="H111" s="229">
        <v>-5.5999999999999999E-3</v>
      </c>
      <c r="I111" s="228">
        <v>427.85</v>
      </c>
      <c r="J111" s="228">
        <v>435.75</v>
      </c>
      <c r="K111" s="228">
        <v>-7.9</v>
      </c>
      <c r="L111" s="229">
        <v>-1.8100000000000002E-2</v>
      </c>
      <c r="M111" s="228">
        <v>426.35</v>
      </c>
      <c r="N111" s="228">
        <v>428.75</v>
      </c>
      <c r="O111" s="228">
        <v>-2.4</v>
      </c>
      <c r="P111" s="229">
        <v>-5.5999999999999999E-3</v>
      </c>
      <c r="Q111" s="228">
        <v>417.65</v>
      </c>
      <c r="R111" s="228">
        <v>420.2</v>
      </c>
      <c r="S111" s="228">
        <v>-2.5499999999999998</v>
      </c>
      <c r="T111" s="229">
        <v>-6.1000000000000004E-3</v>
      </c>
      <c r="U111" s="228">
        <v>413.4</v>
      </c>
      <c r="V111" s="228">
        <v>414.45</v>
      </c>
      <c r="W111" s="228">
        <v>-1.05</v>
      </c>
      <c r="X111" s="229">
        <v>-2.5000000000000001E-3</v>
      </c>
      <c r="Y111" s="228">
        <v>-1.5</v>
      </c>
      <c r="Z111" s="228">
        <v>-7</v>
      </c>
      <c r="AA111" s="228">
        <v>5.5</v>
      </c>
      <c r="AB111" s="229">
        <v>-3.5000000000000001E-3</v>
      </c>
      <c r="AC111" s="228">
        <v>-1.5</v>
      </c>
      <c r="AD111" s="228">
        <v>-7</v>
      </c>
      <c r="AE111" s="228">
        <v>5.5</v>
      </c>
      <c r="AF111" s="229">
        <v>-3.5000000000000001E-3</v>
      </c>
      <c r="AG111" s="228">
        <v>-10.199999999999999</v>
      </c>
      <c r="AH111" s="228">
        <v>-15.55</v>
      </c>
      <c r="AI111" s="228">
        <v>5.35</v>
      </c>
      <c r="AJ111" s="229">
        <v>-2.3800000000000002E-2</v>
      </c>
      <c r="AK111" s="228">
        <v>-14.45</v>
      </c>
      <c r="AL111" s="228">
        <v>-21.3</v>
      </c>
      <c r="AM111" s="228">
        <v>6.85</v>
      </c>
      <c r="AN111" s="229">
        <v>-3.3799999999999997E-2</v>
      </c>
      <c r="AO111" s="228">
        <v>426.75</v>
      </c>
      <c r="AP111" s="228">
        <v>418.21</v>
      </c>
      <c r="AQ111" s="228">
        <v>0</v>
      </c>
      <c r="AR111" s="230">
        <v>6851250</v>
      </c>
      <c r="AS111" s="230">
        <v>19241250</v>
      </c>
      <c r="AT111" s="230">
        <v>-12390000</v>
      </c>
      <c r="AU111" s="229">
        <v>-0.64390000000000003</v>
      </c>
      <c r="AV111" s="230">
        <v>5308750</v>
      </c>
      <c r="AW111" s="230">
        <v>15150000</v>
      </c>
      <c r="AX111" s="230">
        <v>-9841250</v>
      </c>
      <c r="AY111" s="229">
        <v>-0.64959999999999996</v>
      </c>
      <c r="AZ111" s="230">
        <v>1360000</v>
      </c>
      <c r="BA111" s="230">
        <v>3657500</v>
      </c>
      <c r="BB111" s="230">
        <v>-2297500</v>
      </c>
      <c r="BC111" s="229">
        <v>-0.62819999999999998</v>
      </c>
      <c r="BD111" s="230">
        <v>182500</v>
      </c>
      <c r="BE111" s="230">
        <v>433750</v>
      </c>
      <c r="BF111" s="230">
        <v>-251250</v>
      </c>
      <c r="BG111" s="229">
        <v>-0.57930000000000004</v>
      </c>
      <c r="BH111" s="230">
        <v>13752500</v>
      </c>
      <c r="BI111" s="230">
        <v>39722500</v>
      </c>
      <c r="BJ111" s="230">
        <v>-25970000</v>
      </c>
      <c r="BK111" s="229">
        <v>-0.65380000000000005</v>
      </c>
      <c r="BL111" s="230">
        <v>6335000</v>
      </c>
      <c r="BM111" s="230">
        <v>22251250</v>
      </c>
      <c r="BN111" s="230">
        <v>-15916250</v>
      </c>
      <c r="BO111" s="229">
        <v>-0.71530000000000005</v>
      </c>
      <c r="BP111" s="230">
        <v>26938750</v>
      </c>
      <c r="BQ111" s="230">
        <v>81215000</v>
      </c>
      <c r="BR111" s="230">
        <v>-54276250</v>
      </c>
      <c r="BS111" s="229">
        <v>-0.66830000000000001</v>
      </c>
      <c r="BT111" s="230">
        <v>3177856</v>
      </c>
      <c r="BU111" s="230">
        <v>13963792</v>
      </c>
      <c r="BV111" s="230">
        <v>-10785936</v>
      </c>
      <c r="BW111" s="229">
        <v>-0.77239999999999998</v>
      </c>
      <c r="BX111" s="230">
        <v>40385000</v>
      </c>
      <c r="BY111" s="230">
        <v>38150000</v>
      </c>
      <c r="BZ111" s="230">
        <v>2235000</v>
      </c>
      <c r="CA111" s="229">
        <v>5.8599999999999999E-2</v>
      </c>
      <c r="CB111" s="230">
        <v>33543750</v>
      </c>
      <c r="CC111" s="230">
        <v>32140000</v>
      </c>
      <c r="CD111" s="230">
        <v>1403750</v>
      </c>
      <c r="CE111" s="229">
        <v>4.3700000000000003E-2</v>
      </c>
      <c r="CF111" s="230">
        <v>6347500</v>
      </c>
      <c r="CG111" s="230">
        <v>5570000</v>
      </c>
      <c r="CH111" s="230">
        <v>777500</v>
      </c>
      <c r="CI111" s="229">
        <v>0.1396</v>
      </c>
      <c r="CJ111" s="230">
        <v>493750</v>
      </c>
      <c r="CK111" s="230">
        <v>440000</v>
      </c>
      <c r="CL111" s="230">
        <v>53750</v>
      </c>
      <c r="CM111" s="229">
        <v>0.1222</v>
      </c>
      <c r="CN111" s="230">
        <v>15280000</v>
      </c>
      <c r="CO111" s="230">
        <v>15573750</v>
      </c>
      <c r="CP111" s="230">
        <v>-293750</v>
      </c>
      <c r="CQ111" s="229">
        <v>-1.89E-2</v>
      </c>
      <c r="CR111" s="230">
        <v>10142500</v>
      </c>
      <c r="CS111" s="230">
        <v>10167500</v>
      </c>
      <c r="CT111" s="230">
        <v>-25000</v>
      </c>
      <c r="CU111" s="229">
        <v>-2.5000000000000001E-3</v>
      </c>
      <c r="CV111" s="230">
        <v>65807500</v>
      </c>
      <c r="CW111" s="230">
        <v>63891250</v>
      </c>
      <c r="CX111" s="230">
        <v>1916250</v>
      </c>
      <c r="CY111" s="229">
        <v>0.03</v>
      </c>
      <c r="CZ111" s="228">
        <v>38.82</v>
      </c>
      <c r="DA111" s="228">
        <v>38.33</v>
      </c>
      <c r="DB111" s="228">
        <v>0.49</v>
      </c>
      <c r="DC111" s="228">
        <v>0.49</v>
      </c>
      <c r="DD111" s="228">
        <v>37.78</v>
      </c>
      <c r="DE111" s="228">
        <v>37.799999999999997</v>
      </c>
      <c r="DF111" s="228">
        <v>1.04</v>
      </c>
      <c r="DG111" s="228">
        <v>-0.02</v>
      </c>
      <c r="DH111" s="228">
        <v>39.07</v>
      </c>
      <c r="DI111" s="228">
        <v>37.71</v>
      </c>
      <c r="DJ111" s="228">
        <v>1.36</v>
      </c>
      <c r="DK111" s="228">
        <v>1.36</v>
      </c>
      <c r="DL111" s="228">
        <v>38.270000000000003</v>
      </c>
      <c r="DM111" s="228">
        <v>39.43</v>
      </c>
      <c r="DN111" s="228">
        <v>-1.1599999999999999</v>
      </c>
      <c r="DO111" s="228">
        <v>-1.1599999999999999</v>
      </c>
      <c r="DP111" s="228">
        <v>0.66</v>
      </c>
      <c r="DQ111" s="228">
        <v>0.65</v>
      </c>
      <c r="DR111" s="228">
        <v>0.01</v>
      </c>
      <c r="DS111" s="229">
        <v>1.54E-2</v>
      </c>
      <c r="DT111" s="228">
        <v>500</v>
      </c>
      <c r="DU111" s="228">
        <v>420</v>
      </c>
      <c r="DV111" s="228">
        <v>0.46</v>
      </c>
      <c r="DW111" s="228">
        <v>0.56000000000000005</v>
      </c>
      <c r="DX111" s="228">
        <v>-0.1</v>
      </c>
      <c r="DY111" s="229">
        <v>-0.17860000000000001</v>
      </c>
      <c r="DZ111" s="229">
        <v>0.1694</v>
      </c>
      <c r="EA111" s="230">
        <v>6010000</v>
      </c>
      <c r="EB111" s="229">
        <v>-2.0400000000000001E-2</v>
      </c>
      <c r="EC111" s="229">
        <v>0.1694</v>
      </c>
      <c r="ED111" s="228">
        <v>-8.5399999999999991</v>
      </c>
      <c r="EE111" s="229">
        <v>-0.02</v>
      </c>
      <c r="EF111" s="230">
        <v>977855</v>
      </c>
      <c r="EG111" s="230">
        <v>5494238</v>
      </c>
      <c r="EH111" s="229">
        <v>-0.82199999999999995</v>
      </c>
      <c r="EI111" s="229">
        <v>0.30769999999999997</v>
      </c>
      <c r="EJ111" s="231">
        <v>65209.52</v>
      </c>
      <c r="EK111" s="231">
        <v>27039.87</v>
      </c>
      <c r="EL111" s="231">
        <v>29098.23</v>
      </c>
      <c r="EM111" s="231">
        <v>12373</v>
      </c>
      <c r="EN111" s="231">
        <v>121347.62</v>
      </c>
      <c r="EO111" s="231">
        <v>358464.47</v>
      </c>
      <c r="EP111" s="231">
        <v>-237116.85</v>
      </c>
      <c r="EQ111" s="229">
        <v>-0.66149999999999998</v>
      </c>
      <c r="ER111" s="231">
        <v>71261</v>
      </c>
      <c r="ES111" s="231">
        <v>43255</v>
      </c>
      <c r="ET111" s="231">
        <v>171565</v>
      </c>
      <c r="EU111" s="231">
        <v>58777851</v>
      </c>
      <c r="EV111" s="231">
        <v>286082</v>
      </c>
      <c r="EW111" s="231">
        <v>279781</v>
      </c>
      <c r="EX111" s="231">
        <v>6301</v>
      </c>
      <c r="EY111" s="229">
        <v>2.2499999999999999E-2</v>
      </c>
      <c r="EZ111" s="229">
        <v>1.1195999999999999</v>
      </c>
      <c r="FA111" s="227" t="s">
        <v>566</v>
      </c>
      <c r="FB111" s="161">
        <f t="shared" si="1"/>
        <v>6841250</v>
      </c>
    </row>
    <row r="112" spans="1:158" ht="17.25" thickBot="1" x14ac:dyDescent="0.3">
      <c r="A112" s="226">
        <v>46121</v>
      </c>
      <c r="B112" s="227" t="s">
        <v>168</v>
      </c>
      <c r="C112" s="227" t="s">
        <v>581</v>
      </c>
      <c r="D112" s="228">
        <v>1175</v>
      </c>
      <c r="E112" s="228">
        <v>447.85</v>
      </c>
      <c r="F112" s="228">
        <v>447.8</v>
      </c>
      <c r="G112" s="228">
        <v>0.05</v>
      </c>
      <c r="H112" s="229">
        <v>1E-4</v>
      </c>
      <c r="I112" s="228">
        <v>446.1</v>
      </c>
      <c r="J112" s="228">
        <v>445.55</v>
      </c>
      <c r="K112" s="228">
        <v>0.55000000000000004</v>
      </c>
      <c r="L112" s="229">
        <v>1.1999999999999999E-3</v>
      </c>
      <c r="M112" s="228">
        <v>447.85</v>
      </c>
      <c r="N112" s="228">
        <v>447.8</v>
      </c>
      <c r="O112" s="228">
        <v>0.05</v>
      </c>
      <c r="P112" s="229">
        <v>1E-4</v>
      </c>
      <c r="Q112" s="228">
        <v>450.9</v>
      </c>
      <c r="R112" s="228">
        <v>450.3</v>
      </c>
      <c r="S112" s="228">
        <v>0.6</v>
      </c>
      <c r="T112" s="229">
        <v>1.2999999999999999E-3</v>
      </c>
      <c r="U112" s="228">
        <v>452.55</v>
      </c>
      <c r="V112" s="228">
        <v>452.4</v>
      </c>
      <c r="W112" s="228">
        <v>0.15</v>
      </c>
      <c r="X112" s="229">
        <v>2.9999999999999997E-4</v>
      </c>
      <c r="Y112" s="228">
        <v>1.75</v>
      </c>
      <c r="Z112" s="228">
        <v>2.25</v>
      </c>
      <c r="AA112" s="228">
        <v>-0.5</v>
      </c>
      <c r="AB112" s="229">
        <v>3.8999999999999998E-3</v>
      </c>
      <c r="AC112" s="228">
        <v>1.75</v>
      </c>
      <c r="AD112" s="228">
        <v>2.25</v>
      </c>
      <c r="AE112" s="228">
        <v>-0.5</v>
      </c>
      <c r="AF112" s="229">
        <v>3.8999999999999998E-3</v>
      </c>
      <c r="AG112" s="228">
        <v>4.8</v>
      </c>
      <c r="AH112" s="228">
        <v>4.75</v>
      </c>
      <c r="AI112" s="228">
        <v>0.05</v>
      </c>
      <c r="AJ112" s="229">
        <v>1.0800000000000001E-2</v>
      </c>
      <c r="AK112" s="228">
        <v>6.45</v>
      </c>
      <c r="AL112" s="228">
        <v>6.85</v>
      </c>
      <c r="AM112" s="228">
        <v>-0.4</v>
      </c>
      <c r="AN112" s="229">
        <v>1.4500000000000001E-2</v>
      </c>
      <c r="AO112" s="228">
        <v>447.57</v>
      </c>
      <c r="AP112" s="228">
        <v>450</v>
      </c>
      <c r="AQ112" s="228">
        <v>0</v>
      </c>
      <c r="AR112" s="230">
        <v>3208925</v>
      </c>
      <c r="AS112" s="230">
        <v>6858475</v>
      </c>
      <c r="AT112" s="230">
        <v>-3649550</v>
      </c>
      <c r="AU112" s="229">
        <v>-0.53210000000000002</v>
      </c>
      <c r="AV112" s="230">
        <v>2911650</v>
      </c>
      <c r="AW112" s="230">
        <v>6480125</v>
      </c>
      <c r="AX112" s="230">
        <v>-3568475</v>
      </c>
      <c r="AY112" s="229">
        <v>-0.55069999999999997</v>
      </c>
      <c r="AZ112" s="230">
        <v>258500</v>
      </c>
      <c r="BA112" s="230">
        <v>296100</v>
      </c>
      <c r="BB112" s="230">
        <v>-37600</v>
      </c>
      <c r="BC112" s="229">
        <v>-0.127</v>
      </c>
      <c r="BD112" s="230">
        <v>38775</v>
      </c>
      <c r="BE112" s="230">
        <v>82250</v>
      </c>
      <c r="BF112" s="230">
        <v>-43475</v>
      </c>
      <c r="BG112" s="229">
        <v>-0.52859999999999996</v>
      </c>
      <c r="BH112" s="230">
        <v>9066300</v>
      </c>
      <c r="BI112" s="230">
        <v>26992100</v>
      </c>
      <c r="BJ112" s="230">
        <v>-17925800</v>
      </c>
      <c r="BK112" s="229">
        <v>-0.66410000000000002</v>
      </c>
      <c r="BL112" s="230">
        <v>5558925</v>
      </c>
      <c r="BM112" s="230">
        <v>8932350</v>
      </c>
      <c r="BN112" s="230">
        <v>-3373425</v>
      </c>
      <c r="BO112" s="229">
        <v>-0.37769999999999998</v>
      </c>
      <c r="BP112" s="230">
        <v>17834150</v>
      </c>
      <c r="BQ112" s="230">
        <v>42782925</v>
      </c>
      <c r="BR112" s="230">
        <v>-24948775</v>
      </c>
      <c r="BS112" s="229">
        <v>-0.58309999999999995</v>
      </c>
      <c r="BT112" s="230">
        <v>5993681</v>
      </c>
      <c r="BU112" s="230">
        <v>10863968</v>
      </c>
      <c r="BV112" s="230">
        <v>-4870287</v>
      </c>
      <c r="BW112" s="229">
        <v>-0.44829999999999998</v>
      </c>
      <c r="BX112" s="230">
        <v>24219100</v>
      </c>
      <c r="BY112" s="230">
        <v>23919475</v>
      </c>
      <c r="BZ112" s="230">
        <v>299625</v>
      </c>
      <c r="CA112" s="229">
        <v>1.2500000000000001E-2</v>
      </c>
      <c r="CB112" s="230">
        <v>23626900</v>
      </c>
      <c r="CC112" s="230">
        <v>23368400</v>
      </c>
      <c r="CD112" s="230">
        <v>258500</v>
      </c>
      <c r="CE112" s="229">
        <v>1.11E-2</v>
      </c>
      <c r="CF112" s="230">
        <v>547550</v>
      </c>
      <c r="CG112" s="230">
        <v>512300</v>
      </c>
      <c r="CH112" s="230">
        <v>35250</v>
      </c>
      <c r="CI112" s="229">
        <v>6.88E-2</v>
      </c>
      <c r="CJ112" s="230">
        <v>44650</v>
      </c>
      <c r="CK112" s="230">
        <v>38775</v>
      </c>
      <c r="CL112" s="230">
        <v>5875</v>
      </c>
      <c r="CM112" s="229">
        <v>0.1515</v>
      </c>
      <c r="CN112" s="230">
        <v>5751625</v>
      </c>
      <c r="CO112" s="230">
        <v>5352125</v>
      </c>
      <c r="CP112" s="230">
        <v>399500</v>
      </c>
      <c r="CQ112" s="229">
        <v>7.46E-2</v>
      </c>
      <c r="CR112" s="230">
        <v>5314525</v>
      </c>
      <c r="CS112" s="230">
        <v>5010200</v>
      </c>
      <c r="CT112" s="230">
        <v>304325</v>
      </c>
      <c r="CU112" s="229">
        <v>6.0699999999999997E-2</v>
      </c>
      <c r="CV112" s="230">
        <v>35285250</v>
      </c>
      <c r="CW112" s="230">
        <v>34281800</v>
      </c>
      <c r="CX112" s="230">
        <v>1003450</v>
      </c>
      <c r="CY112" s="229">
        <v>2.93E-2</v>
      </c>
      <c r="CZ112" s="228">
        <v>40.229999999999997</v>
      </c>
      <c r="DA112" s="228">
        <v>41.03</v>
      </c>
      <c r="DB112" s="228">
        <v>-0.8</v>
      </c>
      <c r="DC112" s="228">
        <v>-0.8</v>
      </c>
      <c r="DD112" s="228">
        <v>52.89</v>
      </c>
      <c r="DE112" s="228">
        <v>53.02</v>
      </c>
      <c r="DF112" s="228">
        <v>-12.66</v>
      </c>
      <c r="DG112" s="228">
        <v>-0.13</v>
      </c>
      <c r="DH112" s="228">
        <v>39.729999999999997</v>
      </c>
      <c r="DI112" s="228">
        <v>40.11</v>
      </c>
      <c r="DJ112" s="228">
        <v>-0.38</v>
      </c>
      <c r="DK112" s="228">
        <v>-0.38</v>
      </c>
      <c r="DL112" s="228">
        <v>41.06</v>
      </c>
      <c r="DM112" s="228">
        <v>43.83</v>
      </c>
      <c r="DN112" s="228">
        <v>-2.77</v>
      </c>
      <c r="DO112" s="228">
        <v>-2.77</v>
      </c>
      <c r="DP112" s="228">
        <v>0.92</v>
      </c>
      <c r="DQ112" s="228">
        <v>0.94</v>
      </c>
      <c r="DR112" s="228">
        <v>-0.02</v>
      </c>
      <c r="DS112" s="229">
        <v>-2.1299999999999999E-2</v>
      </c>
      <c r="DT112" s="228">
        <v>400</v>
      </c>
      <c r="DU112" s="228">
        <v>400</v>
      </c>
      <c r="DV112" s="228">
        <v>0.61</v>
      </c>
      <c r="DW112" s="228">
        <v>0.33</v>
      </c>
      <c r="DX112" s="228">
        <v>0.28000000000000003</v>
      </c>
      <c r="DY112" s="229">
        <v>0.84850000000000003</v>
      </c>
      <c r="DZ112" s="229">
        <v>2.4500000000000001E-2</v>
      </c>
      <c r="EA112" s="230">
        <v>551075</v>
      </c>
      <c r="EB112" s="229">
        <v>6.7999999999999996E-3</v>
      </c>
      <c r="EC112" s="229">
        <v>2.4500000000000001E-2</v>
      </c>
      <c r="ED112" s="228">
        <v>2.4300000000000002</v>
      </c>
      <c r="EE112" s="229">
        <v>5.4000000000000003E-3</v>
      </c>
      <c r="EF112" s="230">
        <v>2101044</v>
      </c>
      <c r="EG112" s="230">
        <v>3819923</v>
      </c>
      <c r="EH112" s="229">
        <v>-0.45</v>
      </c>
      <c r="EI112" s="229">
        <v>0.35049999999999998</v>
      </c>
      <c r="EJ112" s="231">
        <v>42956.06</v>
      </c>
      <c r="EK112" s="231">
        <v>24382.29</v>
      </c>
      <c r="EL112" s="231">
        <v>14369.91</v>
      </c>
      <c r="EM112" s="231">
        <v>5307</v>
      </c>
      <c r="EN112" s="231">
        <v>81708.259999999995</v>
      </c>
      <c r="EO112" s="231">
        <v>192181.46</v>
      </c>
      <c r="EP112" s="231">
        <v>-110473.2</v>
      </c>
      <c r="EQ112" s="229">
        <v>-0.57479999999999998</v>
      </c>
      <c r="ER112" s="231">
        <v>25038</v>
      </c>
      <c r="ES112" s="231">
        <v>21354</v>
      </c>
      <c r="ET112" s="231">
        <v>108484</v>
      </c>
      <c r="EU112" s="231">
        <v>57686748</v>
      </c>
      <c r="EV112" s="231">
        <v>154877</v>
      </c>
      <c r="EW112" s="231">
        <v>150163</v>
      </c>
      <c r="EX112" s="231">
        <v>4714</v>
      </c>
      <c r="EY112" s="229">
        <v>3.1399999999999997E-2</v>
      </c>
      <c r="EZ112" s="229">
        <v>0.61170000000000002</v>
      </c>
      <c r="FA112" s="227" t="s">
        <v>555</v>
      </c>
      <c r="FB112" s="161">
        <f t="shared" si="1"/>
        <v>592200</v>
      </c>
    </row>
    <row r="113" spans="1:158" ht="17.25" thickBot="1" x14ac:dyDescent="0.3">
      <c r="A113" s="226">
        <v>46121</v>
      </c>
      <c r="B113" s="227" t="s">
        <v>184</v>
      </c>
      <c r="C113" s="227" t="s">
        <v>674</v>
      </c>
      <c r="D113" s="228">
        <v>100</v>
      </c>
      <c r="E113" s="231">
        <v>3802.8</v>
      </c>
      <c r="F113" s="231">
        <v>3909.5</v>
      </c>
      <c r="G113" s="228">
        <v>-106.7</v>
      </c>
      <c r="H113" s="229">
        <v>-2.7300000000000001E-2</v>
      </c>
      <c r="I113" s="231">
        <v>3851.5</v>
      </c>
      <c r="J113" s="231">
        <v>3911.4</v>
      </c>
      <c r="K113" s="228">
        <v>-59.9</v>
      </c>
      <c r="L113" s="229">
        <v>-1.5299999999999999E-2</v>
      </c>
      <c r="M113" s="231">
        <v>3802.8</v>
      </c>
      <c r="N113" s="231">
        <v>3909.5</v>
      </c>
      <c r="O113" s="228">
        <v>-106.7</v>
      </c>
      <c r="P113" s="229">
        <v>-2.7300000000000001E-2</v>
      </c>
      <c r="Q113" s="231">
        <v>3783.2</v>
      </c>
      <c r="R113" s="231">
        <v>3900.6</v>
      </c>
      <c r="S113" s="228">
        <v>-117.4</v>
      </c>
      <c r="T113" s="229">
        <v>-3.0099999999999998E-2</v>
      </c>
      <c r="U113" s="231">
        <v>3773</v>
      </c>
      <c r="V113" s="231">
        <v>3905.9</v>
      </c>
      <c r="W113" s="228">
        <v>-132.9</v>
      </c>
      <c r="X113" s="229">
        <v>-3.4000000000000002E-2</v>
      </c>
      <c r="Y113" s="228">
        <v>-48.7</v>
      </c>
      <c r="Z113" s="228">
        <v>-1.9</v>
      </c>
      <c r="AA113" s="228">
        <v>-46.8</v>
      </c>
      <c r="AB113" s="229">
        <v>-1.26E-2</v>
      </c>
      <c r="AC113" s="228">
        <v>-48.7</v>
      </c>
      <c r="AD113" s="228">
        <v>-1.9</v>
      </c>
      <c r="AE113" s="228">
        <v>-46.8</v>
      </c>
      <c r="AF113" s="229">
        <v>-1.26E-2</v>
      </c>
      <c r="AG113" s="228">
        <v>-68.3</v>
      </c>
      <c r="AH113" s="228">
        <v>-10.8</v>
      </c>
      <c r="AI113" s="228">
        <v>-57.5</v>
      </c>
      <c r="AJ113" s="229">
        <v>-1.77E-2</v>
      </c>
      <c r="AK113" s="228">
        <v>-78.5</v>
      </c>
      <c r="AL113" s="228">
        <v>-5.5</v>
      </c>
      <c r="AM113" s="228">
        <v>-73</v>
      </c>
      <c r="AN113" s="229">
        <v>-2.0400000000000001E-2</v>
      </c>
      <c r="AO113" s="231">
        <v>3817.42</v>
      </c>
      <c r="AP113" s="231">
        <v>3795.51</v>
      </c>
      <c r="AQ113" s="228">
        <v>0</v>
      </c>
      <c r="AR113" s="230">
        <v>1302900</v>
      </c>
      <c r="AS113" s="230">
        <v>1356400</v>
      </c>
      <c r="AT113" s="230">
        <v>-53500</v>
      </c>
      <c r="AU113" s="229">
        <v>-3.9399999999999998E-2</v>
      </c>
      <c r="AV113" s="230">
        <v>1121000</v>
      </c>
      <c r="AW113" s="230">
        <v>1253800</v>
      </c>
      <c r="AX113" s="230">
        <v>-132800</v>
      </c>
      <c r="AY113" s="229">
        <v>-0.10589999999999999</v>
      </c>
      <c r="AZ113" s="230">
        <v>156700</v>
      </c>
      <c r="BA113" s="230">
        <v>94700</v>
      </c>
      <c r="BB113" s="230">
        <v>62000</v>
      </c>
      <c r="BC113" s="229">
        <v>0.65469999999999995</v>
      </c>
      <c r="BD113" s="230">
        <v>25200</v>
      </c>
      <c r="BE113" s="230">
        <v>7900</v>
      </c>
      <c r="BF113" s="230">
        <v>17300</v>
      </c>
      <c r="BG113" s="229">
        <v>2.1899000000000002</v>
      </c>
      <c r="BH113" s="230">
        <v>2488200</v>
      </c>
      <c r="BI113" s="230">
        <v>3366600</v>
      </c>
      <c r="BJ113" s="230">
        <v>-878400</v>
      </c>
      <c r="BK113" s="229">
        <v>-0.26090000000000002</v>
      </c>
      <c r="BL113" s="230">
        <v>1065200</v>
      </c>
      <c r="BM113" s="230">
        <v>1299600</v>
      </c>
      <c r="BN113" s="230">
        <v>-234400</v>
      </c>
      <c r="BO113" s="229">
        <v>-0.1804</v>
      </c>
      <c r="BP113" s="230">
        <v>4856300</v>
      </c>
      <c r="BQ113" s="230">
        <v>6022600</v>
      </c>
      <c r="BR113" s="230">
        <v>-1166300</v>
      </c>
      <c r="BS113" s="229">
        <v>-0.19370000000000001</v>
      </c>
      <c r="BT113" s="230">
        <v>1705903</v>
      </c>
      <c r="BU113" s="230">
        <v>1777679</v>
      </c>
      <c r="BV113" s="230">
        <v>-71776</v>
      </c>
      <c r="BW113" s="229">
        <v>-4.0399999999999998E-2</v>
      </c>
      <c r="BX113" s="230">
        <v>3382200</v>
      </c>
      <c r="BY113" s="230">
        <v>3189600</v>
      </c>
      <c r="BZ113" s="230">
        <v>192600</v>
      </c>
      <c r="CA113" s="229">
        <v>6.0400000000000002E-2</v>
      </c>
      <c r="CB113" s="230">
        <v>3135900</v>
      </c>
      <c r="CC113" s="230">
        <v>3018800</v>
      </c>
      <c r="CD113" s="230">
        <v>117100</v>
      </c>
      <c r="CE113" s="229">
        <v>3.8800000000000001E-2</v>
      </c>
      <c r="CF113" s="230">
        <v>217100</v>
      </c>
      <c r="CG113" s="230">
        <v>154100</v>
      </c>
      <c r="CH113" s="230">
        <v>63000</v>
      </c>
      <c r="CI113" s="229">
        <v>0.4088</v>
      </c>
      <c r="CJ113" s="230">
        <v>29200</v>
      </c>
      <c r="CK113" s="230">
        <v>16700</v>
      </c>
      <c r="CL113" s="230">
        <v>12500</v>
      </c>
      <c r="CM113" s="229">
        <v>0.74850000000000005</v>
      </c>
      <c r="CN113" s="230">
        <v>1232100</v>
      </c>
      <c r="CO113" s="230">
        <v>1108500</v>
      </c>
      <c r="CP113" s="230">
        <v>123600</v>
      </c>
      <c r="CQ113" s="229">
        <v>0.1115</v>
      </c>
      <c r="CR113" s="230">
        <v>904000</v>
      </c>
      <c r="CS113" s="230">
        <v>911600</v>
      </c>
      <c r="CT113" s="230">
        <v>-7600</v>
      </c>
      <c r="CU113" s="229">
        <v>-8.3000000000000001E-3</v>
      </c>
      <c r="CV113" s="230">
        <v>5518300</v>
      </c>
      <c r="CW113" s="230">
        <v>5209700</v>
      </c>
      <c r="CX113" s="230">
        <v>308600</v>
      </c>
      <c r="CY113" s="229">
        <v>5.9200000000000003E-2</v>
      </c>
      <c r="CZ113" s="228">
        <v>51.3</v>
      </c>
      <c r="DA113" s="228">
        <v>48.74</v>
      </c>
      <c r="DB113" s="228">
        <v>2.56</v>
      </c>
      <c r="DC113" s="228">
        <v>2.56</v>
      </c>
      <c r="DD113" s="228">
        <v>61.36</v>
      </c>
      <c r="DE113" s="228">
        <v>61.4</v>
      </c>
      <c r="DF113" s="228">
        <v>-10.06</v>
      </c>
      <c r="DG113" s="228">
        <v>-0.04</v>
      </c>
      <c r="DH113" s="228">
        <v>50.71</v>
      </c>
      <c r="DI113" s="228">
        <v>47.03</v>
      </c>
      <c r="DJ113" s="228">
        <v>3.68</v>
      </c>
      <c r="DK113" s="228">
        <v>3.68</v>
      </c>
      <c r="DL113" s="228">
        <v>52.69</v>
      </c>
      <c r="DM113" s="228">
        <v>53.18</v>
      </c>
      <c r="DN113" s="228">
        <v>-0.49</v>
      </c>
      <c r="DO113" s="228">
        <v>-0.49</v>
      </c>
      <c r="DP113" s="228">
        <v>0.73</v>
      </c>
      <c r="DQ113" s="228">
        <v>0.82</v>
      </c>
      <c r="DR113" s="228">
        <v>-0.09</v>
      </c>
      <c r="DS113" s="229">
        <v>-0.10979999999999999</v>
      </c>
      <c r="DT113" s="231">
        <v>4000</v>
      </c>
      <c r="DU113" s="231">
        <v>3600</v>
      </c>
      <c r="DV113" s="228">
        <v>0.43</v>
      </c>
      <c r="DW113" s="228">
        <v>0.39</v>
      </c>
      <c r="DX113" s="228">
        <v>0.04</v>
      </c>
      <c r="DY113" s="229">
        <v>0.1026</v>
      </c>
      <c r="DZ113" s="229">
        <v>7.2800000000000004E-2</v>
      </c>
      <c r="EA113" s="230">
        <v>170800</v>
      </c>
      <c r="EB113" s="229">
        <v>-5.1999999999999998E-3</v>
      </c>
      <c r="EC113" s="229">
        <v>7.2800000000000004E-2</v>
      </c>
      <c r="ED113" s="228">
        <v>-21.91</v>
      </c>
      <c r="EE113" s="229">
        <v>-5.7000000000000002E-3</v>
      </c>
      <c r="EF113" s="230">
        <v>344080</v>
      </c>
      <c r="EG113" s="230">
        <v>424163</v>
      </c>
      <c r="EH113" s="229">
        <v>-0.1888</v>
      </c>
      <c r="EI113" s="229">
        <v>0.20169999999999999</v>
      </c>
      <c r="EJ113" s="231">
        <v>102386.2</v>
      </c>
      <c r="EK113" s="231">
        <v>39721.629999999997</v>
      </c>
      <c r="EL113" s="231">
        <v>49695.89</v>
      </c>
      <c r="EM113" s="231">
        <v>13142</v>
      </c>
      <c r="EN113" s="231">
        <v>191803.72</v>
      </c>
      <c r="EO113" s="231">
        <v>239216.12</v>
      </c>
      <c r="EP113" s="231">
        <v>-47412.4</v>
      </c>
      <c r="EQ113" s="229">
        <v>-0.19819999999999999</v>
      </c>
      <c r="ER113" s="231">
        <v>48088</v>
      </c>
      <c r="ES113" s="231">
        <v>32014</v>
      </c>
      <c r="ET113" s="231">
        <v>128567</v>
      </c>
      <c r="EU113" s="231">
        <v>4679418</v>
      </c>
      <c r="EV113" s="231">
        <v>208669</v>
      </c>
      <c r="EW113" s="231">
        <v>200121</v>
      </c>
      <c r="EX113" s="231">
        <v>8548</v>
      </c>
      <c r="EY113" s="229">
        <v>4.2700000000000002E-2</v>
      </c>
      <c r="EZ113" s="229">
        <v>1.1793</v>
      </c>
      <c r="FA113" s="227" t="s">
        <v>566</v>
      </c>
      <c r="FB113" s="161">
        <f t="shared" si="1"/>
        <v>246300</v>
      </c>
    </row>
    <row r="114" spans="1:158" ht="17.25" thickBot="1" x14ac:dyDescent="0.3">
      <c r="A114" s="226">
        <v>46121</v>
      </c>
      <c r="B114" s="227" t="s">
        <v>161</v>
      </c>
      <c r="C114" s="227" t="s">
        <v>609</v>
      </c>
      <c r="D114" s="228">
        <v>175</v>
      </c>
      <c r="E114" s="231">
        <v>4418.8</v>
      </c>
      <c r="F114" s="231">
        <v>4447.2</v>
      </c>
      <c r="G114" s="228">
        <v>-28.4</v>
      </c>
      <c r="H114" s="229">
        <v>-6.4000000000000003E-3</v>
      </c>
      <c r="I114" s="231">
        <v>4416.8999999999996</v>
      </c>
      <c r="J114" s="231">
        <v>4507.2</v>
      </c>
      <c r="K114" s="228">
        <v>-90.3</v>
      </c>
      <c r="L114" s="229">
        <v>-0.02</v>
      </c>
      <c r="M114" s="231">
        <v>4418.8</v>
      </c>
      <c r="N114" s="231">
        <v>4447.2</v>
      </c>
      <c r="O114" s="228">
        <v>-28.4</v>
      </c>
      <c r="P114" s="229">
        <v>-6.4000000000000003E-3</v>
      </c>
      <c r="Q114" s="231">
        <v>4360.1000000000004</v>
      </c>
      <c r="R114" s="231">
        <v>4375.2</v>
      </c>
      <c r="S114" s="228">
        <v>-15.1</v>
      </c>
      <c r="T114" s="229">
        <v>-3.5000000000000001E-3</v>
      </c>
      <c r="U114" s="231">
        <v>4348.8</v>
      </c>
      <c r="V114" s="231">
        <v>4453.1000000000004</v>
      </c>
      <c r="W114" s="228">
        <v>-104.3</v>
      </c>
      <c r="X114" s="229">
        <v>-2.3400000000000001E-2</v>
      </c>
      <c r="Y114" s="228">
        <v>1.9</v>
      </c>
      <c r="Z114" s="228">
        <v>-60</v>
      </c>
      <c r="AA114" s="228">
        <v>61.9</v>
      </c>
      <c r="AB114" s="229">
        <v>4.0000000000000002E-4</v>
      </c>
      <c r="AC114" s="228">
        <v>1.9</v>
      </c>
      <c r="AD114" s="228">
        <v>-60</v>
      </c>
      <c r="AE114" s="228">
        <v>61.9</v>
      </c>
      <c r="AF114" s="229">
        <v>4.0000000000000002E-4</v>
      </c>
      <c r="AG114" s="228">
        <v>-56.8</v>
      </c>
      <c r="AH114" s="228">
        <v>-132</v>
      </c>
      <c r="AI114" s="228">
        <v>75.2</v>
      </c>
      <c r="AJ114" s="229">
        <v>-1.29E-2</v>
      </c>
      <c r="AK114" s="228">
        <v>-68.099999999999994</v>
      </c>
      <c r="AL114" s="228">
        <v>-54.1</v>
      </c>
      <c r="AM114" s="228">
        <v>-14</v>
      </c>
      <c r="AN114" s="229">
        <v>-1.54E-2</v>
      </c>
      <c r="AO114" s="231">
        <v>4414.82</v>
      </c>
      <c r="AP114" s="231">
        <v>4349.32</v>
      </c>
      <c r="AQ114" s="228">
        <v>0</v>
      </c>
      <c r="AR114" s="230">
        <v>378525</v>
      </c>
      <c r="AS114" s="230">
        <v>753025</v>
      </c>
      <c r="AT114" s="230">
        <v>-374500</v>
      </c>
      <c r="AU114" s="229">
        <v>-0.49730000000000002</v>
      </c>
      <c r="AV114" s="230">
        <v>344925</v>
      </c>
      <c r="AW114" s="230">
        <v>642950</v>
      </c>
      <c r="AX114" s="230">
        <v>-298025</v>
      </c>
      <c r="AY114" s="229">
        <v>-0.46350000000000002</v>
      </c>
      <c r="AZ114" s="230">
        <v>33250</v>
      </c>
      <c r="BA114" s="230">
        <v>107800</v>
      </c>
      <c r="BB114" s="230">
        <v>-74550</v>
      </c>
      <c r="BC114" s="229">
        <v>-0.69159999999999999</v>
      </c>
      <c r="BD114" s="228">
        <v>350</v>
      </c>
      <c r="BE114" s="230">
        <v>2275</v>
      </c>
      <c r="BF114" s="230">
        <v>-1925</v>
      </c>
      <c r="BG114" s="229">
        <v>-0.84619999999999995</v>
      </c>
      <c r="BH114" s="230">
        <v>609525</v>
      </c>
      <c r="BI114" s="230">
        <v>980175</v>
      </c>
      <c r="BJ114" s="230">
        <v>-370650</v>
      </c>
      <c r="BK114" s="229">
        <v>-0.37809999999999999</v>
      </c>
      <c r="BL114" s="230">
        <v>271775</v>
      </c>
      <c r="BM114" s="230">
        <v>380100</v>
      </c>
      <c r="BN114" s="230">
        <v>-108325</v>
      </c>
      <c r="BO114" s="229">
        <v>-0.28499999999999998</v>
      </c>
      <c r="BP114" s="230">
        <v>1259825</v>
      </c>
      <c r="BQ114" s="230">
        <v>2113300</v>
      </c>
      <c r="BR114" s="230">
        <v>-853475</v>
      </c>
      <c r="BS114" s="229">
        <v>-0.40389999999999998</v>
      </c>
      <c r="BT114" s="230">
        <v>490181</v>
      </c>
      <c r="BU114" s="230">
        <v>797219</v>
      </c>
      <c r="BV114" s="230">
        <v>-307038</v>
      </c>
      <c r="BW114" s="229">
        <v>-0.3851</v>
      </c>
      <c r="BX114" s="230">
        <v>2179275</v>
      </c>
      <c r="BY114" s="230">
        <v>2186800</v>
      </c>
      <c r="BZ114" s="230">
        <v>-7525</v>
      </c>
      <c r="CA114" s="229">
        <v>-3.3999999999999998E-3</v>
      </c>
      <c r="CB114" s="230">
        <v>2040500</v>
      </c>
      <c r="CC114" s="230">
        <v>2065175</v>
      </c>
      <c r="CD114" s="230">
        <v>-24675</v>
      </c>
      <c r="CE114" s="229">
        <v>-1.1900000000000001E-2</v>
      </c>
      <c r="CF114" s="230">
        <v>135975</v>
      </c>
      <c r="CG114" s="230">
        <v>119175</v>
      </c>
      <c r="CH114" s="230">
        <v>16800</v>
      </c>
      <c r="CI114" s="229">
        <v>0.14099999999999999</v>
      </c>
      <c r="CJ114" s="230">
        <v>2800</v>
      </c>
      <c r="CK114" s="230">
        <v>2450</v>
      </c>
      <c r="CL114" s="228">
        <v>350</v>
      </c>
      <c r="CM114" s="229">
        <v>0.1429</v>
      </c>
      <c r="CN114" s="230">
        <v>497175</v>
      </c>
      <c r="CO114" s="230">
        <v>409500</v>
      </c>
      <c r="CP114" s="230">
        <v>87675</v>
      </c>
      <c r="CQ114" s="229">
        <v>0.21410000000000001</v>
      </c>
      <c r="CR114" s="230">
        <v>422275</v>
      </c>
      <c r="CS114" s="230">
        <v>376075</v>
      </c>
      <c r="CT114" s="230">
        <v>46200</v>
      </c>
      <c r="CU114" s="229">
        <v>0.12280000000000001</v>
      </c>
      <c r="CV114" s="230">
        <v>3098725</v>
      </c>
      <c r="CW114" s="230">
        <v>2972375</v>
      </c>
      <c r="CX114" s="230">
        <v>126350</v>
      </c>
      <c r="CY114" s="229">
        <v>4.2500000000000003E-2</v>
      </c>
      <c r="CZ114" s="228">
        <v>40.47</v>
      </c>
      <c r="DA114" s="228">
        <v>40.92</v>
      </c>
      <c r="DB114" s="228">
        <v>-0.45</v>
      </c>
      <c r="DC114" s="228">
        <v>-0.45</v>
      </c>
      <c r="DD114" s="228">
        <v>46.72</v>
      </c>
      <c r="DE114" s="228">
        <v>46.83</v>
      </c>
      <c r="DF114" s="228">
        <v>-6.25</v>
      </c>
      <c r="DG114" s="228">
        <v>-0.11</v>
      </c>
      <c r="DH114" s="228">
        <v>40.04</v>
      </c>
      <c r="DI114" s="228">
        <v>40.01</v>
      </c>
      <c r="DJ114" s="228">
        <v>0.03</v>
      </c>
      <c r="DK114" s="228">
        <v>0.03</v>
      </c>
      <c r="DL114" s="228">
        <v>41.44</v>
      </c>
      <c r="DM114" s="228">
        <v>43.26</v>
      </c>
      <c r="DN114" s="228">
        <v>-1.82</v>
      </c>
      <c r="DO114" s="228">
        <v>-1.82</v>
      </c>
      <c r="DP114" s="228">
        <v>0.85</v>
      </c>
      <c r="DQ114" s="228">
        <v>0.92</v>
      </c>
      <c r="DR114" s="228">
        <v>-7.0000000000000007E-2</v>
      </c>
      <c r="DS114" s="229">
        <v>-7.6100000000000001E-2</v>
      </c>
      <c r="DT114" s="231">
        <v>5000</v>
      </c>
      <c r="DU114" s="231">
        <v>4500</v>
      </c>
      <c r="DV114" s="228">
        <v>0.45</v>
      </c>
      <c r="DW114" s="228">
        <v>0.39</v>
      </c>
      <c r="DX114" s="228">
        <v>0.06</v>
      </c>
      <c r="DY114" s="229">
        <v>0.15379999999999999</v>
      </c>
      <c r="DZ114" s="229">
        <v>6.3700000000000007E-2</v>
      </c>
      <c r="EA114" s="230">
        <v>121625</v>
      </c>
      <c r="EB114" s="229">
        <v>-1.3299999999999999E-2</v>
      </c>
      <c r="EC114" s="229">
        <v>6.3700000000000007E-2</v>
      </c>
      <c r="ED114" s="228">
        <v>-65.5</v>
      </c>
      <c r="EE114" s="229">
        <v>-1.4800000000000001E-2</v>
      </c>
      <c r="EF114" s="230">
        <v>210263</v>
      </c>
      <c r="EG114" s="230">
        <v>370073</v>
      </c>
      <c r="EH114" s="229">
        <v>-0.43180000000000002</v>
      </c>
      <c r="EI114" s="229">
        <v>0.4289</v>
      </c>
      <c r="EJ114" s="231">
        <v>28841.93</v>
      </c>
      <c r="EK114" s="231">
        <v>12086.6</v>
      </c>
      <c r="EL114" s="231">
        <v>16689.2</v>
      </c>
      <c r="EM114" s="231">
        <v>2763</v>
      </c>
      <c r="EN114" s="231">
        <v>57617.73</v>
      </c>
      <c r="EO114" s="231">
        <v>96008.37</v>
      </c>
      <c r="EP114" s="231">
        <v>-38390.639999999999</v>
      </c>
      <c r="EQ114" s="229">
        <v>-0.39989999999999998</v>
      </c>
      <c r="ER114" s="231">
        <v>22177</v>
      </c>
      <c r="ES114" s="231">
        <v>17571</v>
      </c>
      <c r="ET114" s="231">
        <v>96216</v>
      </c>
      <c r="EU114" s="231">
        <v>9320940</v>
      </c>
      <c r="EV114" s="231">
        <v>135964</v>
      </c>
      <c r="EW114" s="231">
        <v>130831</v>
      </c>
      <c r="EX114" s="231">
        <v>5133</v>
      </c>
      <c r="EY114" s="229">
        <v>3.9199999999999999E-2</v>
      </c>
      <c r="EZ114" s="229">
        <v>0.33239999999999997</v>
      </c>
      <c r="FA114" s="227" t="s">
        <v>567</v>
      </c>
      <c r="FB114" s="161">
        <f t="shared" si="1"/>
        <v>138775</v>
      </c>
    </row>
    <row r="115" spans="1:158" ht="17.25" thickBot="1" x14ac:dyDescent="0.3">
      <c r="A115" s="226">
        <v>46121</v>
      </c>
      <c r="B115" s="227" t="s">
        <v>175</v>
      </c>
      <c r="C115" s="227" t="s">
        <v>681</v>
      </c>
      <c r="D115" s="228">
        <v>500</v>
      </c>
      <c r="E115" s="228">
        <v>893.85</v>
      </c>
      <c r="F115" s="228">
        <v>911.35</v>
      </c>
      <c r="G115" s="228">
        <v>-17.5</v>
      </c>
      <c r="H115" s="229">
        <v>-1.9199999999999998E-2</v>
      </c>
      <c r="I115" s="228">
        <v>892.25</v>
      </c>
      <c r="J115" s="228">
        <v>919.35</v>
      </c>
      <c r="K115" s="228">
        <v>-27.1</v>
      </c>
      <c r="L115" s="229">
        <v>-2.9499999999999998E-2</v>
      </c>
      <c r="M115" s="228">
        <v>893.85</v>
      </c>
      <c r="N115" s="228">
        <v>911.35</v>
      </c>
      <c r="O115" s="228">
        <v>-17.5</v>
      </c>
      <c r="P115" s="229">
        <v>-1.9199999999999998E-2</v>
      </c>
      <c r="Q115" s="228">
        <v>877.25</v>
      </c>
      <c r="R115" s="228">
        <v>895.35</v>
      </c>
      <c r="S115" s="228">
        <v>-18.100000000000001</v>
      </c>
      <c r="T115" s="229">
        <v>-2.0199999999999999E-2</v>
      </c>
      <c r="U115" s="228">
        <v>873.75</v>
      </c>
      <c r="V115" s="228">
        <v>888.1</v>
      </c>
      <c r="W115" s="228">
        <v>-14.35</v>
      </c>
      <c r="X115" s="229">
        <v>-1.6199999999999999E-2</v>
      </c>
      <c r="Y115" s="228">
        <v>1.6</v>
      </c>
      <c r="Z115" s="228">
        <v>-8</v>
      </c>
      <c r="AA115" s="228">
        <v>9.6</v>
      </c>
      <c r="AB115" s="229">
        <v>1.8E-3</v>
      </c>
      <c r="AC115" s="228">
        <v>1.6</v>
      </c>
      <c r="AD115" s="228">
        <v>-8</v>
      </c>
      <c r="AE115" s="228">
        <v>9.6</v>
      </c>
      <c r="AF115" s="229">
        <v>1.8E-3</v>
      </c>
      <c r="AG115" s="228">
        <v>-15</v>
      </c>
      <c r="AH115" s="228">
        <v>-24</v>
      </c>
      <c r="AI115" s="228">
        <v>9</v>
      </c>
      <c r="AJ115" s="229">
        <v>-1.6799999999999999E-2</v>
      </c>
      <c r="AK115" s="228">
        <v>-18.5</v>
      </c>
      <c r="AL115" s="228">
        <v>-31.25</v>
      </c>
      <c r="AM115" s="228">
        <v>12.75</v>
      </c>
      <c r="AN115" s="229">
        <v>-2.07E-2</v>
      </c>
      <c r="AO115" s="228">
        <v>900.95</v>
      </c>
      <c r="AP115" s="228">
        <v>884.54</v>
      </c>
      <c r="AQ115" s="228">
        <v>0</v>
      </c>
      <c r="AR115" s="230">
        <v>1678500</v>
      </c>
      <c r="AS115" s="230">
        <v>2414000</v>
      </c>
      <c r="AT115" s="230">
        <v>-735500</v>
      </c>
      <c r="AU115" s="229">
        <v>-0.30470000000000003</v>
      </c>
      <c r="AV115" s="230">
        <v>1422000</v>
      </c>
      <c r="AW115" s="230">
        <v>2144000</v>
      </c>
      <c r="AX115" s="230">
        <v>-722000</v>
      </c>
      <c r="AY115" s="229">
        <v>-0.33679999999999999</v>
      </c>
      <c r="AZ115" s="230">
        <v>233500</v>
      </c>
      <c r="BA115" s="230">
        <v>256000</v>
      </c>
      <c r="BB115" s="230">
        <v>-22500</v>
      </c>
      <c r="BC115" s="229">
        <v>-8.7900000000000006E-2</v>
      </c>
      <c r="BD115" s="230">
        <v>23000</v>
      </c>
      <c r="BE115" s="230">
        <v>14000</v>
      </c>
      <c r="BF115" s="230">
        <v>9000</v>
      </c>
      <c r="BG115" s="229">
        <v>0.64290000000000003</v>
      </c>
      <c r="BH115" s="230">
        <v>2343500</v>
      </c>
      <c r="BI115" s="230">
        <v>2351000</v>
      </c>
      <c r="BJ115" s="230">
        <v>-7500</v>
      </c>
      <c r="BK115" s="229">
        <v>-3.2000000000000002E-3</v>
      </c>
      <c r="BL115" s="230">
        <v>577000</v>
      </c>
      <c r="BM115" s="230">
        <v>882000</v>
      </c>
      <c r="BN115" s="230">
        <v>-305000</v>
      </c>
      <c r="BO115" s="229">
        <v>-0.3458</v>
      </c>
      <c r="BP115" s="230">
        <v>4599000</v>
      </c>
      <c r="BQ115" s="230">
        <v>5647000</v>
      </c>
      <c r="BR115" s="230">
        <v>-1048000</v>
      </c>
      <c r="BS115" s="229">
        <v>-0.18559999999999999</v>
      </c>
      <c r="BT115" s="230">
        <v>1861938</v>
      </c>
      <c r="BU115" s="230">
        <v>2071829</v>
      </c>
      <c r="BV115" s="230">
        <v>-209891</v>
      </c>
      <c r="BW115" s="229">
        <v>-0.1013</v>
      </c>
      <c r="BX115" s="230">
        <v>3379000</v>
      </c>
      <c r="BY115" s="230">
        <v>3015000</v>
      </c>
      <c r="BZ115" s="230">
        <v>364000</v>
      </c>
      <c r="CA115" s="229">
        <v>0.1207</v>
      </c>
      <c r="CB115" s="230">
        <v>2979500</v>
      </c>
      <c r="CC115" s="230">
        <v>2687000</v>
      </c>
      <c r="CD115" s="230">
        <v>292500</v>
      </c>
      <c r="CE115" s="229">
        <v>0.1089</v>
      </c>
      <c r="CF115" s="230">
        <v>368000</v>
      </c>
      <c r="CG115" s="230">
        <v>303500</v>
      </c>
      <c r="CH115" s="230">
        <v>64500</v>
      </c>
      <c r="CI115" s="229">
        <v>0.21249999999999999</v>
      </c>
      <c r="CJ115" s="230">
        <v>31500</v>
      </c>
      <c r="CK115" s="230">
        <v>24500</v>
      </c>
      <c r="CL115" s="230">
        <v>7000</v>
      </c>
      <c r="CM115" s="229">
        <v>0.28570000000000001</v>
      </c>
      <c r="CN115" s="230">
        <v>1327000</v>
      </c>
      <c r="CO115" s="230">
        <v>914500</v>
      </c>
      <c r="CP115" s="230">
        <v>412500</v>
      </c>
      <c r="CQ115" s="229">
        <v>0.4511</v>
      </c>
      <c r="CR115" s="230">
        <v>680500</v>
      </c>
      <c r="CS115" s="230">
        <v>564500</v>
      </c>
      <c r="CT115" s="230">
        <v>116000</v>
      </c>
      <c r="CU115" s="229">
        <v>0.20549999999999999</v>
      </c>
      <c r="CV115" s="230">
        <v>5386500</v>
      </c>
      <c r="CW115" s="230">
        <v>4494000</v>
      </c>
      <c r="CX115" s="230">
        <v>892500</v>
      </c>
      <c r="CY115" s="229">
        <v>0.1986</v>
      </c>
      <c r="CZ115" s="228">
        <v>44.32</v>
      </c>
      <c r="DA115" s="228">
        <v>40.590000000000003</v>
      </c>
      <c r="DB115" s="228">
        <v>3.73</v>
      </c>
      <c r="DC115" s="228">
        <v>3.73</v>
      </c>
      <c r="DD115" s="228">
        <v>50.5</v>
      </c>
      <c r="DE115" s="228">
        <v>50.55</v>
      </c>
      <c r="DF115" s="228">
        <v>-6.18</v>
      </c>
      <c r="DG115" s="228">
        <v>-0.05</v>
      </c>
      <c r="DH115" s="228">
        <v>44.19</v>
      </c>
      <c r="DI115" s="228">
        <v>39.81</v>
      </c>
      <c r="DJ115" s="228">
        <v>4.38</v>
      </c>
      <c r="DK115" s="228">
        <v>4.38</v>
      </c>
      <c r="DL115" s="228">
        <v>44.85</v>
      </c>
      <c r="DM115" s="228">
        <v>42.65</v>
      </c>
      <c r="DN115" s="228">
        <v>2.2000000000000002</v>
      </c>
      <c r="DO115" s="228">
        <v>2.2000000000000002</v>
      </c>
      <c r="DP115" s="228">
        <v>0.51</v>
      </c>
      <c r="DQ115" s="228">
        <v>0.62</v>
      </c>
      <c r="DR115" s="228">
        <v>-0.11</v>
      </c>
      <c r="DS115" s="229">
        <v>-0.1774</v>
      </c>
      <c r="DT115" s="228">
        <v>980</v>
      </c>
      <c r="DU115" s="228">
        <v>900</v>
      </c>
      <c r="DV115" s="228">
        <v>0.25</v>
      </c>
      <c r="DW115" s="228">
        <v>0.38</v>
      </c>
      <c r="DX115" s="228">
        <v>-0.13</v>
      </c>
      <c r="DY115" s="229">
        <v>-0.34210000000000002</v>
      </c>
      <c r="DZ115" s="229">
        <v>0.1182</v>
      </c>
      <c r="EA115" s="230">
        <v>328000</v>
      </c>
      <c r="EB115" s="229">
        <v>-1.8599999999999998E-2</v>
      </c>
      <c r="EC115" s="229">
        <v>0.1182</v>
      </c>
      <c r="ED115" s="228">
        <v>-16.41</v>
      </c>
      <c r="EE115" s="229">
        <v>-1.8200000000000001E-2</v>
      </c>
      <c r="EF115" s="230">
        <v>841524</v>
      </c>
      <c r="EG115" s="230">
        <v>875861</v>
      </c>
      <c r="EH115" s="229">
        <v>-3.9199999999999999E-2</v>
      </c>
      <c r="EI115" s="229">
        <v>0.45200000000000001</v>
      </c>
      <c r="EJ115" s="231">
        <v>22891.98</v>
      </c>
      <c r="EK115" s="231">
        <v>5217.83</v>
      </c>
      <c r="EL115" s="231">
        <v>15077.77</v>
      </c>
      <c r="EM115" s="231">
        <v>3150</v>
      </c>
      <c r="EN115" s="231">
        <v>43187.58</v>
      </c>
      <c r="EO115" s="231">
        <v>53153.69</v>
      </c>
      <c r="EP115" s="231">
        <v>-9966.11</v>
      </c>
      <c r="EQ115" s="229">
        <v>-0.1875</v>
      </c>
      <c r="ER115" s="231">
        <v>12643</v>
      </c>
      <c r="ES115" s="231">
        <v>6041</v>
      </c>
      <c r="ET115" s="231">
        <v>30136</v>
      </c>
      <c r="EU115" s="231">
        <v>19953342</v>
      </c>
      <c r="EV115" s="231">
        <v>48820</v>
      </c>
      <c r="EW115" s="231">
        <v>41189</v>
      </c>
      <c r="EX115" s="231">
        <v>7631</v>
      </c>
      <c r="EY115" s="229">
        <v>0.18529999999999999</v>
      </c>
      <c r="EZ115" s="229">
        <v>0.27</v>
      </c>
      <c r="FA115" s="227" t="s">
        <v>566</v>
      </c>
      <c r="FB115" s="161">
        <f t="shared" si="1"/>
        <v>399500</v>
      </c>
    </row>
    <row r="116" spans="1:158" ht="17.25" thickBot="1" x14ac:dyDescent="0.3">
      <c r="A116" s="226">
        <v>46121</v>
      </c>
      <c r="B116" s="227" t="s">
        <v>172</v>
      </c>
      <c r="C116" s="227" t="s">
        <v>246</v>
      </c>
      <c r="D116" s="228">
        <v>2000</v>
      </c>
      <c r="E116" s="228">
        <v>373.05</v>
      </c>
      <c r="F116" s="228">
        <v>380.95</v>
      </c>
      <c r="G116" s="228">
        <v>-7.9</v>
      </c>
      <c r="H116" s="229">
        <v>-2.07E-2</v>
      </c>
      <c r="I116" s="228">
        <v>371.9</v>
      </c>
      <c r="J116" s="228">
        <v>380.15</v>
      </c>
      <c r="K116" s="228">
        <v>-8.25</v>
      </c>
      <c r="L116" s="229">
        <v>-2.1700000000000001E-2</v>
      </c>
      <c r="M116" s="228">
        <v>373.05</v>
      </c>
      <c r="N116" s="228">
        <v>380.95</v>
      </c>
      <c r="O116" s="228">
        <v>-7.9</v>
      </c>
      <c r="P116" s="229">
        <v>-2.07E-2</v>
      </c>
      <c r="Q116" s="228">
        <v>375.25</v>
      </c>
      <c r="R116" s="228">
        <v>383.4</v>
      </c>
      <c r="S116" s="228">
        <v>-8.15</v>
      </c>
      <c r="T116" s="229">
        <v>-2.1299999999999999E-2</v>
      </c>
      <c r="U116" s="228">
        <v>378.25</v>
      </c>
      <c r="V116" s="228">
        <v>384.95</v>
      </c>
      <c r="W116" s="228">
        <v>-6.7</v>
      </c>
      <c r="X116" s="229">
        <v>-1.7399999999999999E-2</v>
      </c>
      <c r="Y116" s="228">
        <v>1.1499999999999999</v>
      </c>
      <c r="Z116" s="228">
        <v>0.8</v>
      </c>
      <c r="AA116" s="228">
        <v>0.35</v>
      </c>
      <c r="AB116" s="229">
        <v>3.0999999999999999E-3</v>
      </c>
      <c r="AC116" s="228">
        <v>1.1499999999999999</v>
      </c>
      <c r="AD116" s="228">
        <v>0.8</v>
      </c>
      <c r="AE116" s="228">
        <v>0.35</v>
      </c>
      <c r="AF116" s="229">
        <v>3.0999999999999999E-3</v>
      </c>
      <c r="AG116" s="228">
        <v>3.35</v>
      </c>
      <c r="AH116" s="228">
        <v>3.25</v>
      </c>
      <c r="AI116" s="228">
        <v>0.1</v>
      </c>
      <c r="AJ116" s="229">
        <v>8.9999999999999993E-3</v>
      </c>
      <c r="AK116" s="228">
        <v>6.35</v>
      </c>
      <c r="AL116" s="228">
        <v>4.8</v>
      </c>
      <c r="AM116" s="228">
        <v>1.55</v>
      </c>
      <c r="AN116" s="229">
        <v>1.7100000000000001E-2</v>
      </c>
      <c r="AO116" s="228">
        <v>374.03</v>
      </c>
      <c r="AP116" s="228">
        <v>376.13</v>
      </c>
      <c r="AQ116" s="228">
        <v>0</v>
      </c>
      <c r="AR116" s="230">
        <v>13746000</v>
      </c>
      <c r="AS116" s="230">
        <v>30336000</v>
      </c>
      <c r="AT116" s="230">
        <v>-16590000</v>
      </c>
      <c r="AU116" s="229">
        <v>-0.54690000000000005</v>
      </c>
      <c r="AV116" s="230">
        <v>12440000</v>
      </c>
      <c r="AW116" s="230">
        <v>28848000</v>
      </c>
      <c r="AX116" s="230">
        <v>-16408000</v>
      </c>
      <c r="AY116" s="229">
        <v>-0.56879999999999997</v>
      </c>
      <c r="AZ116" s="230">
        <v>1180000</v>
      </c>
      <c r="BA116" s="230">
        <v>1314000</v>
      </c>
      <c r="BB116" s="230">
        <v>-134000</v>
      </c>
      <c r="BC116" s="229">
        <v>-0.10199999999999999</v>
      </c>
      <c r="BD116" s="230">
        <v>126000</v>
      </c>
      <c r="BE116" s="230">
        <v>174000</v>
      </c>
      <c r="BF116" s="230">
        <v>-48000</v>
      </c>
      <c r="BG116" s="229">
        <v>-0.27589999999999998</v>
      </c>
      <c r="BH116" s="230">
        <v>20696000</v>
      </c>
      <c r="BI116" s="230">
        <v>37538000</v>
      </c>
      <c r="BJ116" s="230">
        <v>-16842000</v>
      </c>
      <c r="BK116" s="229">
        <v>-0.44869999999999999</v>
      </c>
      <c r="BL116" s="230">
        <v>14192000</v>
      </c>
      <c r="BM116" s="230">
        <v>26022000</v>
      </c>
      <c r="BN116" s="230">
        <v>-11830000</v>
      </c>
      <c r="BO116" s="229">
        <v>-0.4546</v>
      </c>
      <c r="BP116" s="230">
        <v>48634000</v>
      </c>
      <c r="BQ116" s="230">
        <v>93896000</v>
      </c>
      <c r="BR116" s="230">
        <v>-45262000</v>
      </c>
      <c r="BS116" s="229">
        <v>-0.48199999999999998</v>
      </c>
      <c r="BT116" s="230">
        <v>14823378</v>
      </c>
      <c r="BU116" s="230">
        <v>32664654</v>
      </c>
      <c r="BV116" s="230">
        <v>-17841276</v>
      </c>
      <c r="BW116" s="229">
        <v>-0.54620000000000002</v>
      </c>
      <c r="BX116" s="230">
        <v>216218000</v>
      </c>
      <c r="BY116" s="230">
        <v>216078000</v>
      </c>
      <c r="BZ116" s="230">
        <v>140000</v>
      </c>
      <c r="CA116" s="229">
        <v>5.9999999999999995E-4</v>
      </c>
      <c r="CB116" s="230">
        <v>190568000</v>
      </c>
      <c r="CC116" s="230">
        <v>191244000</v>
      </c>
      <c r="CD116" s="230">
        <v>-676000</v>
      </c>
      <c r="CE116" s="229">
        <v>-3.5000000000000001E-3</v>
      </c>
      <c r="CF116" s="230">
        <v>24484000</v>
      </c>
      <c r="CG116" s="230">
        <v>23772000</v>
      </c>
      <c r="CH116" s="230">
        <v>712000</v>
      </c>
      <c r="CI116" s="229">
        <v>0.03</v>
      </c>
      <c r="CJ116" s="230">
        <v>1166000</v>
      </c>
      <c r="CK116" s="230">
        <v>1062000</v>
      </c>
      <c r="CL116" s="230">
        <v>104000</v>
      </c>
      <c r="CM116" s="229">
        <v>9.7900000000000001E-2</v>
      </c>
      <c r="CN116" s="230">
        <v>23628000</v>
      </c>
      <c r="CO116" s="230">
        <v>21854000</v>
      </c>
      <c r="CP116" s="230">
        <v>1774000</v>
      </c>
      <c r="CQ116" s="229">
        <v>8.1199999999999994E-2</v>
      </c>
      <c r="CR116" s="230">
        <v>24884000</v>
      </c>
      <c r="CS116" s="230">
        <v>25652000</v>
      </c>
      <c r="CT116" s="230">
        <v>-768000</v>
      </c>
      <c r="CU116" s="229">
        <v>-2.9899999999999999E-2</v>
      </c>
      <c r="CV116" s="230">
        <v>264730000</v>
      </c>
      <c r="CW116" s="230">
        <v>263584000</v>
      </c>
      <c r="CX116" s="230">
        <v>1146000</v>
      </c>
      <c r="CY116" s="229">
        <v>4.3E-3</v>
      </c>
      <c r="CZ116" s="228">
        <v>28.47</v>
      </c>
      <c r="DA116" s="228">
        <v>28.07</v>
      </c>
      <c r="DB116" s="228">
        <v>0.4</v>
      </c>
      <c r="DC116" s="228">
        <v>0.4</v>
      </c>
      <c r="DD116" s="228">
        <v>27.33</v>
      </c>
      <c r="DE116" s="228">
        <v>27.24</v>
      </c>
      <c r="DF116" s="228">
        <v>1.1399999999999999</v>
      </c>
      <c r="DG116" s="228">
        <v>0.09</v>
      </c>
      <c r="DH116" s="228">
        <v>27.79</v>
      </c>
      <c r="DI116" s="228">
        <v>26.6</v>
      </c>
      <c r="DJ116" s="228">
        <v>1.19</v>
      </c>
      <c r="DK116" s="228">
        <v>1.19</v>
      </c>
      <c r="DL116" s="228">
        <v>29.46</v>
      </c>
      <c r="DM116" s="228">
        <v>30.2</v>
      </c>
      <c r="DN116" s="228">
        <v>-0.74</v>
      </c>
      <c r="DO116" s="228">
        <v>-0.74</v>
      </c>
      <c r="DP116" s="228">
        <v>1.05</v>
      </c>
      <c r="DQ116" s="228">
        <v>1.17</v>
      </c>
      <c r="DR116" s="228">
        <v>-0.12</v>
      </c>
      <c r="DS116" s="229">
        <v>-0.1026</v>
      </c>
      <c r="DT116" s="228">
        <v>370</v>
      </c>
      <c r="DU116" s="228">
        <v>335</v>
      </c>
      <c r="DV116" s="228">
        <v>0.69</v>
      </c>
      <c r="DW116" s="228">
        <v>0.69</v>
      </c>
      <c r="DX116" s="228">
        <v>0</v>
      </c>
      <c r="DY116" s="229">
        <v>0</v>
      </c>
      <c r="DZ116" s="229">
        <v>0.1186</v>
      </c>
      <c r="EA116" s="230">
        <v>24834000</v>
      </c>
      <c r="EB116" s="229">
        <v>5.8999999999999999E-3</v>
      </c>
      <c r="EC116" s="229">
        <v>0.1186</v>
      </c>
      <c r="ED116" s="228">
        <v>2.1</v>
      </c>
      <c r="EE116" s="229">
        <v>5.5999999999999999E-3</v>
      </c>
      <c r="EF116" s="230">
        <v>7910271</v>
      </c>
      <c r="EG116" s="230">
        <v>22407759</v>
      </c>
      <c r="EH116" s="229">
        <v>-0.64700000000000002</v>
      </c>
      <c r="EI116" s="229">
        <v>0.53359999999999996</v>
      </c>
      <c r="EJ116" s="231">
        <v>81096.02</v>
      </c>
      <c r="EK116" s="231">
        <v>52814.22</v>
      </c>
      <c r="EL116" s="231">
        <v>51443.99</v>
      </c>
      <c r="EM116" s="231">
        <v>11987</v>
      </c>
      <c r="EN116" s="231">
        <v>185354.23</v>
      </c>
      <c r="EO116" s="231">
        <v>356839.39</v>
      </c>
      <c r="EP116" s="231">
        <v>-171485.16</v>
      </c>
      <c r="EQ116" s="229">
        <v>-0.48060000000000003</v>
      </c>
      <c r="ER116" s="231">
        <v>90111</v>
      </c>
      <c r="ES116" s="231">
        <v>88172</v>
      </c>
      <c r="ET116" s="231">
        <v>807201</v>
      </c>
      <c r="EU116" s="231">
        <v>882793124</v>
      </c>
      <c r="EV116" s="231">
        <v>985484</v>
      </c>
      <c r="EW116" s="231">
        <v>997973</v>
      </c>
      <c r="EX116" s="231">
        <v>-12489</v>
      </c>
      <c r="EY116" s="229">
        <v>-1.2500000000000001E-2</v>
      </c>
      <c r="EZ116" s="229">
        <v>0.2999</v>
      </c>
      <c r="FA116" s="227" t="s">
        <v>566</v>
      </c>
      <c r="FB116" s="161">
        <f t="shared" si="1"/>
        <v>25650000</v>
      </c>
    </row>
    <row r="117" spans="1:158" ht="17.25" thickBot="1" x14ac:dyDescent="0.3">
      <c r="A117" s="226">
        <v>46121</v>
      </c>
      <c r="B117" s="227" t="s">
        <v>221</v>
      </c>
      <c r="C117" s="227" t="s">
        <v>576</v>
      </c>
      <c r="D117" s="228">
        <v>425</v>
      </c>
      <c r="E117" s="228">
        <v>718.9</v>
      </c>
      <c r="F117" s="228">
        <v>725.05</v>
      </c>
      <c r="G117" s="228">
        <v>-6.15</v>
      </c>
      <c r="H117" s="229">
        <v>-8.5000000000000006E-3</v>
      </c>
      <c r="I117" s="228">
        <v>716.05</v>
      </c>
      <c r="J117" s="228">
        <v>721.15</v>
      </c>
      <c r="K117" s="228">
        <v>-5.0999999999999996</v>
      </c>
      <c r="L117" s="229">
        <v>-7.1000000000000004E-3</v>
      </c>
      <c r="M117" s="228">
        <v>718.9</v>
      </c>
      <c r="N117" s="228">
        <v>725.05</v>
      </c>
      <c r="O117" s="228">
        <v>-6.15</v>
      </c>
      <c r="P117" s="229">
        <v>-8.5000000000000006E-3</v>
      </c>
      <c r="Q117" s="228">
        <v>722.95</v>
      </c>
      <c r="R117" s="228">
        <v>729.05</v>
      </c>
      <c r="S117" s="228">
        <v>-6.1</v>
      </c>
      <c r="T117" s="229">
        <v>-8.3999999999999995E-3</v>
      </c>
      <c r="U117" s="228">
        <v>726</v>
      </c>
      <c r="V117" s="228">
        <v>733.4</v>
      </c>
      <c r="W117" s="228">
        <v>-7.4</v>
      </c>
      <c r="X117" s="229">
        <v>-1.01E-2</v>
      </c>
      <c r="Y117" s="228">
        <v>2.85</v>
      </c>
      <c r="Z117" s="228">
        <v>3.9</v>
      </c>
      <c r="AA117" s="228">
        <v>-1.05</v>
      </c>
      <c r="AB117" s="229">
        <v>4.0000000000000001E-3</v>
      </c>
      <c r="AC117" s="228">
        <v>2.85</v>
      </c>
      <c r="AD117" s="228">
        <v>3.9</v>
      </c>
      <c r="AE117" s="228">
        <v>-1.05</v>
      </c>
      <c r="AF117" s="229">
        <v>4.0000000000000001E-3</v>
      </c>
      <c r="AG117" s="228">
        <v>6.9</v>
      </c>
      <c r="AH117" s="228">
        <v>7.9</v>
      </c>
      <c r="AI117" s="228">
        <v>-1</v>
      </c>
      <c r="AJ117" s="229">
        <v>9.5999999999999992E-3</v>
      </c>
      <c r="AK117" s="228">
        <v>9.9499999999999993</v>
      </c>
      <c r="AL117" s="228">
        <v>12.25</v>
      </c>
      <c r="AM117" s="228">
        <v>-2.2999999999999998</v>
      </c>
      <c r="AN117" s="229">
        <v>1.3899999999999999E-2</v>
      </c>
      <c r="AO117" s="228">
        <v>717.47</v>
      </c>
      <c r="AP117" s="228">
        <v>720.51</v>
      </c>
      <c r="AQ117" s="228">
        <v>0</v>
      </c>
      <c r="AR117" s="230">
        <v>1425875</v>
      </c>
      <c r="AS117" s="230">
        <v>2045100</v>
      </c>
      <c r="AT117" s="230">
        <v>-619225</v>
      </c>
      <c r="AU117" s="229">
        <v>-0.30280000000000001</v>
      </c>
      <c r="AV117" s="230">
        <v>1243550</v>
      </c>
      <c r="AW117" s="230">
        <v>1895500</v>
      </c>
      <c r="AX117" s="230">
        <v>-651950</v>
      </c>
      <c r="AY117" s="229">
        <v>-0.34389999999999998</v>
      </c>
      <c r="AZ117" s="230">
        <v>116450</v>
      </c>
      <c r="BA117" s="230">
        <v>115600</v>
      </c>
      <c r="BB117" s="228">
        <v>850</v>
      </c>
      <c r="BC117" s="229">
        <v>7.4000000000000003E-3</v>
      </c>
      <c r="BD117" s="230">
        <v>65875</v>
      </c>
      <c r="BE117" s="230">
        <v>34000</v>
      </c>
      <c r="BF117" s="230">
        <v>31875</v>
      </c>
      <c r="BG117" s="229">
        <v>0.9375</v>
      </c>
      <c r="BH117" s="230">
        <v>2727650</v>
      </c>
      <c r="BI117" s="230">
        <v>4926600</v>
      </c>
      <c r="BJ117" s="230">
        <v>-2198950</v>
      </c>
      <c r="BK117" s="229">
        <v>-0.44629999999999997</v>
      </c>
      <c r="BL117" s="230">
        <v>1215925</v>
      </c>
      <c r="BM117" s="230">
        <v>1612025</v>
      </c>
      <c r="BN117" s="230">
        <v>-396100</v>
      </c>
      <c r="BO117" s="229">
        <v>-0.2457</v>
      </c>
      <c r="BP117" s="230">
        <v>5369450</v>
      </c>
      <c r="BQ117" s="230">
        <v>8583725</v>
      </c>
      <c r="BR117" s="230">
        <v>-3214275</v>
      </c>
      <c r="BS117" s="229">
        <v>-0.3745</v>
      </c>
      <c r="BT117" s="230">
        <v>1849458</v>
      </c>
      <c r="BU117" s="230">
        <v>2750519</v>
      </c>
      <c r="BV117" s="230">
        <v>-901061</v>
      </c>
      <c r="BW117" s="229">
        <v>-0.3276</v>
      </c>
      <c r="BX117" s="230">
        <v>6704800</v>
      </c>
      <c r="BY117" s="230">
        <v>6566250</v>
      </c>
      <c r="BZ117" s="230">
        <v>138550</v>
      </c>
      <c r="CA117" s="229">
        <v>2.1100000000000001E-2</v>
      </c>
      <c r="CB117" s="230">
        <v>6377975</v>
      </c>
      <c r="CC117" s="230">
        <v>6231350</v>
      </c>
      <c r="CD117" s="230">
        <v>146625</v>
      </c>
      <c r="CE117" s="229">
        <v>2.35E-2</v>
      </c>
      <c r="CF117" s="230">
        <v>288575</v>
      </c>
      <c r="CG117" s="230">
        <v>263075</v>
      </c>
      <c r="CH117" s="230">
        <v>25500</v>
      </c>
      <c r="CI117" s="229">
        <v>9.69E-2</v>
      </c>
      <c r="CJ117" s="230">
        <v>38250</v>
      </c>
      <c r="CK117" s="230">
        <v>71825</v>
      </c>
      <c r="CL117" s="230">
        <v>-33575</v>
      </c>
      <c r="CM117" s="229">
        <v>-0.46750000000000003</v>
      </c>
      <c r="CN117" s="230">
        <v>2902325</v>
      </c>
      <c r="CO117" s="230">
        <v>2774825</v>
      </c>
      <c r="CP117" s="230">
        <v>127500</v>
      </c>
      <c r="CQ117" s="229">
        <v>4.5900000000000003E-2</v>
      </c>
      <c r="CR117" s="230">
        <v>2357475</v>
      </c>
      <c r="CS117" s="230">
        <v>2218925</v>
      </c>
      <c r="CT117" s="230">
        <v>138550</v>
      </c>
      <c r="CU117" s="229">
        <v>6.2399999999999997E-2</v>
      </c>
      <c r="CV117" s="230">
        <v>11964600</v>
      </c>
      <c r="CW117" s="230">
        <v>11560000</v>
      </c>
      <c r="CX117" s="230">
        <v>404600</v>
      </c>
      <c r="CY117" s="229">
        <v>3.5000000000000003E-2</v>
      </c>
      <c r="CZ117" s="228">
        <v>46.05</v>
      </c>
      <c r="DA117" s="228">
        <v>46.13</v>
      </c>
      <c r="DB117" s="228">
        <v>-0.08</v>
      </c>
      <c r="DC117" s="228">
        <v>-0.08</v>
      </c>
      <c r="DD117" s="228">
        <v>45.38</v>
      </c>
      <c r="DE117" s="228">
        <v>45.48</v>
      </c>
      <c r="DF117" s="228">
        <v>0.67</v>
      </c>
      <c r="DG117" s="228">
        <v>-0.1</v>
      </c>
      <c r="DH117" s="228">
        <v>45.6</v>
      </c>
      <c r="DI117" s="228">
        <v>45.54</v>
      </c>
      <c r="DJ117" s="228">
        <v>0.06</v>
      </c>
      <c r="DK117" s="228">
        <v>0.06</v>
      </c>
      <c r="DL117" s="228">
        <v>47.05</v>
      </c>
      <c r="DM117" s="228">
        <v>47.92</v>
      </c>
      <c r="DN117" s="228">
        <v>-0.87</v>
      </c>
      <c r="DO117" s="228">
        <v>-0.87</v>
      </c>
      <c r="DP117" s="228">
        <v>0.81</v>
      </c>
      <c r="DQ117" s="228">
        <v>0.8</v>
      </c>
      <c r="DR117" s="228">
        <v>0.01</v>
      </c>
      <c r="DS117" s="229">
        <v>1.2500000000000001E-2</v>
      </c>
      <c r="DT117" s="228">
        <v>700</v>
      </c>
      <c r="DU117" s="228">
        <v>700</v>
      </c>
      <c r="DV117" s="228">
        <v>0.45</v>
      </c>
      <c r="DW117" s="228">
        <v>0.33</v>
      </c>
      <c r="DX117" s="228">
        <v>0.12</v>
      </c>
      <c r="DY117" s="229">
        <v>0.36359999999999998</v>
      </c>
      <c r="DZ117" s="229">
        <v>4.87E-2</v>
      </c>
      <c r="EA117" s="230">
        <v>334900</v>
      </c>
      <c r="EB117" s="229">
        <v>5.5999999999999999E-3</v>
      </c>
      <c r="EC117" s="229">
        <v>4.87E-2</v>
      </c>
      <c r="ED117" s="228">
        <v>3.04</v>
      </c>
      <c r="EE117" s="229">
        <v>4.1999999999999997E-3</v>
      </c>
      <c r="EF117" s="230">
        <v>636145</v>
      </c>
      <c r="EG117" s="230">
        <v>1152823</v>
      </c>
      <c r="EH117" s="229">
        <v>-0.44819999999999999</v>
      </c>
      <c r="EI117" s="229">
        <v>0.34399999999999997</v>
      </c>
      <c r="EJ117" s="231">
        <v>20859.98</v>
      </c>
      <c r="EK117" s="231">
        <v>8658.6</v>
      </c>
      <c r="EL117" s="231">
        <v>10234.26</v>
      </c>
      <c r="EM117" s="231">
        <v>4181</v>
      </c>
      <c r="EN117" s="231">
        <v>39752.839999999997</v>
      </c>
      <c r="EO117" s="231">
        <v>64131.79</v>
      </c>
      <c r="EP117" s="231">
        <v>-24378.95</v>
      </c>
      <c r="EQ117" s="229">
        <v>-0.38009999999999999</v>
      </c>
      <c r="ER117" s="231">
        <v>21521</v>
      </c>
      <c r="ES117" s="231">
        <v>15801</v>
      </c>
      <c r="ET117" s="231">
        <v>48215</v>
      </c>
      <c r="EU117" s="231">
        <v>24611073</v>
      </c>
      <c r="EV117" s="231">
        <v>85537</v>
      </c>
      <c r="EW117" s="231">
        <v>82889</v>
      </c>
      <c r="EX117" s="231">
        <v>2648</v>
      </c>
      <c r="EY117" s="229">
        <v>3.1899999999999998E-2</v>
      </c>
      <c r="EZ117" s="229">
        <v>0.48609999999999998</v>
      </c>
      <c r="FA117" s="227" t="s">
        <v>566</v>
      </c>
      <c r="FB117" s="161">
        <f t="shared" si="1"/>
        <v>326825</v>
      </c>
    </row>
    <row r="118" spans="1:158" ht="17.25" thickBot="1" x14ac:dyDescent="0.3">
      <c r="A118" s="226">
        <v>46121</v>
      </c>
      <c r="B118" s="227" t="s">
        <v>170</v>
      </c>
      <c r="C118" s="227" t="s">
        <v>535</v>
      </c>
      <c r="D118" s="228">
        <v>850</v>
      </c>
      <c r="E118" s="231">
        <v>1087.4000000000001</v>
      </c>
      <c r="F118" s="231">
        <v>1085.4000000000001</v>
      </c>
      <c r="G118" s="228">
        <v>2</v>
      </c>
      <c r="H118" s="229">
        <v>1.8E-3</v>
      </c>
      <c r="I118" s="231">
        <v>1083.7</v>
      </c>
      <c r="J118" s="231">
        <v>1082.45</v>
      </c>
      <c r="K118" s="228">
        <v>1.25</v>
      </c>
      <c r="L118" s="229">
        <v>1.1999999999999999E-3</v>
      </c>
      <c r="M118" s="231">
        <v>1087.4000000000001</v>
      </c>
      <c r="N118" s="231">
        <v>1085.4000000000001</v>
      </c>
      <c r="O118" s="228">
        <v>2</v>
      </c>
      <c r="P118" s="229">
        <v>1.8E-3</v>
      </c>
      <c r="Q118" s="231">
        <v>1094.4000000000001</v>
      </c>
      <c r="R118" s="231">
        <v>1091.75</v>
      </c>
      <c r="S118" s="228">
        <v>2.65</v>
      </c>
      <c r="T118" s="229">
        <v>2.3999999999999998E-3</v>
      </c>
      <c r="U118" s="231">
        <v>1100</v>
      </c>
      <c r="V118" s="231">
        <v>1095.5</v>
      </c>
      <c r="W118" s="228">
        <v>4.5</v>
      </c>
      <c r="X118" s="229">
        <v>4.1000000000000003E-3</v>
      </c>
      <c r="Y118" s="228">
        <v>3.7</v>
      </c>
      <c r="Z118" s="228">
        <v>2.95</v>
      </c>
      <c r="AA118" s="228">
        <v>0.75</v>
      </c>
      <c r="AB118" s="229">
        <v>3.3999999999999998E-3</v>
      </c>
      <c r="AC118" s="228">
        <v>3.7</v>
      </c>
      <c r="AD118" s="228">
        <v>2.95</v>
      </c>
      <c r="AE118" s="228">
        <v>0.75</v>
      </c>
      <c r="AF118" s="229">
        <v>3.3999999999999998E-3</v>
      </c>
      <c r="AG118" s="228">
        <v>10.7</v>
      </c>
      <c r="AH118" s="228">
        <v>9.3000000000000007</v>
      </c>
      <c r="AI118" s="228">
        <v>1.4</v>
      </c>
      <c r="AJ118" s="229">
        <v>9.9000000000000008E-3</v>
      </c>
      <c r="AK118" s="228">
        <v>16.3</v>
      </c>
      <c r="AL118" s="228">
        <v>13.05</v>
      </c>
      <c r="AM118" s="228">
        <v>3.25</v>
      </c>
      <c r="AN118" s="229">
        <v>1.4999999999999999E-2</v>
      </c>
      <c r="AO118" s="231">
        <v>1087.53</v>
      </c>
      <c r="AP118" s="231">
        <v>1094.22</v>
      </c>
      <c r="AQ118" s="228">
        <v>0</v>
      </c>
      <c r="AR118" s="230">
        <v>1767150</v>
      </c>
      <c r="AS118" s="230">
        <v>3151800</v>
      </c>
      <c r="AT118" s="230">
        <v>-1384650</v>
      </c>
      <c r="AU118" s="229">
        <v>-0.43930000000000002</v>
      </c>
      <c r="AV118" s="230">
        <v>1614150</v>
      </c>
      <c r="AW118" s="230">
        <v>2932500</v>
      </c>
      <c r="AX118" s="230">
        <v>-1318350</v>
      </c>
      <c r="AY118" s="229">
        <v>-0.4496</v>
      </c>
      <c r="AZ118" s="230">
        <v>149600</v>
      </c>
      <c r="BA118" s="230">
        <v>215900</v>
      </c>
      <c r="BB118" s="230">
        <v>-66300</v>
      </c>
      <c r="BC118" s="229">
        <v>-0.30709999999999998</v>
      </c>
      <c r="BD118" s="230">
        <v>3400</v>
      </c>
      <c r="BE118" s="230">
        <v>3400</v>
      </c>
      <c r="BF118" s="228">
        <v>0</v>
      </c>
      <c r="BG118" s="229">
        <v>0</v>
      </c>
      <c r="BH118" s="230">
        <v>3473100</v>
      </c>
      <c r="BI118" s="230">
        <v>4817800</v>
      </c>
      <c r="BJ118" s="230">
        <v>-1344700</v>
      </c>
      <c r="BK118" s="229">
        <v>-0.27910000000000001</v>
      </c>
      <c r="BL118" s="230">
        <v>2179400</v>
      </c>
      <c r="BM118" s="230">
        <v>3367700</v>
      </c>
      <c r="BN118" s="230">
        <v>-1188300</v>
      </c>
      <c r="BO118" s="229">
        <v>-0.35289999999999999</v>
      </c>
      <c r="BP118" s="230">
        <v>7419650</v>
      </c>
      <c r="BQ118" s="230">
        <v>11337300</v>
      </c>
      <c r="BR118" s="230">
        <v>-3917650</v>
      </c>
      <c r="BS118" s="229">
        <v>-0.34560000000000002</v>
      </c>
      <c r="BT118" s="230">
        <v>1038391</v>
      </c>
      <c r="BU118" s="230">
        <v>1709806</v>
      </c>
      <c r="BV118" s="230">
        <v>-671415</v>
      </c>
      <c r="BW118" s="229">
        <v>-0.39269999999999999</v>
      </c>
      <c r="BX118" s="230">
        <v>17280500</v>
      </c>
      <c r="BY118" s="230">
        <v>17299200</v>
      </c>
      <c r="BZ118" s="230">
        <v>-18700</v>
      </c>
      <c r="CA118" s="229">
        <v>-1.1000000000000001E-3</v>
      </c>
      <c r="CB118" s="230">
        <v>16722900</v>
      </c>
      <c r="CC118" s="230">
        <v>16810450</v>
      </c>
      <c r="CD118" s="230">
        <v>-87550</v>
      </c>
      <c r="CE118" s="229">
        <v>-5.1999999999999998E-3</v>
      </c>
      <c r="CF118" s="230">
        <v>527850</v>
      </c>
      <c r="CG118" s="230">
        <v>459850</v>
      </c>
      <c r="CH118" s="230">
        <v>68000</v>
      </c>
      <c r="CI118" s="229">
        <v>0.1479</v>
      </c>
      <c r="CJ118" s="230">
        <v>29750</v>
      </c>
      <c r="CK118" s="230">
        <v>28900</v>
      </c>
      <c r="CL118" s="228">
        <v>850</v>
      </c>
      <c r="CM118" s="229">
        <v>2.9399999999999999E-2</v>
      </c>
      <c r="CN118" s="230">
        <v>4904500</v>
      </c>
      <c r="CO118" s="230">
        <v>4561950</v>
      </c>
      <c r="CP118" s="230">
        <v>342550</v>
      </c>
      <c r="CQ118" s="229">
        <v>7.51E-2</v>
      </c>
      <c r="CR118" s="230">
        <v>3841150</v>
      </c>
      <c r="CS118" s="230">
        <v>3617600</v>
      </c>
      <c r="CT118" s="230">
        <v>223550</v>
      </c>
      <c r="CU118" s="229">
        <v>6.1800000000000001E-2</v>
      </c>
      <c r="CV118" s="230">
        <v>26026150</v>
      </c>
      <c r="CW118" s="230">
        <v>25478750</v>
      </c>
      <c r="CX118" s="230">
        <v>547400</v>
      </c>
      <c r="CY118" s="229">
        <v>2.1499999999999998E-2</v>
      </c>
      <c r="CZ118" s="228">
        <v>37.57</v>
      </c>
      <c r="DA118" s="228">
        <v>37.39</v>
      </c>
      <c r="DB118" s="228">
        <v>0.18</v>
      </c>
      <c r="DC118" s="228">
        <v>0.18</v>
      </c>
      <c r="DD118" s="228">
        <v>39.700000000000003</v>
      </c>
      <c r="DE118" s="228">
        <v>39.79</v>
      </c>
      <c r="DF118" s="228">
        <v>-2.13</v>
      </c>
      <c r="DG118" s="228">
        <v>-0.09</v>
      </c>
      <c r="DH118" s="228">
        <v>36.61</v>
      </c>
      <c r="DI118" s="228">
        <v>36.14</v>
      </c>
      <c r="DJ118" s="228">
        <v>0.47</v>
      </c>
      <c r="DK118" s="228">
        <v>0.47</v>
      </c>
      <c r="DL118" s="228">
        <v>39.11</v>
      </c>
      <c r="DM118" s="228">
        <v>39.18</v>
      </c>
      <c r="DN118" s="228">
        <v>-7.0000000000000007E-2</v>
      </c>
      <c r="DO118" s="228">
        <v>-7.0000000000000007E-2</v>
      </c>
      <c r="DP118" s="228">
        <v>0.78</v>
      </c>
      <c r="DQ118" s="228">
        <v>0.79</v>
      </c>
      <c r="DR118" s="228">
        <v>-0.01</v>
      </c>
      <c r="DS118" s="229">
        <v>-1.2699999999999999E-2</v>
      </c>
      <c r="DT118" s="231">
        <v>1100</v>
      </c>
      <c r="DU118" s="231">
        <v>1000</v>
      </c>
      <c r="DV118" s="228">
        <v>0.63</v>
      </c>
      <c r="DW118" s="228">
        <v>0.7</v>
      </c>
      <c r="DX118" s="228">
        <v>-7.0000000000000007E-2</v>
      </c>
      <c r="DY118" s="229">
        <v>-0.1</v>
      </c>
      <c r="DZ118" s="229">
        <v>3.2300000000000002E-2</v>
      </c>
      <c r="EA118" s="230">
        <v>488750</v>
      </c>
      <c r="EB118" s="229">
        <v>6.4000000000000003E-3</v>
      </c>
      <c r="EC118" s="229">
        <v>3.2300000000000002E-2</v>
      </c>
      <c r="ED118" s="228">
        <v>6.69</v>
      </c>
      <c r="EE118" s="229">
        <v>6.1999999999999998E-3</v>
      </c>
      <c r="EF118" s="230">
        <v>417467</v>
      </c>
      <c r="EG118" s="230">
        <v>735823</v>
      </c>
      <c r="EH118" s="229">
        <v>-0.43269999999999997</v>
      </c>
      <c r="EI118" s="229">
        <v>0.40200000000000002</v>
      </c>
      <c r="EJ118" s="231">
        <v>39687.370000000003</v>
      </c>
      <c r="EK118" s="231">
        <v>23177.34</v>
      </c>
      <c r="EL118" s="231">
        <v>19228.7</v>
      </c>
      <c r="EM118" s="231">
        <v>4158</v>
      </c>
      <c r="EN118" s="231">
        <v>82093.41</v>
      </c>
      <c r="EO118" s="231">
        <v>123787.27</v>
      </c>
      <c r="EP118" s="231">
        <v>-41693.86</v>
      </c>
      <c r="EQ118" s="229">
        <v>-0.33679999999999999</v>
      </c>
      <c r="ER118" s="231">
        <v>53153</v>
      </c>
      <c r="ES118" s="231">
        <v>38226</v>
      </c>
      <c r="ET118" s="231">
        <v>187949</v>
      </c>
      <c r="EU118" s="231">
        <v>58713729</v>
      </c>
      <c r="EV118" s="231">
        <v>279329</v>
      </c>
      <c r="EW118" s="231">
        <v>272794</v>
      </c>
      <c r="EX118" s="231">
        <v>6535</v>
      </c>
      <c r="EY118" s="229">
        <v>2.4E-2</v>
      </c>
      <c r="EZ118" s="229">
        <v>0.44330000000000003</v>
      </c>
      <c r="FA118" s="227" t="s">
        <v>694</v>
      </c>
      <c r="FB118" s="161">
        <f t="shared" si="1"/>
        <v>557600</v>
      </c>
    </row>
    <row r="119" spans="1:158" ht="17.25" thickBot="1" x14ac:dyDescent="0.3">
      <c r="A119" s="226">
        <v>46121</v>
      </c>
      <c r="B119" s="227" t="s">
        <v>175</v>
      </c>
      <c r="C119" s="227" t="s">
        <v>248</v>
      </c>
      <c r="D119" s="228">
        <v>1000</v>
      </c>
      <c r="E119" s="228">
        <v>533.5</v>
      </c>
      <c r="F119" s="228">
        <v>532.54999999999995</v>
      </c>
      <c r="G119" s="228">
        <v>0.95</v>
      </c>
      <c r="H119" s="229">
        <v>1.8E-3</v>
      </c>
      <c r="I119" s="228">
        <v>532.29999999999995</v>
      </c>
      <c r="J119" s="228">
        <v>529.6</v>
      </c>
      <c r="K119" s="228">
        <v>2.7</v>
      </c>
      <c r="L119" s="229">
        <v>5.1000000000000004E-3</v>
      </c>
      <c r="M119" s="228">
        <v>533.5</v>
      </c>
      <c r="N119" s="228">
        <v>532.54999999999995</v>
      </c>
      <c r="O119" s="228">
        <v>0.95</v>
      </c>
      <c r="P119" s="229">
        <v>1.8E-3</v>
      </c>
      <c r="Q119" s="228">
        <v>536.5</v>
      </c>
      <c r="R119" s="228">
        <v>534.85</v>
      </c>
      <c r="S119" s="228">
        <v>1.65</v>
      </c>
      <c r="T119" s="229">
        <v>3.0999999999999999E-3</v>
      </c>
      <c r="U119" s="228">
        <v>535</v>
      </c>
      <c r="V119" s="228">
        <v>537.75</v>
      </c>
      <c r="W119" s="228">
        <v>-2.75</v>
      </c>
      <c r="X119" s="229">
        <v>-5.1000000000000004E-3</v>
      </c>
      <c r="Y119" s="228">
        <v>1.2</v>
      </c>
      <c r="Z119" s="228">
        <v>2.95</v>
      </c>
      <c r="AA119" s="228">
        <v>-1.75</v>
      </c>
      <c r="AB119" s="229">
        <v>2.3E-3</v>
      </c>
      <c r="AC119" s="228">
        <v>1.2</v>
      </c>
      <c r="AD119" s="228">
        <v>2.95</v>
      </c>
      <c r="AE119" s="228">
        <v>-1.75</v>
      </c>
      <c r="AF119" s="229">
        <v>2.3E-3</v>
      </c>
      <c r="AG119" s="228">
        <v>4.2</v>
      </c>
      <c r="AH119" s="228">
        <v>5.25</v>
      </c>
      <c r="AI119" s="228">
        <v>-1.05</v>
      </c>
      <c r="AJ119" s="229">
        <v>7.9000000000000008E-3</v>
      </c>
      <c r="AK119" s="228">
        <v>2.7</v>
      </c>
      <c r="AL119" s="228">
        <v>8.15</v>
      </c>
      <c r="AM119" s="228">
        <v>-5.45</v>
      </c>
      <c r="AN119" s="229">
        <v>5.1000000000000004E-3</v>
      </c>
      <c r="AO119" s="228">
        <v>532.03</v>
      </c>
      <c r="AP119" s="228">
        <v>534.87</v>
      </c>
      <c r="AQ119" s="228">
        <v>0</v>
      </c>
      <c r="AR119" s="230">
        <v>1605000</v>
      </c>
      <c r="AS119" s="230">
        <v>3462000</v>
      </c>
      <c r="AT119" s="230">
        <v>-1857000</v>
      </c>
      <c r="AU119" s="229">
        <v>-0.53639999999999999</v>
      </c>
      <c r="AV119" s="230">
        <v>1492000</v>
      </c>
      <c r="AW119" s="230">
        <v>3301000</v>
      </c>
      <c r="AX119" s="230">
        <v>-1809000</v>
      </c>
      <c r="AY119" s="229">
        <v>-0.54800000000000004</v>
      </c>
      <c r="AZ119" s="230">
        <v>106000</v>
      </c>
      <c r="BA119" s="230">
        <v>130000</v>
      </c>
      <c r="BB119" s="230">
        <v>-24000</v>
      </c>
      <c r="BC119" s="229">
        <v>-0.18459999999999999</v>
      </c>
      <c r="BD119" s="230">
        <v>7000</v>
      </c>
      <c r="BE119" s="230">
        <v>31000</v>
      </c>
      <c r="BF119" s="230">
        <v>-24000</v>
      </c>
      <c r="BG119" s="229">
        <v>-0.7742</v>
      </c>
      <c r="BH119" s="230">
        <v>3275000</v>
      </c>
      <c r="BI119" s="230">
        <v>6632000</v>
      </c>
      <c r="BJ119" s="230">
        <v>-3357000</v>
      </c>
      <c r="BK119" s="229">
        <v>-0.50619999999999998</v>
      </c>
      <c r="BL119" s="230">
        <v>1644000</v>
      </c>
      <c r="BM119" s="230">
        <v>2778000</v>
      </c>
      <c r="BN119" s="230">
        <v>-1134000</v>
      </c>
      <c r="BO119" s="229">
        <v>-0.40820000000000001</v>
      </c>
      <c r="BP119" s="230">
        <v>6524000</v>
      </c>
      <c r="BQ119" s="230">
        <v>12872000</v>
      </c>
      <c r="BR119" s="230">
        <v>-6348000</v>
      </c>
      <c r="BS119" s="229">
        <v>-0.49320000000000003</v>
      </c>
      <c r="BT119" s="230">
        <v>1085144</v>
      </c>
      <c r="BU119" s="230">
        <v>1877604</v>
      </c>
      <c r="BV119" s="230">
        <v>-792460</v>
      </c>
      <c r="BW119" s="229">
        <v>-0.42209999999999998</v>
      </c>
      <c r="BX119" s="230">
        <v>33550000</v>
      </c>
      <c r="BY119" s="230">
        <v>33662000</v>
      </c>
      <c r="BZ119" s="230">
        <v>-112000</v>
      </c>
      <c r="CA119" s="229">
        <v>-3.3E-3</v>
      </c>
      <c r="CB119" s="230">
        <v>32912000</v>
      </c>
      <c r="CC119" s="230">
        <v>33075000</v>
      </c>
      <c r="CD119" s="230">
        <v>-163000</v>
      </c>
      <c r="CE119" s="229">
        <v>-4.8999999999999998E-3</v>
      </c>
      <c r="CF119" s="230">
        <v>609000</v>
      </c>
      <c r="CG119" s="230">
        <v>561000</v>
      </c>
      <c r="CH119" s="230">
        <v>48000</v>
      </c>
      <c r="CI119" s="229">
        <v>8.5599999999999996E-2</v>
      </c>
      <c r="CJ119" s="230">
        <v>29000</v>
      </c>
      <c r="CK119" s="230">
        <v>26000</v>
      </c>
      <c r="CL119" s="230">
        <v>3000</v>
      </c>
      <c r="CM119" s="229">
        <v>0.1154</v>
      </c>
      <c r="CN119" s="230">
        <v>4373000</v>
      </c>
      <c r="CO119" s="230">
        <v>4136000</v>
      </c>
      <c r="CP119" s="230">
        <v>237000</v>
      </c>
      <c r="CQ119" s="229">
        <v>5.7299999999999997E-2</v>
      </c>
      <c r="CR119" s="230">
        <v>5066000</v>
      </c>
      <c r="CS119" s="230">
        <v>5187000</v>
      </c>
      <c r="CT119" s="230">
        <v>-121000</v>
      </c>
      <c r="CU119" s="229">
        <v>-2.3300000000000001E-2</v>
      </c>
      <c r="CV119" s="230">
        <v>42989000</v>
      </c>
      <c r="CW119" s="230">
        <v>42985000</v>
      </c>
      <c r="CX119" s="230">
        <v>4000</v>
      </c>
      <c r="CY119" s="229">
        <v>1E-4</v>
      </c>
      <c r="CZ119" s="228">
        <v>30.14</v>
      </c>
      <c r="DA119" s="228">
        <v>30.48</v>
      </c>
      <c r="DB119" s="228">
        <v>-0.34</v>
      </c>
      <c r="DC119" s="228">
        <v>-0.34</v>
      </c>
      <c r="DD119" s="228">
        <v>33.36</v>
      </c>
      <c r="DE119" s="228">
        <v>33.44</v>
      </c>
      <c r="DF119" s="228">
        <v>-3.22</v>
      </c>
      <c r="DG119" s="228">
        <v>-0.08</v>
      </c>
      <c r="DH119" s="228">
        <v>29.18</v>
      </c>
      <c r="DI119" s="228">
        <v>29.32</v>
      </c>
      <c r="DJ119" s="228">
        <v>-0.14000000000000001</v>
      </c>
      <c r="DK119" s="228">
        <v>-0.14000000000000001</v>
      </c>
      <c r="DL119" s="228">
        <v>32.049999999999997</v>
      </c>
      <c r="DM119" s="228">
        <v>33.26</v>
      </c>
      <c r="DN119" s="228">
        <v>-1.21</v>
      </c>
      <c r="DO119" s="228">
        <v>-1.21</v>
      </c>
      <c r="DP119" s="228">
        <v>1.1599999999999999</v>
      </c>
      <c r="DQ119" s="228">
        <v>1.25</v>
      </c>
      <c r="DR119" s="228">
        <v>-0.09</v>
      </c>
      <c r="DS119" s="229">
        <v>-7.1999999999999995E-2</v>
      </c>
      <c r="DT119" s="228">
        <v>550</v>
      </c>
      <c r="DU119" s="228">
        <v>480</v>
      </c>
      <c r="DV119" s="228">
        <v>0.5</v>
      </c>
      <c r="DW119" s="228">
        <v>0.42</v>
      </c>
      <c r="DX119" s="228">
        <v>0.08</v>
      </c>
      <c r="DY119" s="229">
        <v>0.1905</v>
      </c>
      <c r="DZ119" s="229">
        <v>1.9E-2</v>
      </c>
      <c r="EA119" s="230">
        <v>587000</v>
      </c>
      <c r="EB119" s="229">
        <v>5.5999999999999999E-3</v>
      </c>
      <c r="EC119" s="229">
        <v>1.9E-2</v>
      </c>
      <c r="ED119" s="228">
        <v>2.84</v>
      </c>
      <c r="EE119" s="229">
        <v>5.3E-3</v>
      </c>
      <c r="EF119" s="230">
        <v>518261</v>
      </c>
      <c r="EG119" s="230">
        <v>898952</v>
      </c>
      <c r="EH119" s="229">
        <v>-0.42349999999999999</v>
      </c>
      <c r="EI119" s="229">
        <v>0.47760000000000002</v>
      </c>
      <c r="EJ119" s="231">
        <v>18153.46</v>
      </c>
      <c r="EK119" s="231">
        <v>8598.74</v>
      </c>
      <c r="EL119" s="231">
        <v>8542.41</v>
      </c>
      <c r="EM119" s="231">
        <v>2388</v>
      </c>
      <c r="EN119" s="231">
        <v>35294.61</v>
      </c>
      <c r="EO119" s="231">
        <v>69193.25</v>
      </c>
      <c r="EP119" s="231">
        <v>-33898.639999999999</v>
      </c>
      <c r="EQ119" s="229">
        <v>-0.4899</v>
      </c>
      <c r="ER119" s="231">
        <v>23401</v>
      </c>
      <c r="ES119" s="231">
        <v>25395</v>
      </c>
      <c r="ET119" s="231">
        <v>179008</v>
      </c>
      <c r="EU119" s="231">
        <v>45183075</v>
      </c>
      <c r="EV119" s="231">
        <v>227804</v>
      </c>
      <c r="EW119" s="231">
        <v>227370</v>
      </c>
      <c r="EX119" s="228">
        <v>434</v>
      </c>
      <c r="EY119" s="229">
        <v>1.9E-3</v>
      </c>
      <c r="EZ119" s="229">
        <v>0.95140000000000002</v>
      </c>
      <c r="FA119" s="227" t="s">
        <v>694</v>
      </c>
      <c r="FB119" s="161">
        <f t="shared" si="1"/>
        <v>638000</v>
      </c>
    </row>
    <row r="120" spans="1:158" ht="17.25" thickBot="1" x14ac:dyDescent="0.3">
      <c r="A120" s="226">
        <v>46121</v>
      </c>
      <c r="B120" s="227" t="s">
        <v>175</v>
      </c>
      <c r="C120" s="227" t="s">
        <v>606</v>
      </c>
      <c r="D120" s="228">
        <v>700</v>
      </c>
      <c r="E120" s="228">
        <v>793.7</v>
      </c>
      <c r="F120" s="228">
        <v>795.7</v>
      </c>
      <c r="G120" s="228">
        <v>-2</v>
      </c>
      <c r="H120" s="229">
        <v>-2.5000000000000001E-3</v>
      </c>
      <c r="I120" s="228">
        <v>793.4</v>
      </c>
      <c r="J120" s="228">
        <v>793.7</v>
      </c>
      <c r="K120" s="228">
        <v>-0.3</v>
      </c>
      <c r="L120" s="229">
        <v>-4.0000000000000002E-4</v>
      </c>
      <c r="M120" s="228">
        <v>793.7</v>
      </c>
      <c r="N120" s="228">
        <v>795.7</v>
      </c>
      <c r="O120" s="228">
        <v>-2</v>
      </c>
      <c r="P120" s="229">
        <v>-2.5000000000000001E-3</v>
      </c>
      <c r="Q120" s="228">
        <v>795.3</v>
      </c>
      <c r="R120" s="228">
        <v>798.5</v>
      </c>
      <c r="S120" s="228">
        <v>-3.2</v>
      </c>
      <c r="T120" s="229">
        <v>-4.0000000000000001E-3</v>
      </c>
      <c r="U120" s="228">
        <v>792</v>
      </c>
      <c r="V120" s="228">
        <v>802.2</v>
      </c>
      <c r="W120" s="228">
        <v>-10.199999999999999</v>
      </c>
      <c r="X120" s="229">
        <v>-1.2699999999999999E-2</v>
      </c>
      <c r="Y120" s="228">
        <v>0.3</v>
      </c>
      <c r="Z120" s="228">
        <v>2</v>
      </c>
      <c r="AA120" s="228">
        <v>-1.7</v>
      </c>
      <c r="AB120" s="229">
        <v>4.0000000000000002E-4</v>
      </c>
      <c r="AC120" s="228">
        <v>0.3</v>
      </c>
      <c r="AD120" s="228">
        <v>2</v>
      </c>
      <c r="AE120" s="228">
        <v>-1.7</v>
      </c>
      <c r="AF120" s="229">
        <v>4.0000000000000002E-4</v>
      </c>
      <c r="AG120" s="228">
        <v>1.9</v>
      </c>
      <c r="AH120" s="228">
        <v>4.8</v>
      </c>
      <c r="AI120" s="228">
        <v>-2.9</v>
      </c>
      <c r="AJ120" s="229">
        <v>2.3999999999999998E-3</v>
      </c>
      <c r="AK120" s="228">
        <v>-1.4</v>
      </c>
      <c r="AL120" s="228">
        <v>8.5</v>
      </c>
      <c r="AM120" s="228">
        <v>-9.9</v>
      </c>
      <c r="AN120" s="229">
        <v>-1.8E-3</v>
      </c>
      <c r="AO120" s="228">
        <v>792.02</v>
      </c>
      <c r="AP120" s="228">
        <v>793.42</v>
      </c>
      <c r="AQ120" s="228">
        <v>0</v>
      </c>
      <c r="AR120" s="230">
        <v>1845200</v>
      </c>
      <c r="AS120" s="230">
        <v>3439800</v>
      </c>
      <c r="AT120" s="230">
        <v>-1594600</v>
      </c>
      <c r="AU120" s="229">
        <v>-0.46360000000000001</v>
      </c>
      <c r="AV120" s="230">
        <v>1478400</v>
      </c>
      <c r="AW120" s="230">
        <v>3143000</v>
      </c>
      <c r="AX120" s="230">
        <v>-1664600</v>
      </c>
      <c r="AY120" s="229">
        <v>-0.52959999999999996</v>
      </c>
      <c r="AZ120" s="230">
        <v>335300</v>
      </c>
      <c r="BA120" s="230">
        <v>245000</v>
      </c>
      <c r="BB120" s="230">
        <v>90300</v>
      </c>
      <c r="BC120" s="229">
        <v>0.36859999999999998</v>
      </c>
      <c r="BD120" s="230">
        <v>31500</v>
      </c>
      <c r="BE120" s="230">
        <v>51800</v>
      </c>
      <c r="BF120" s="230">
        <v>-20300</v>
      </c>
      <c r="BG120" s="229">
        <v>-0.39190000000000003</v>
      </c>
      <c r="BH120" s="230">
        <v>2974300</v>
      </c>
      <c r="BI120" s="230">
        <v>10795400</v>
      </c>
      <c r="BJ120" s="230">
        <v>-7821100</v>
      </c>
      <c r="BK120" s="229">
        <v>-0.72450000000000003</v>
      </c>
      <c r="BL120" s="230">
        <v>1054200</v>
      </c>
      <c r="BM120" s="230">
        <v>3784200</v>
      </c>
      <c r="BN120" s="230">
        <v>-2730000</v>
      </c>
      <c r="BO120" s="229">
        <v>-0.72140000000000004</v>
      </c>
      <c r="BP120" s="230">
        <v>5873700</v>
      </c>
      <c r="BQ120" s="230">
        <v>18019400</v>
      </c>
      <c r="BR120" s="230">
        <v>-12145700</v>
      </c>
      <c r="BS120" s="229">
        <v>-0.67400000000000004</v>
      </c>
      <c r="BT120" s="230">
        <v>1946346</v>
      </c>
      <c r="BU120" s="230">
        <v>4848084</v>
      </c>
      <c r="BV120" s="230">
        <v>-2901738</v>
      </c>
      <c r="BW120" s="229">
        <v>-0.59850000000000003</v>
      </c>
      <c r="BX120" s="230">
        <v>9186100</v>
      </c>
      <c r="BY120" s="230">
        <v>8884400</v>
      </c>
      <c r="BZ120" s="230">
        <v>301700</v>
      </c>
      <c r="CA120" s="229">
        <v>3.4000000000000002E-2</v>
      </c>
      <c r="CB120" s="230">
        <v>8388800</v>
      </c>
      <c r="CC120" s="230">
        <v>8190000</v>
      </c>
      <c r="CD120" s="230">
        <v>198800</v>
      </c>
      <c r="CE120" s="229">
        <v>2.4299999999999999E-2</v>
      </c>
      <c r="CF120" s="230">
        <v>747600</v>
      </c>
      <c r="CG120" s="230">
        <v>653100</v>
      </c>
      <c r="CH120" s="230">
        <v>94500</v>
      </c>
      <c r="CI120" s="229">
        <v>0.1447</v>
      </c>
      <c r="CJ120" s="230">
        <v>49700</v>
      </c>
      <c r="CK120" s="230">
        <v>41300</v>
      </c>
      <c r="CL120" s="230">
        <v>8400</v>
      </c>
      <c r="CM120" s="229">
        <v>0.2034</v>
      </c>
      <c r="CN120" s="230">
        <v>4372200</v>
      </c>
      <c r="CO120" s="230">
        <v>4271400</v>
      </c>
      <c r="CP120" s="230">
        <v>100800</v>
      </c>
      <c r="CQ120" s="229">
        <v>2.3599999999999999E-2</v>
      </c>
      <c r="CR120" s="230">
        <v>2825900</v>
      </c>
      <c r="CS120" s="230">
        <v>2615200</v>
      </c>
      <c r="CT120" s="230">
        <v>210700</v>
      </c>
      <c r="CU120" s="229">
        <v>8.0600000000000005E-2</v>
      </c>
      <c r="CV120" s="230">
        <v>16384200</v>
      </c>
      <c r="CW120" s="230">
        <v>15771000</v>
      </c>
      <c r="CX120" s="230">
        <v>613200</v>
      </c>
      <c r="CY120" s="229">
        <v>3.8899999999999997E-2</v>
      </c>
      <c r="CZ120" s="228">
        <v>33.090000000000003</v>
      </c>
      <c r="DA120" s="228">
        <v>32.049999999999997</v>
      </c>
      <c r="DB120" s="228">
        <v>1.04</v>
      </c>
      <c r="DC120" s="228">
        <v>1.04</v>
      </c>
      <c r="DD120" s="228">
        <v>33.1</v>
      </c>
      <c r="DE120" s="228">
        <v>33.18</v>
      </c>
      <c r="DF120" s="228">
        <v>-0.01</v>
      </c>
      <c r="DG120" s="228">
        <v>-0.08</v>
      </c>
      <c r="DH120" s="228">
        <v>32.83</v>
      </c>
      <c r="DI120" s="228">
        <v>31.69</v>
      </c>
      <c r="DJ120" s="228">
        <v>1.1399999999999999</v>
      </c>
      <c r="DK120" s="228">
        <v>1.1399999999999999</v>
      </c>
      <c r="DL120" s="228">
        <v>33.82</v>
      </c>
      <c r="DM120" s="228">
        <v>33.049999999999997</v>
      </c>
      <c r="DN120" s="228">
        <v>0.77</v>
      </c>
      <c r="DO120" s="228">
        <v>0.77</v>
      </c>
      <c r="DP120" s="228">
        <v>0.65</v>
      </c>
      <c r="DQ120" s="228">
        <v>0.61</v>
      </c>
      <c r="DR120" s="228">
        <v>0.04</v>
      </c>
      <c r="DS120" s="229">
        <v>6.5600000000000006E-2</v>
      </c>
      <c r="DT120" s="228">
        <v>800</v>
      </c>
      <c r="DU120" s="228">
        <v>800</v>
      </c>
      <c r="DV120" s="228">
        <v>0.35</v>
      </c>
      <c r="DW120" s="228">
        <v>0.35</v>
      </c>
      <c r="DX120" s="228">
        <v>0</v>
      </c>
      <c r="DY120" s="229">
        <v>0</v>
      </c>
      <c r="DZ120" s="229">
        <v>8.6800000000000002E-2</v>
      </c>
      <c r="EA120" s="230">
        <v>694400</v>
      </c>
      <c r="EB120" s="229">
        <v>2E-3</v>
      </c>
      <c r="EC120" s="229">
        <v>8.6800000000000002E-2</v>
      </c>
      <c r="ED120" s="228">
        <v>1.4</v>
      </c>
      <c r="EE120" s="229">
        <v>1.8E-3</v>
      </c>
      <c r="EF120" s="230">
        <v>974742</v>
      </c>
      <c r="EG120" s="230">
        <v>2073757</v>
      </c>
      <c r="EH120" s="229">
        <v>-0.53</v>
      </c>
      <c r="EI120" s="229">
        <v>0.50080000000000002</v>
      </c>
      <c r="EJ120" s="231">
        <v>25036.86</v>
      </c>
      <c r="EK120" s="231">
        <v>8208.0400000000009</v>
      </c>
      <c r="EL120" s="231">
        <v>14619.85</v>
      </c>
      <c r="EM120" s="231">
        <v>2589</v>
      </c>
      <c r="EN120" s="231">
        <v>47864.75</v>
      </c>
      <c r="EO120" s="231">
        <v>147100.32999999999</v>
      </c>
      <c r="EP120" s="231">
        <v>-99235.58</v>
      </c>
      <c r="EQ120" s="229">
        <v>-0.67459999999999998</v>
      </c>
      <c r="ER120" s="231">
        <v>35628</v>
      </c>
      <c r="ES120" s="231">
        <v>21284</v>
      </c>
      <c r="ET120" s="231">
        <v>72921</v>
      </c>
      <c r="EU120" s="231">
        <v>33206238</v>
      </c>
      <c r="EV120" s="231">
        <v>129833</v>
      </c>
      <c r="EW120" s="231">
        <v>125101</v>
      </c>
      <c r="EX120" s="231">
        <v>4732</v>
      </c>
      <c r="EY120" s="229">
        <v>3.78E-2</v>
      </c>
      <c r="EZ120" s="229">
        <v>0.49340000000000001</v>
      </c>
      <c r="FA120" s="227" t="s">
        <v>566</v>
      </c>
      <c r="FB120" s="161">
        <f t="shared" si="1"/>
        <v>797300</v>
      </c>
    </row>
    <row r="121" spans="1:158" ht="17.25" thickBot="1" x14ac:dyDescent="0.3">
      <c r="A121" s="226">
        <v>46121</v>
      </c>
      <c r="B121" s="227" t="s">
        <v>206</v>
      </c>
      <c r="C121" s="227" t="s">
        <v>587</v>
      </c>
      <c r="D121" s="228">
        <v>450</v>
      </c>
      <c r="E121" s="228">
        <v>791.75</v>
      </c>
      <c r="F121" s="228">
        <v>780.5</v>
      </c>
      <c r="G121" s="228">
        <v>11.25</v>
      </c>
      <c r="H121" s="229">
        <v>1.44E-2</v>
      </c>
      <c r="I121" s="228">
        <v>789.55</v>
      </c>
      <c r="J121" s="228">
        <v>778.85</v>
      </c>
      <c r="K121" s="228">
        <v>10.7</v>
      </c>
      <c r="L121" s="229">
        <v>1.37E-2</v>
      </c>
      <c r="M121" s="228">
        <v>791.75</v>
      </c>
      <c r="N121" s="228">
        <v>780.5</v>
      </c>
      <c r="O121" s="228">
        <v>11.25</v>
      </c>
      <c r="P121" s="229">
        <v>1.44E-2</v>
      </c>
      <c r="Q121" s="228">
        <v>795.55</v>
      </c>
      <c r="R121" s="228">
        <v>784.8</v>
      </c>
      <c r="S121" s="228">
        <v>10.75</v>
      </c>
      <c r="T121" s="229">
        <v>1.37E-2</v>
      </c>
      <c r="U121" s="228">
        <v>798.95</v>
      </c>
      <c r="V121" s="228">
        <v>789.7</v>
      </c>
      <c r="W121" s="228">
        <v>9.25</v>
      </c>
      <c r="X121" s="229">
        <v>1.17E-2</v>
      </c>
      <c r="Y121" s="228">
        <v>2.2000000000000002</v>
      </c>
      <c r="Z121" s="228">
        <v>1.65</v>
      </c>
      <c r="AA121" s="228">
        <v>0.55000000000000004</v>
      </c>
      <c r="AB121" s="229">
        <v>2.8E-3</v>
      </c>
      <c r="AC121" s="228">
        <v>2.2000000000000002</v>
      </c>
      <c r="AD121" s="228">
        <v>1.65</v>
      </c>
      <c r="AE121" s="228">
        <v>0.55000000000000004</v>
      </c>
      <c r="AF121" s="229">
        <v>2.8E-3</v>
      </c>
      <c r="AG121" s="228">
        <v>6</v>
      </c>
      <c r="AH121" s="228">
        <v>5.95</v>
      </c>
      <c r="AI121" s="228">
        <v>0.05</v>
      </c>
      <c r="AJ121" s="229">
        <v>7.6E-3</v>
      </c>
      <c r="AK121" s="228">
        <v>9.4</v>
      </c>
      <c r="AL121" s="228">
        <v>10.85</v>
      </c>
      <c r="AM121" s="228">
        <v>-1.45</v>
      </c>
      <c r="AN121" s="229">
        <v>1.1900000000000001E-2</v>
      </c>
      <c r="AO121" s="228">
        <v>785.03</v>
      </c>
      <c r="AP121" s="228">
        <v>788.03</v>
      </c>
      <c r="AQ121" s="228">
        <v>0</v>
      </c>
      <c r="AR121" s="230">
        <v>3725550</v>
      </c>
      <c r="AS121" s="230">
        <v>6835500</v>
      </c>
      <c r="AT121" s="230">
        <v>-3109950</v>
      </c>
      <c r="AU121" s="229">
        <v>-0.45500000000000002</v>
      </c>
      <c r="AV121" s="230">
        <v>3561300</v>
      </c>
      <c r="AW121" s="230">
        <v>6277950</v>
      </c>
      <c r="AX121" s="230">
        <v>-2716650</v>
      </c>
      <c r="AY121" s="229">
        <v>-0.43269999999999997</v>
      </c>
      <c r="AZ121" s="230">
        <v>148500</v>
      </c>
      <c r="BA121" s="230">
        <v>530550</v>
      </c>
      <c r="BB121" s="230">
        <v>-382050</v>
      </c>
      <c r="BC121" s="229">
        <v>-0.72009999999999996</v>
      </c>
      <c r="BD121" s="230">
        <v>15750</v>
      </c>
      <c r="BE121" s="230">
        <v>27000</v>
      </c>
      <c r="BF121" s="230">
        <v>-11250</v>
      </c>
      <c r="BG121" s="229">
        <v>-0.41670000000000001</v>
      </c>
      <c r="BH121" s="230">
        <v>5516100</v>
      </c>
      <c r="BI121" s="230">
        <v>12346200</v>
      </c>
      <c r="BJ121" s="230">
        <v>-6830100</v>
      </c>
      <c r="BK121" s="229">
        <v>-0.55320000000000003</v>
      </c>
      <c r="BL121" s="230">
        <v>2909250</v>
      </c>
      <c r="BM121" s="230">
        <v>7705800</v>
      </c>
      <c r="BN121" s="230">
        <v>-4796550</v>
      </c>
      <c r="BO121" s="229">
        <v>-0.62250000000000005</v>
      </c>
      <c r="BP121" s="230">
        <v>12150900</v>
      </c>
      <c r="BQ121" s="230">
        <v>26887500</v>
      </c>
      <c r="BR121" s="230">
        <v>-14736600</v>
      </c>
      <c r="BS121" s="229">
        <v>-0.54810000000000003</v>
      </c>
      <c r="BT121" s="230">
        <v>3036461</v>
      </c>
      <c r="BU121" s="230">
        <v>5643343</v>
      </c>
      <c r="BV121" s="230">
        <v>-2606882</v>
      </c>
      <c r="BW121" s="229">
        <v>-0.46189999999999998</v>
      </c>
      <c r="BX121" s="230">
        <v>23573250</v>
      </c>
      <c r="BY121" s="230">
        <v>23948550</v>
      </c>
      <c r="BZ121" s="230">
        <v>-375300</v>
      </c>
      <c r="CA121" s="229">
        <v>-1.5699999999999999E-2</v>
      </c>
      <c r="CB121" s="230">
        <v>22416300</v>
      </c>
      <c r="CC121" s="230">
        <v>22799700</v>
      </c>
      <c r="CD121" s="230">
        <v>-383400</v>
      </c>
      <c r="CE121" s="229">
        <v>-1.6799999999999999E-2</v>
      </c>
      <c r="CF121" s="230">
        <v>1135800</v>
      </c>
      <c r="CG121" s="230">
        <v>1129500</v>
      </c>
      <c r="CH121" s="230">
        <v>6300</v>
      </c>
      <c r="CI121" s="229">
        <v>5.5999999999999999E-3</v>
      </c>
      <c r="CJ121" s="230">
        <v>21150</v>
      </c>
      <c r="CK121" s="230">
        <v>19350</v>
      </c>
      <c r="CL121" s="230">
        <v>1800</v>
      </c>
      <c r="CM121" s="229">
        <v>9.2999999999999999E-2</v>
      </c>
      <c r="CN121" s="230">
        <v>5883300</v>
      </c>
      <c r="CO121" s="230">
        <v>5928300</v>
      </c>
      <c r="CP121" s="230">
        <v>-45000</v>
      </c>
      <c r="CQ121" s="229">
        <v>-7.6E-3</v>
      </c>
      <c r="CR121" s="230">
        <v>4427100</v>
      </c>
      <c r="CS121" s="230">
        <v>4093200</v>
      </c>
      <c r="CT121" s="230">
        <v>333900</v>
      </c>
      <c r="CU121" s="229">
        <v>8.1600000000000006E-2</v>
      </c>
      <c r="CV121" s="230">
        <v>33883650</v>
      </c>
      <c r="CW121" s="230">
        <v>33970050</v>
      </c>
      <c r="CX121" s="230">
        <v>-86400</v>
      </c>
      <c r="CY121" s="229">
        <v>-2.5000000000000001E-3</v>
      </c>
      <c r="CZ121" s="228">
        <v>41.86</v>
      </c>
      <c r="DA121" s="228">
        <v>42.43</v>
      </c>
      <c r="DB121" s="228">
        <v>-0.56999999999999995</v>
      </c>
      <c r="DC121" s="228">
        <v>-0.56999999999999995</v>
      </c>
      <c r="DD121" s="228">
        <v>47.5</v>
      </c>
      <c r="DE121" s="228">
        <v>47.58</v>
      </c>
      <c r="DF121" s="228">
        <v>-5.64</v>
      </c>
      <c r="DG121" s="228">
        <v>-0.08</v>
      </c>
      <c r="DH121" s="228">
        <v>41.29</v>
      </c>
      <c r="DI121" s="228">
        <v>41.01</v>
      </c>
      <c r="DJ121" s="228">
        <v>0.28000000000000003</v>
      </c>
      <c r="DK121" s="228">
        <v>0.28000000000000003</v>
      </c>
      <c r="DL121" s="228">
        <v>42.93</v>
      </c>
      <c r="DM121" s="228">
        <v>44.69</v>
      </c>
      <c r="DN121" s="228">
        <v>-1.76</v>
      </c>
      <c r="DO121" s="228">
        <v>-1.76</v>
      </c>
      <c r="DP121" s="228">
        <v>0.75</v>
      </c>
      <c r="DQ121" s="228">
        <v>0.69</v>
      </c>
      <c r="DR121" s="228">
        <v>0.06</v>
      </c>
      <c r="DS121" s="229">
        <v>8.6999999999999994E-2</v>
      </c>
      <c r="DT121" s="228">
        <v>720</v>
      </c>
      <c r="DU121" s="228">
        <v>680</v>
      </c>
      <c r="DV121" s="228">
        <v>0.53</v>
      </c>
      <c r="DW121" s="228">
        <v>0.62</v>
      </c>
      <c r="DX121" s="228">
        <v>-0.09</v>
      </c>
      <c r="DY121" s="229">
        <v>-0.1452</v>
      </c>
      <c r="DZ121" s="229">
        <v>4.9099999999999998E-2</v>
      </c>
      <c r="EA121" s="230">
        <v>1148850</v>
      </c>
      <c r="EB121" s="229">
        <v>4.7999999999999996E-3</v>
      </c>
      <c r="EC121" s="229">
        <v>4.9099999999999998E-2</v>
      </c>
      <c r="ED121" s="228">
        <v>3</v>
      </c>
      <c r="EE121" s="229">
        <v>3.8E-3</v>
      </c>
      <c r="EF121" s="230">
        <v>1338687</v>
      </c>
      <c r="EG121" s="230">
        <v>2693534</v>
      </c>
      <c r="EH121" s="229">
        <v>-0.503</v>
      </c>
      <c r="EI121" s="229">
        <v>0.44090000000000001</v>
      </c>
      <c r="EJ121" s="231">
        <v>46054.03</v>
      </c>
      <c r="EK121" s="231">
        <v>22555.7</v>
      </c>
      <c r="EL121" s="231">
        <v>29252.26</v>
      </c>
      <c r="EM121" s="231">
        <v>9682</v>
      </c>
      <c r="EN121" s="231">
        <v>97861.99</v>
      </c>
      <c r="EO121" s="231">
        <v>211305.86</v>
      </c>
      <c r="EP121" s="231">
        <v>-113443.87</v>
      </c>
      <c r="EQ121" s="229">
        <v>-0.53690000000000004</v>
      </c>
      <c r="ER121" s="231">
        <v>45702</v>
      </c>
      <c r="ES121" s="231">
        <v>32144</v>
      </c>
      <c r="ET121" s="231">
        <v>186686</v>
      </c>
      <c r="EU121" s="231">
        <v>42165698</v>
      </c>
      <c r="EV121" s="231">
        <v>264532</v>
      </c>
      <c r="EW121" s="231">
        <v>262155</v>
      </c>
      <c r="EX121" s="231">
        <v>2377</v>
      </c>
      <c r="EY121" s="229">
        <v>9.1000000000000004E-3</v>
      </c>
      <c r="EZ121" s="229">
        <v>0.80359999999999998</v>
      </c>
      <c r="FA121" s="227" t="s">
        <v>694</v>
      </c>
      <c r="FB121" s="161">
        <f t="shared" si="1"/>
        <v>1156950</v>
      </c>
    </row>
    <row r="122" spans="1:158" ht="17.25" thickBot="1" x14ac:dyDescent="0.3">
      <c r="A122" s="226">
        <v>46121</v>
      </c>
      <c r="B122" s="227" t="s">
        <v>184</v>
      </c>
      <c r="C122" s="227" t="s">
        <v>249</v>
      </c>
      <c r="D122" s="228">
        <v>175</v>
      </c>
      <c r="E122" s="231">
        <v>3907.2</v>
      </c>
      <c r="F122" s="231">
        <v>4013.2</v>
      </c>
      <c r="G122" s="228">
        <v>-106</v>
      </c>
      <c r="H122" s="229">
        <v>-2.64E-2</v>
      </c>
      <c r="I122" s="231">
        <v>3896.2</v>
      </c>
      <c r="J122" s="231">
        <v>4005.9</v>
      </c>
      <c r="K122" s="228">
        <v>-109.7</v>
      </c>
      <c r="L122" s="229">
        <v>-2.7400000000000001E-2</v>
      </c>
      <c r="M122" s="231">
        <v>3907.2</v>
      </c>
      <c r="N122" s="231">
        <v>4013.2</v>
      </c>
      <c r="O122" s="228">
        <v>-106</v>
      </c>
      <c r="P122" s="229">
        <v>-2.64E-2</v>
      </c>
      <c r="Q122" s="231">
        <v>3932.2</v>
      </c>
      <c r="R122" s="231">
        <v>4038.3</v>
      </c>
      <c r="S122" s="228">
        <v>-106.1</v>
      </c>
      <c r="T122" s="229">
        <v>-2.63E-2</v>
      </c>
      <c r="U122" s="231">
        <v>3927.8</v>
      </c>
      <c r="V122" s="231">
        <v>4037.6</v>
      </c>
      <c r="W122" s="228">
        <v>-109.8</v>
      </c>
      <c r="X122" s="229">
        <v>-2.7199999999999998E-2</v>
      </c>
      <c r="Y122" s="228">
        <v>11</v>
      </c>
      <c r="Z122" s="228">
        <v>7.3</v>
      </c>
      <c r="AA122" s="228">
        <v>3.7</v>
      </c>
      <c r="AB122" s="229">
        <v>2.8E-3</v>
      </c>
      <c r="AC122" s="228">
        <v>11</v>
      </c>
      <c r="AD122" s="228">
        <v>7.3</v>
      </c>
      <c r="AE122" s="228">
        <v>3.7</v>
      </c>
      <c r="AF122" s="229">
        <v>2.8E-3</v>
      </c>
      <c r="AG122" s="228">
        <v>36</v>
      </c>
      <c r="AH122" s="228">
        <v>32.4</v>
      </c>
      <c r="AI122" s="228">
        <v>3.6</v>
      </c>
      <c r="AJ122" s="229">
        <v>9.1999999999999998E-3</v>
      </c>
      <c r="AK122" s="228">
        <v>31.6</v>
      </c>
      <c r="AL122" s="228">
        <v>31.7</v>
      </c>
      <c r="AM122" s="228">
        <v>-0.1</v>
      </c>
      <c r="AN122" s="229">
        <v>8.0999999999999996E-3</v>
      </c>
      <c r="AO122" s="231">
        <v>3929.98</v>
      </c>
      <c r="AP122" s="231">
        <v>3954.62</v>
      </c>
      <c r="AQ122" s="228">
        <v>0</v>
      </c>
      <c r="AR122" s="230">
        <v>3137050</v>
      </c>
      <c r="AS122" s="230">
        <v>6128850</v>
      </c>
      <c r="AT122" s="230">
        <v>-2991800</v>
      </c>
      <c r="AU122" s="229">
        <v>-0.48820000000000002</v>
      </c>
      <c r="AV122" s="230">
        <v>2820650</v>
      </c>
      <c r="AW122" s="230">
        <v>5704125</v>
      </c>
      <c r="AX122" s="230">
        <v>-2883475</v>
      </c>
      <c r="AY122" s="229">
        <v>-0.50549999999999995</v>
      </c>
      <c r="AZ122" s="230">
        <v>240100</v>
      </c>
      <c r="BA122" s="230">
        <v>351400</v>
      </c>
      <c r="BB122" s="230">
        <v>-111300</v>
      </c>
      <c r="BC122" s="229">
        <v>-0.31669999999999998</v>
      </c>
      <c r="BD122" s="230">
        <v>76300</v>
      </c>
      <c r="BE122" s="230">
        <v>73325</v>
      </c>
      <c r="BF122" s="230">
        <v>2975</v>
      </c>
      <c r="BG122" s="229">
        <v>4.0599999999999997E-2</v>
      </c>
      <c r="BH122" s="230">
        <v>11724475</v>
      </c>
      <c r="BI122" s="230">
        <v>21673050</v>
      </c>
      <c r="BJ122" s="230">
        <v>-9948575</v>
      </c>
      <c r="BK122" s="229">
        <v>-0.45900000000000002</v>
      </c>
      <c r="BL122" s="230">
        <v>5626600</v>
      </c>
      <c r="BM122" s="230">
        <v>12389825</v>
      </c>
      <c r="BN122" s="230">
        <v>-6763225</v>
      </c>
      <c r="BO122" s="229">
        <v>-0.54590000000000005</v>
      </c>
      <c r="BP122" s="230">
        <v>20488125</v>
      </c>
      <c r="BQ122" s="230">
        <v>40191725</v>
      </c>
      <c r="BR122" s="230">
        <v>-19703600</v>
      </c>
      <c r="BS122" s="229">
        <v>-0.49020000000000002</v>
      </c>
      <c r="BT122" s="230">
        <v>4936287</v>
      </c>
      <c r="BU122" s="230">
        <v>7710412</v>
      </c>
      <c r="BV122" s="230">
        <v>-2774125</v>
      </c>
      <c r="BW122" s="229">
        <v>-0.35980000000000001</v>
      </c>
      <c r="BX122" s="230">
        <v>15702925</v>
      </c>
      <c r="BY122" s="230">
        <v>15215375</v>
      </c>
      <c r="BZ122" s="230">
        <v>487550</v>
      </c>
      <c r="CA122" s="229">
        <v>3.2000000000000001E-2</v>
      </c>
      <c r="CB122" s="230">
        <v>13388550</v>
      </c>
      <c r="CC122" s="230">
        <v>13043800</v>
      </c>
      <c r="CD122" s="230">
        <v>344750</v>
      </c>
      <c r="CE122" s="229">
        <v>2.64E-2</v>
      </c>
      <c r="CF122" s="230">
        <v>2115400</v>
      </c>
      <c r="CG122" s="230">
        <v>2011975</v>
      </c>
      <c r="CH122" s="230">
        <v>103425</v>
      </c>
      <c r="CI122" s="229">
        <v>5.1400000000000001E-2</v>
      </c>
      <c r="CJ122" s="230">
        <v>198975</v>
      </c>
      <c r="CK122" s="230">
        <v>159600</v>
      </c>
      <c r="CL122" s="230">
        <v>39375</v>
      </c>
      <c r="CM122" s="229">
        <v>0.2467</v>
      </c>
      <c r="CN122" s="230">
        <v>8291150</v>
      </c>
      <c r="CO122" s="230">
        <v>7007700</v>
      </c>
      <c r="CP122" s="230">
        <v>1283450</v>
      </c>
      <c r="CQ122" s="229">
        <v>0.18310000000000001</v>
      </c>
      <c r="CR122" s="230">
        <v>6127975</v>
      </c>
      <c r="CS122" s="230">
        <v>5965750</v>
      </c>
      <c r="CT122" s="230">
        <v>162225</v>
      </c>
      <c r="CU122" s="229">
        <v>2.7199999999999998E-2</v>
      </c>
      <c r="CV122" s="230">
        <v>30122050</v>
      </c>
      <c r="CW122" s="230">
        <v>28188825</v>
      </c>
      <c r="CX122" s="230">
        <v>1933225</v>
      </c>
      <c r="CY122" s="229">
        <v>6.8599999999999994E-2</v>
      </c>
      <c r="CZ122" s="228">
        <v>31.7</v>
      </c>
      <c r="DA122" s="228">
        <v>32.71</v>
      </c>
      <c r="DB122" s="228">
        <v>-1.01</v>
      </c>
      <c r="DC122" s="228">
        <v>-1.01</v>
      </c>
      <c r="DD122" s="228">
        <v>34.090000000000003</v>
      </c>
      <c r="DE122" s="228">
        <v>33.97</v>
      </c>
      <c r="DF122" s="228">
        <v>-2.39</v>
      </c>
      <c r="DG122" s="228">
        <v>0.12</v>
      </c>
      <c r="DH122" s="228">
        <v>30.78</v>
      </c>
      <c r="DI122" s="228">
        <v>30.85</v>
      </c>
      <c r="DJ122" s="228">
        <v>-7.0000000000000007E-2</v>
      </c>
      <c r="DK122" s="228">
        <v>-7.0000000000000007E-2</v>
      </c>
      <c r="DL122" s="228">
        <v>33.630000000000003</v>
      </c>
      <c r="DM122" s="228">
        <v>35.979999999999997</v>
      </c>
      <c r="DN122" s="228">
        <v>-2.35</v>
      </c>
      <c r="DO122" s="228">
        <v>-2.35</v>
      </c>
      <c r="DP122" s="228">
        <v>0.74</v>
      </c>
      <c r="DQ122" s="228">
        <v>0.85</v>
      </c>
      <c r="DR122" s="228">
        <v>-0.11</v>
      </c>
      <c r="DS122" s="229">
        <v>-0.12939999999999999</v>
      </c>
      <c r="DT122" s="231">
        <v>4000</v>
      </c>
      <c r="DU122" s="231">
        <v>4000</v>
      </c>
      <c r="DV122" s="228">
        <v>0.48</v>
      </c>
      <c r="DW122" s="228">
        <v>0.56999999999999995</v>
      </c>
      <c r="DX122" s="228">
        <v>-0.09</v>
      </c>
      <c r="DY122" s="229">
        <v>-0.15790000000000001</v>
      </c>
      <c r="DZ122" s="229">
        <v>0.1474</v>
      </c>
      <c r="EA122" s="230">
        <v>2171575</v>
      </c>
      <c r="EB122" s="229">
        <v>6.4000000000000003E-3</v>
      </c>
      <c r="EC122" s="229">
        <v>0.1474</v>
      </c>
      <c r="ED122" s="228">
        <v>24.64</v>
      </c>
      <c r="EE122" s="229">
        <v>6.3E-3</v>
      </c>
      <c r="EF122" s="230">
        <v>2280637</v>
      </c>
      <c r="EG122" s="230">
        <v>4302718</v>
      </c>
      <c r="EH122" s="229">
        <v>-0.47</v>
      </c>
      <c r="EI122" s="229">
        <v>0.46200000000000002</v>
      </c>
      <c r="EJ122" s="231">
        <v>487645.78</v>
      </c>
      <c r="EK122" s="231">
        <v>216709.95</v>
      </c>
      <c r="EL122" s="231">
        <v>123362.62</v>
      </c>
      <c r="EM122" s="231">
        <v>21258</v>
      </c>
      <c r="EN122" s="231">
        <v>827718.35</v>
      </c>
      <c r="EO122" s="231">
        <v>1620111.4</v>
      </c>
      <c r="EP122" s="231">
        <v>-792393.05</v>
      </c>
      <c r="EQ122" s="229">
        <v>-0.48909999999999998</v>
      </c>
      <c r="ER122" s="231">
        <v>329695</v>
      </c>
      <c r="ES122" s="231">
        <v>226990</v>
      </c>
      <c r="ET122" s="231">
        <v>614115</v>
      </c>
      <c r="EU122" s="231">
        <v>136099497</v>
      </c>
      <c r="EV122" s="231">
        <v>1170799</v>
      </c>
      <c r="EW122" s="231">
        <v>1109163</v>
      </c>
      <c r="EX122" s="231">
        <v>61636</v>
      </c>
      <c r="EY122" s="229">
        <v>5.5599999999999997E-2</v>
      </c>
      <c r="EZ122" s="229">
        <v>0.2213</v>
      </c>
      <c r="FA122" s="227" t="s">
        <v>566</v>
      </c>
      <c r="FB122" s="161">
        <f t="shared" si="1"/>
        <v>2314375</v>
      </c>
    </row>
    <row r="123" spans="1:158" ht="17.25" thickBot="1" x14ac:dyDescent="0.3">
      <c r="A123" s="226">
        <v>46121</v>
      </c>
      <c r="B123" s="227" t="s">
        <v>175</v>
      </c>
      <c r="C123" s="227" t="s">
        <v>564</v>
      </c>
      <c r="D123" s="228">
        <v>2250</v>
      </c>
      <c r="E123" s="228">
        <v>273.14</v>
      </c>
      <c r="F123" s="228">
        <v>276.14999999999998</v>
      </c>
      <c r="G123" s="228">
        <v>-3.01</v>
      </c>
      <c r="H123" s="229">
        <v>-1.09E-2</v>
      </c>
      <c r="I123" s="228">
        <v>272.18</v>
      </c>
      <c r="J123" s="228">
        <v>275.45999999999998</v>
      </c>
      <c r="K123" s="228">
        <v>-3.28</v>
      </c>
      <c r="L123" s="229">
        <v>-1.1900000000000001E-2</v>
      </c>
      <c r="M123" s="228">
        <v>273.14</v>
      </c>
      <c r="N123" s="228">
        <v>276.14999999999998</v>
      </c>
      <c r="O123" s="228">
        <v>-3.01</v>
      </c>
      <c r="P123" s="229">
        <v>-1.09E-2</v>
      </c>
      <c r="Q123" s="228">
        <v>272.04000000000002</v>
      </c>
      <c r="R123" s="228">
        <v>275.47000000000003</v>
      </c>
      <c r="S123" s="228">
        <v>-3.43</v>
      </c>
      <c r="T123" s="229">
        <v>-1.2500000000000001E-2</v>
      </c>
      <c r="U123" s="228">
        <v>272.5</v>
      </c>
      <c r="V123" s="228">
        <v>275.3</v>
      </c>
      <c r="W123" s="228">
        <v>-2.8</v>
      </c>
      <c r="X123" s="229">
        <v>-1.0200000000000001E-2</v>
      </c>
      <c r="Y123" s="228">
        <v>0.96</v>
      </c>
      <c r="Z123" s="228">
        <v>0.69</v>
      </c>
      <c r="AA123" s="228">
        <v>0.27</v>
      </c>
      <c r="AB123" s="229">
        <v>3.5000000000000001E-3</v>
      </c>
      <c r="AC123" s="228">
        <v>0.96</v>
      </c>
      <c r="AD123" s="228">
        <v>0.69</v>
      </c>
      <c r="AE123" s="228">
        <v>0.27</v>
      </c>
      <c r="AF123" s="229">
        <v>3.5000000000000001E-3</v>
      </c>
      <c r="AG123" s="228">
        <v>-0.14000000000000001</v>
      </c>
      <c r="AH123" s="228">
        <v>0.01</v>
      </c>
      <c r="AI123" s="228">
        <v>-0.15</v>
      </c>
      <c r="AJ123" s="229">
        <v>-5.0000000000000001E-4</v>
      </c>
      <c r="AK123" s="228">
        <v>0.32</v>
      </c>
      <c r="AL123" s="228">
        <v>-0.16</v>
      </c>
      <c r="AM123" s="228">
        <v>0.48</v>
      </c>
      <c r="AN123" s="229">
        <v>1.1999999999999999E-3</v>
      </c>
      <c r="AO123" s="228">
        <v>274.67</v>
      </c>
      <c r="AP123" s="228">
        <v>273.49</v>
      </c>
      <c r="AQ123" s="228">
        <v>0</v>
      </c>
      <c r="AR123" s="230">
        <v>8633250</v>
      </c>
      <c r="AS123" s="230">
        <v>17181000</v>
      </c>
      <c r="AT123" s="230">
        <v>-8547750</v>
      </c>
      <c r="AU123" s="229">
        <v>-0.4975</v>
      </c>
      <c r="AV123" s="230">
        <v>7184250</v>
      </c>
      <c r="AW123" s="230">
        <v>16184250</v>
      </c>
      <c r="AX123" s="230">
        <v>-9000000</v>
      </c>
      <c r="AY123" s="229">
        <v>-0.55610000000000004</v>
      </c>
      <c r="AZ123" s="230">
        <v>1386000</v>
      </c>
      <c r="BA123" s="230">
        <v>888750</v>
      </c>
      <c r="BB123" s="230">
        <v>497250</v>
      </c>
      <c r="BC123" s="229">
        <v>0.5595</v>
      </c>
      <c r="BD123" s="230">
        <v>63000</v>
      </c>
      <c r="BE123" s="230">
        <v>108000</v>
      </c>
      <c r="BF123" s="230">
        <v>-45000</v>
      </c>
      <c r="BG123" s="229">
        <v>-0.41670000000000001</v>
      </c>
      <c r="BH123" s="230">
        <v>13959000</v>
      </c>
      <c r="BI123" s="230">
        <v>45661500</v>
      </c>
      <c r="BJ123" s="230">
        <v>-31702500</v>
      </c>
      <c r="BK123" s="229">
        <v>-0.69430000000000003</v>
      </c>
      <c r="BL123" s="230">
        <v>7821000</v>
      </c>
      <c r="BM123" s="230">
        <v>18666000</v>
      </c>
      <c r="BN123" s="230">
        <v>-10845000</v>
      </c>
      <c r="BO123" s="229">
        <v>-0.58099999999999996</v>
      </c>
      <c r="BP123" s="230">
        <v>30413250</v>
      </c>
      <c r="BQ123" s="230">
        <v>81508500</v>
      </c>
      <c r="BR123" s="230">
        <v>-51095250</v>
      </c>
      <c r="BS123" s="229">
        <v>-0.62690000000000001</v>
      </c>
      <c r="BT123" s="230">
        <v>4885387</v>
      </c>
      <c r="BU123" s="230">
        <v>9185176</v>
      </c>
      <c r="BV123" s="230">
        <v>-4299789</v>
      </c>
      <c r="BW123" s="229">
        <v>-0.46810000000000002</v>
      </c>
      <c r="BX123" s="230">
        <v>54135000</v>
      </c>
      <c r="BY123" s="230">
        <v>52875000</v>
      </c>
      <c r="BZ123" s="230">
        <v>1260000</v>
      </c>
      <c r="CA123" s="229">
        <v>2.3800000000000002E-2</v>
      </c>
      <c r="CB123" s="230">
        <v>52501500</v>
      </c>
      <c r="CC123" s="230">
        <v>51808500</v>
      </c>
      <c r="CD123" s="230">
        <v>693000</v>
      </c>
      <c r="CE123" s="229">
        <v>1.34E-2</v>
      </c>
      <c r="CF123" s="230">
        <v>1521000</v>
      </c>
      <c r="CG123" s="230">
        <v>974250</v>
      </c>
      <c r="CH123" s="230">
        <v>546750</v>
      </c>
      <c r="CI123" s="229">
        <v>0.56120000000000003</v>
      </c>
      <c r="CJ123" s="230">
        <v>112500</v>
      </c>
      <c r="CK123" s="230">
        <v>92250</v>
      </c>
      <c r="CL123" s="230">
        <v>20250</v>
      </c>
      <c r="CM123" s="229">
        <v>0.2195</v>
      </c>
      <c r="CN123" s="230">
        <v>18533250</v>
      </c>
      <c r="CO123" s="230">
        <v>18261000</v>
      </c>
      <c r="CP123" s="230">
        <v>272250</v>
      </c>
      <c r="CQ123" s="229">
        <v>1.49E-2</v>
      </c>
      <c r="CR123" s="230">
        <v>14755500</v>
      </c>
      <c r="CS123" s="230">
        <v>14010750</v>
      </c>
      <c r="CT123" s="230">
        <v>744750</v>
      </c>
      <c r="CU123" s="229">
        <v>5.3199999999999997E-2</v>
      </c>
      <c r="CV123" s="230">
        <v>87423750</v>
      </c>
      <c r="CW123" s="230">
        <v>85146750</v>
      </c>
      <c r="CX123" s="230">
        <v>2277000</v>
      </c>
      <c r="CY123" s="229">
        <v>2.6700000000000002E-2</v>
      </c>
      <c r="CZ123" s="228">
        <v>39.11</v>
      </c>
      <c r="DA123" s="228">
        <v>39.909999999999997</v>
      </c>
      <c r="DB123" s="228">
        <v>-0.8</v>
      </c>
      <c r="DC123" s="228">
        <v>-0.8</v>
      </c>
      <c r="DD123" s="228">
        <v>41.84</v>
      </c>
      <c r="DE123" s="228">
        <v>41.92</v>
      </c>
      <c r="DF123" s="228">
        <v>-2.73</v>
      </c>
      <c r="DG123" s="228">
        <v>-0.08</v>
      </c>
      <c r="DH123" s="228">
        <v>37.630000000000003</v>
      </c>
      <c r="DI123" s="228">
        <v>38.369999999999997</v>
      </c>
      <c r="DJ123" s="228">
        <v>-0.74</v>
      </c>
      <c r="DK123" s="228">
        <v>-0.74</v>
      </c>
      <c r="DL123" s="228">
        <v>41.74</v>
      </c>
      <c r="DM123" s="228">
        <v>43.65</v>
      </c>
      <c r="DN123" s="228">
        <v>-1.91</v>
      </c>
      <c r="DO123" s="228">
        <v>-1.91</v>
      </c>
      <c r="DP123" s="228">
        <v>0.8</v>
      </c>
      <c r="DQ123" s="228">
        <v>0.77</v>
      </c>
      <c r="DR123" s="228">
        <v>0.03</v>
      </c>
      <c r="DS123" s="229">
        <v>3.9E-2</v>
      </c>
      <c r="DT123" s="228">
        <v>300</v>
      </c>
      <c r="DU123" s="228">
        <v>300</v>
      </c>
      <c r="DV123" s="228">
        <v>0.56000000000000005</v>
      </c>
      <c r="DW123" s="228">
        <v>0.41</v>
      </c>
      <c r="DX123" s="228">
        <v>0.15</v>
      </c>
      <c r="DY123" s="229">
        <v>0.3659</v>
      </c>
      <c r="DZ123" s="229">
        <v>3.0200000000000001E-2</v>
      </c>
      <c r="EA123" s="230">
        <v>1066500</v>
      </c>
      <c r="EB123" s="229">
        <v>-4.0000000000000001E-3</v>
      </c>
      <c r="EC123" s="229">
        <v>3.0200000000000001E-2</v>
      </c>
      <c r="ED123" s="228">
        <v>-1.18</v>
      </c>
      <c r="EE123" s="229">
        <v>-4.3E-3</v>
      </c>
      <c r="EF123" s="230">
        <v>1686875</v>
      </c>
      <c r="EG123" s="230">
        <v>2892849</v>
      </c>
      <c r="EH123" s="229">
        <v>-0.41689999999999999</v>
      </c>
      <c r="EI123" s="229">
        <v>0.3453</v>
      </c>
      <c r="EJ123" s="231">
        <v>41019.879999999997</v>
      </c>
      <c r="EK123" s="231">
        <v>20904.150000000001</v>
      </c>
      <c r="EL123" s="231">
        <v>23695.55</v>
      </c>
      <c r="EM123" s="231">
        <v>6052</v>
      </c>
      <c r="EN123" s="231">
        <v>85619.58</v>
      </c>
      <c r="EO123" s="231">
        <v>230779.91</v>
      </c>
      <c r="EP123" s="231">
        <v>-145160.32999999999</v>
      </c>
      <c r="EQ123" s="229">
        <v>-0.629</v>
      </c>
      <c r="ER123" s="231">
        <v>51352</v>
      </c>
      <c r="ES123" s="231">
        <v>38957</v>
      </c>
      <c r="ET123" s="231">
        <v>147847</v>
      </c>
      <c r="EU123" s="231">
        <v>127514625</v>
      </c>
      <c r="EV123" s="231">
        <v>238156</v>
      </c>
      <c r="EW123" s="231">
        <v>233394</v>
      </c>
      <c r="EX123" s="231">
        <v>4762</v>
      </c>
      <c r="EY123" s="229">
        <v>2.0400000000000001E-2</v>
      </c>
      <c r="EZ123" s="229">
        <v>0.68559999999999999</v>
      </c>
      <c r="FA123" s="227" t="s">
        <v>566</v>
      </c>
      <c r="FB123" s="161">
        <f t="shared" si="1"/>
        <v>1633500</v>
      </c>
    </row>
    <row r="124" spans="1:158" ht="17.25" thickBot="1" x14ac:dyDescent="0.3">
      <c r="A124" s="226">
        <v>46121</v>
      </c>
      <c r="B124" s="227" t="s">
        <v>221</v>
      </c>
      <c r="C124" s="227" t="s">
        <v>692</v>
      </c>
      <c r="D124" s="228">
        <v>150</v>
      </c>
      <c r="E124" s="231">
        <v>4556.3</v>
      </c>
      <c r="F124" s="231">
        <v>4517</v>
      </c>
      <c r="G124" s="228">
        <v>39.299999999999997</v>
      </c>
      <c r="H124" s="229">
        <v>8.6999999999999994E-3</v>
      </c>
      <c r="I124" s="231">
        <v>4572</v>
      </c>
      <c r="J124" s="231">
        <v>4523</v>
      </c>
      <c r="K124" s="228">
        <v>49</v>
      </c>
      <c r="L124" s="229">
        <v>1.0800000000000001E-2</v>
      </c>
      <c r="M124" s="231">
        <v>4556.3</v>
      </c>
      <c r="N124" s="231">
        <v>4517</v>
      </c>
      <c r="O124" s="228">
        <v>39.299999999999997</v>
      </c>
      <c r="P124" s="229">
        <v>8.6999999999999994E-3</v>
      </c>
      <c r="Q124" s="231">
        <v>4484.1000000000004</v>
      </c>
      <c r="R124" s="231">
        <v>4451.8999999999996</v>
      </c>
      <c r="S124" s="228">
        <v>32.200000000000003</v>
      </c>
      <c r="T124" s="229">
        <v>7.1999999999999998E-3</v>
      </c>
      <c r="U124" s="231">
        <v>4463.1000000000004</v>
      </c>
      <c r="V124" s="231">
        <v>4427.8</v>
      </c>
      <c r="W124" s="228">
        <v>35.299999999999997</v>
      </c>
      <c r="X124" s="229">
        <v>8.0000000000000002E-3</v>
      </c>
      <c r="Y124" s="228">
        <v>-15.7</v>
      </c>
      <c r="Z124" s="228">
        <v>-6</v>
      </c>
      <c r="AA124" s="228">
        <v>-9.6999999999999993</v>
      </c>
      <c r="AB124" s="229">
        <v>-3.3999999999999998E-3</v>
      </c>
      <c r="AC124" s="228">
        <v>-15.7</v>
      </c>
      <c r="AD124" s="228">
        <v>-6</v>
      </c>
      <c r="AE124" s="228">
        <v>-9.6999999999999993</v>
      </c>
      <c r="AF124" s="229">
        <v>-3.3999999999999998E-3</v>
      </c>
      <c r="AG124" s="228">
        <v>-87.9</v>
      </c>
      <c r="AH124" s="228">
        <v>-71.099999999999994</v>
      </c>
      <c r="AI124" s="228">
        <v>-16.8</v>
      </c>
      <c r="AJ124" s="229">
        <v>-1.9199999999999998E-2</v>
      </c>
      <c r="AK124" s="228">
        <v>-108.9</v>
      </c>
      <c r="AL124" s="228">
        <v>-95.2</v>
      </c>
      <c r="AM124" s="228">
        <v>-13.7</v>
      </c>
      <c r="AN124" s="229">
        <v>-2.3800000000000002E-2</v>
      </c>
      <c r="AO124" s="231">
        <v>4499.9399999999996</v>
      </c>
      <c r="AP124" s="231">
        <v>4427.88</v>
      </c>
      <c r="AQ124" s="228">
        <v>0</v>
      </c>
      <c r="AR124" s="230">
        <v>526050</v>
      </c>
      <c r="AS124" s="230">
        <v>866850</v>
      </c>
      <c r="AT124" s="230">
        <v>-340800</v>
      </c>
      <c r="AU124" s="229">
        <v>-0.3931</v>
      </c>
      <c r="AV124" s="230">
        <v>472500</v>
      </c>
      <c r="AW124" s="230">
        <v>777000</v>
      </c>
      <c r="AX124" s="230">
        <v>-304500</v>
      </c>
      <c r="AY124" s="229">
        <v>-0.39190000000000003</v>
      </c>
      <c r="AZ124" s="230">
        <v>47100</v>
      </c>
      <c r="BA124" s="230">
        <v>85050</v>
      </c>
      <c r="BB124" s="230">
        <v>-37950</v>
      </c>
      <c r="BC124" s="229">
        <v>-0.44619999999999999</v>
      </c>
      <c r="BD124" s="230">
        <v>6450</v>
      </c>
      <c r="BE124" s="230">
        <v>4800</v>
      </c>
      <c r="BF124" s="230">
        <v>1650</v>
      </c>
      <c r="BG124" s="229">
        <v>0.34379999999999999</v>
      </c>
      <c r="BH124" s="230">
        <v>1681650</v>
      </c>
      <c r="BI124" s="230">
        <v>1366050</v>
      </c>
      <c r="BJ124" s="230">
        <v>315600</v>
      </c>
      <c r="BK124" s="229">
        <v>0.23100000000000001</v>
      </c>
      <c r="BL124" s="230">
        <v>568800</v>
      </c>
      <c r="BM124" s="230">
        <v>591150</v>
      </c>
      <c r="BN124" s="230">
        <v>-22350</v>
      </c>
      <c r="BO124" s="229">
        <v>-3.78E-2</v>
      </c>
      <c r="BP124" s="230">
        <v>2776500</v>
      </c>
      <c r="BQ124" s="230">
        <v>2824050</v>
      </c>
      <c r="BR124" s="230">
        <v>-47550</v>
      </c>
      <c r="BS124" s="229">
        <v>-1.6799999999999999E-2</v>
      </c>
      <c r="BT124" s="230">
        <v>371733</v>
      </c>
      <c r="BU124" s="230">
        <v>424664</v>
      </c>
      <c r="BV124" s="230">
        <v>-52931</v>
      </c>
      <c r="BW124" s="229">
        <v>-0.1246</v>
      </c>
      <c r="BX124" s="230">
        <v>3959250</v>
      </c>
      <c r="BY124" s="230">
        <v>3889050</v>
      </c>
      <c r="BZ124" s="230">
        <v>70200</v>
      </c>
      <c r="CA124" s="229">
        <v>1.8100000000000002E-2</v>
      </c>
      <c r="CB124" s="230">
        <v>3790350</v>
      </c>
      <c r="CC124" s="230">
        <v>3744600</v>
      </c>
      <c r="CD124" s="230">
        <v>45750</v>
      </c>
      <c r="CE124" s="229">
        <v>1.2200000000000001E-2</v>
      </c>
      <c r="CF124" s="230">
        <v>160800</v>
      </c>
      <c r="CG124" s="230">
        <v>137850</v>
      </c>
      <c r="CH124" s="230">
        <v>22950</v>
      </c>
      <c r="CI124" s="229">
        <v>0.16650000000000001</v>
      </c>
      <c r="CJ124" s="230">
        <v>8100</v>
      </c>
      <c r="CK124" s="230">
        <v>6600</v>
      </c>
      <c r="CL124" s="230">
        <v>1500</v>
      </c>
      <c r="CM124" s="229">
        <v>0.2273</v>
      </c>
      <c r="CN124" s="230">
        <v>866250</v>
      </c>
      <c r="CO124" s="230">
        <v>831750</v>
      </c>
      <c r="CP124" s="230">
        <v>34500</v>
      </c>
      <c r="CQ124" s="229">
        <v>4.1500000000000002E-2</v>
      </c>
      <c r="CR124" s="230">
        <v>799050</v>
      </c>
      <c r="CS124" s="230">
        <v>756150</v>
      </c>
      <c r="CT124" s="230">
        <v>42900</v>
      </c>
      <c r="CU124" s="229">
        <v>5.67E-2</v>
      </c>
      <c r="CV124" s="230">
        <v>5624550</v>
      </c>
      <c r="CW124" s="230">
        <v>5476950</v>
      </c>
      <c r="CX124" s="230">
        <v>147600</v>
      </c>
      <c r="CY124" s="229">
        <v>2.69E-2</v>
      </c>
      <c r="CZ124" s="228">
        <v>37.229999999999997</v>
      </c>
      <c r="DA124" s="228">
        <v>36.26</v>
      </c>
      <c r="DB124" s="228">
        <v>0.97</v>
      </c>
      <c r="DC124" s="228">
        <v>0.97</v>
      </c>
      <c r="DD124" s="228">
        <v>35.82</v>
      </c>
      <c r="DE124" s="228">
        <v>35.880000000000003</v>
      </c>
      <c r="DF124" s="228">
        <v>1.41</v>
      </c>
      <c r="DG124" s="228">
        <v>-0.06</v>
      </c>
      <c r="DH124" s="228">
        <v>36.46</v>
      </c>
      <c r="DI124" s="228">
        <v>35.6</v>
      </c>
      <c r="DJ124" s="228">
        <v>0.86</v>
      </c>
      <c r="DK124" s="228">
        <v>0.86</v>
      </c>
      <c r="DL124" s="228">
        <v>39.53</v>
      </c>
      <c r="DM124" s="228">
        <v>37.78</v>
      </c>
      <c r="DN124" s="228">
        <v>1.75</v>
      </c>
      <c r="DO124" s="228">
        <v>1.75</v>
      </c>
      <c r="DP124" s="228">
        <v>0.92</v>
      </c>
      <c r="DQ124" s="228">
        <v>0.91</v>
      </c>
      <c r="DR124" s="228">
        <v>0.01</v>
      </c>
      <c r="DS124" s="229">
        <v>1.0999999999999999E-2</v>
      </c>
      <c r="DT124" s="231">
        <v>4500</v>
      </c>
      <c r="DU124" s="231">
        <v>4300</v>
      </c>
      <c r="DV124" s="228">
        <v>0.34</v>
      </c>
      <c r="DW124" s="228">
        <v>0.43</v>
      </c>
      <c r="DX124" s="228">
        <v>-0.09</v>
      </c>
      <c r="DY124" s="229">
        <v>-0.20930000000000001</v>
      </c>
      <c r="DZ124" s="229">
        <v>4.2700000000000002E-2</v>
      </c>
      <c r="EA124" s="230">
        <v>144450</v>
      </c>
      <c r="EB124" s="229">
        <v>-1.5800000000000002E-2</v>
      </c>
      <c r="EC124" s="229">
        <v>4.2700000000000002E-2</v>
      </c>
      <c r="ED124" s="228">
        <v>-72.06</v>
      </c>
      <c r="EE124" s="229">
        <v>-1.6E-2</v>
      </c>
      <c r="EF124" s="230">
        <v>146068</v>
      </c>
      <c r="EG124" s="230">
        <v>218247</v>
      </c>
      <c r="EH124" s="229">
        <v>-0.33069999999999999</v>
      </c>
      <c r="EI124" s="229">
        <v>0.39290000000000003</v>
      </c>
      <c r="EJ124" s="231">
        <v>80168.69</v>
      </c>
      <c r="EK124" s="231">
        <v>25076.19</v>
      </c>
      <c r="EL124" s="231">
        <v>23632.85</v>
      </c>
      <c r="EM124" s="231">
        <v>4158</v>
      </c>
      <c r="EN124" s="231">
        <v>128877.73</v>
      </c>
      <c r="EO124" s="231">
        <v>129409.13</v>
      </c>
      <c r="EP124" s="228">
        <v>-531.4</v>
      </c>
      <c r="EQ124" s="229">
        <v>-4.1000000000000003E-3</v>
      </c>
      <c r="ER124" s="231">
        <v>39213</v>
      </c>
      <c r="ES124" s="231">
        <v>33649</v>
      </c>
      <c r="ET124" s="231">
        <v>180272</v>
      </c>
      <c r="EU124" s="231">
        <v>12564965</v>
      </c>
      <c r="EV124" s="231">
        <v>253134</v>
      </c>
      <c r="EW124" s="231">
        <v>244748</v>
      </c>
      <c r="EX124" s="231">
        <v>8386</v>
      </c>
      <c r="EY124" s="229">
        <v>3.4299999999999997E-2</v>
      </c>
      <c r="EZ124" s="229">
        <v>0.4476</v>
      </c>
      <c r="FA124" s="227" t="s">
        <v>555</v>
      </c>
      <c r="FB124" s="161">
        <f t="shared" si="1"/>
        <v>168900</v>
      </c>
    </row>
    <row r="125" spans="1:158" ht="17.25" thickBot="1" x14ac:dyDescent="0.3">
      <c r="A125" s="226">
        <v>46121</v>
      </c>
      <c r="B125" s="227" t="s">
        <v>170</v>
      </c>
      <c r="C125" s="227" t="s">
        <v>250</v>
      </c>
      <c r="D125" s="228">
        <v>425</v>
      </c>
      <c r="E125" s="231">
        <v>2306.9</v>
      </c>
      <c r="F125" s="231">
        <v>2305.1999999999998</v>
      </c>
      <c r="G125" s="228">
        <v>1.7</v>
      </c>
      <c r="H125" s="229">
        <v>6.9999999999999999E-4</v>
      </c>
      <c r="I125" s="231">
        <v>2295.1</v>
      </c>
      <c r="J125" s="231">
        <v>2294.1</v>
      </c>
      <c r="K125" s="228">
        <v>1</v>
      </c>
      <c r="L125" s="229">
        <v>4.0000000000000002E-4</v>
      </c>
      <c r="M125" s="231">
        <v>2306.9</v>
      </c>
      <c r="N125" s="231">
        <v>2305.1999999999998</v>
      </c>
      <c r="O125" s="228">
        <v>1.7</v>
      </c>
      <c r="P125" s="229">
        <v>6.9999999999999999E-4</v>
      </c>
      <c r="Q125" s="231">
        <v>2318</v>
      </c>
      <c r="R125" s="231">
        <v>2318.1999999999998</v>
      </c>
      <c r="S125" s="228">
        <v>-0.2</v>
      </c>
      <c r="T125" s="229">
        <v>-1E-4</v>
      </c>
      <c r="U125" s="231">
        <v>2341.9</v>
      </c>
      <c r="V125" s="231">
        <v>2305</v>
      </c>
      <c r="W125" s="228">
        <v>36.9</v>
      </c>
      <c r="X125" s="229">
        <v>1.6E-2</v>
      </c>
      <c r="Y125" s="228">
        <v>11.8</v>
      </c>
      <c r="Z125" s="228">
        <v>11.1</v>
      </c>
      <c r="AA125" s="228">
        <v>0.7</v>
      </c>
      <c r="AB125" s="229">
        <v>5.1000000000000004E-3</v>
      </c>
      <c r="AC125" s="228">
        <v>11.8</v>
      </c>
      <c r="AD125" s="228">
        <v>11.1</v>
      </c>
      <c r="AE125" s="228">
        <v>0.7</v>
      </c>
      <c r="AF125" s="229">
        <v>5.1000000000000004E-3</v>
      </c>
      <c r="AG125" s="228">
        <v>22.9</v>
      </c>
      <c r="AH125" s="228">
        <v>24.1</v>
      </c>
      <c r="AI125" s="228">
        <v>-1.2</v>
      </c>
      <c r="AJ125" s="229">
        <v>0.01</v>
      </c>
      <c r="AK125" s="228">
        <v>46.8</v>
      </c>
      <c r="AL125" s="228">
        <v>10.9</v>
      </c>
      <c r="AM125" s="228">
        <v>35.9</v>
      </c>
      <c r="AN125" s="229">
        <v>2.0400000000000001E-2</v>
      </c>
      <c r="AO125" s="231">
        <v>2305.2399999999998</v>
      </c>
      <c r="AP125" s="231">
        <v>2316.71</v>
      </c>
      <c r="AQ125" s="228">
        <v>0</v>
      </c>
      <c r="AR125" s="230">
        <v>1442450</v>
      </c>
      <c r="AS125" s="230">
        <v>1429700</v>
      </c>
      <c r="AT125" s="230">
        <v>12750</v>
      </c>
      <c r="AU125" s="229">
        <v>8.8999999999999999E-3</v>
      </c>
      <c r="AV125" s="230">
        <v>1359575</v>
      </c>
      <c r="AW125" s="230">
        <v>1352775</v>
      </c>
      <c r="AX125" s="230">
        <v>6800</v>
      </c>
      <c r="AY125" s="229">
        <v>5.0000000000000001E-3</v>
      </c>
      <c r="AZ125" s="230">
        <v>82025</v>
      </c>
      <c r="BA125" s="230">
        <v>73525</v>
      </c>
      <c r="BB125" s="230">
        <v>8500</v>
      </c>
      <c r="BC125" s="229">
        <v>0.11559999999999999</v>
      </c>
      <c r="BD125" s="228">
        <v>850</v>
      </c>
      <c r="BE125" s="230">
        <v>3400</v>
      </c>
      <c r="BF125" s="230">
        <v>-2550</v>
      </c>
      <c r="BG125" s="229">
        <v>-0.75</v>
      </c>
      <c r="BH125" s="230">
        <v>3165825</v>
      </c>
      <c r="BI125" s="230">
        <v>4322675</v>
      </c>
      <c r="BJ125" s="230">
        <v>-1156850</v>
      </c>
      <c r="BK125" s="229">
        <v>-0.2676</v>
      </c>
      <c r="BL125" s="230">
        <v>1554225</v>
      </c>
      <c r="BM125" s="230">
        <v>2141575</v>
      </c>
      <c r="BN125" s="230">
        <v>-587350</v>
      </c>
      <c r="BO125" s="229">
        <v>-0.27429999999999999</v>
      </c>
      <c r="BP125" s="230">
        <v>6162500</v>
      </c>
      <c r="BQ125" s="230">
        <v>7893950</v>
      </c>
      <c r="BR125" s="230">
        <v>-1731450</v>
      </c>
      <c r="BS125" s="229">
        <v>-0.21929999999999999</v>
      </c>
      <c r="BT125" s="230">
        <v>2293095</v>
      </c>
      <c r="BU125" s="230">
        <v>1904119</v>
      </c>
      <c r="BV125" s="230">
        <v>388976</v>
      </c>
      <c r="BW125" s="229">
        <v>0.20430000000000001</v>
      </c>
      <c r="BX125" s="230">
        <v>6559025</v>
      </c>
      <c r="BY125" s="230">
        <v>6344400</v>
      </c>
      <c r="BZ125" s="230">
        <v>214625</v>
      </c>
      <c r="CA125" s="229">
        <v>3.3799999999999997E-2</v>
      </c>
      <c r="CB125" s="230">
        <v>6392000</v>
      </c>
      <c r="CC125" s="230">
        <v>6188425</v>
      </c>
      <c r="CD125" s="230">
        <v>203575</v>
      </c>
      <c r="CE125" s="229">
        <v>3.2899999999999999E-2</v>
      </c>
      <c r="CF125" s="230">
        <v>164475</v>
      </c>
      <c r="CG125" s="230">
        <v>152575</v>
      </c>
      <c r="CH125" s="230">
        <v>11900</v>
      </c>
      <c r="CI125" s="229">
        <v>7.8E-2</v>
      </c>
      <c r="CJ125" s="230">
        <v>2550</v>
      </c>
      <c r="CK125" s="230">
        <v>3400</v>
      </c>
      <c r="CL125" s="228">
        <v>-850</v>
      </c>
      <c r="CM125" s="229">
        <v>-0.25</v>
      </c>
      <c r="CN125" s="230">
        <v>1989425</v>
      </c>
      <c r="CO125" s="230">
        <v>1960525</v>
      </c>
      <c r="CP125" s="230">
        <v>28900</v>
      </c>
      <c r="CQ125" s="229">
        <v>1.47E-2</v>
      </c>
      <c r="CR125" s="230">
        <v>1548275</v>
      </c>
      <c r="CS125" s="230">
        <v>1540200</v>
      </c>
      <c r="CT125" s="230">
        <v>8075</v>
      </c>
      <c r="CU125" s="229">
        <v>5.1999999999999998E-3</v>
      </c>
      <c r="CV125" s="230">
        <v>10096725</v>
      </c>
      <c r="CW125" s="230">
        <v>9845125</v>
      </c>
      <c r="CX125" s="230">
        <v>251600</v>
      </c>
      <c r="CY125" s="229">
        <v>2.5600000000000001E-2</v>
      </c>
      <c r="CZ125" s="228">
        <v>25.85</v>
      </c>
      <c r="DA125" s="228">
        <v>25.6</v>
      </c>
      <c r="DB125" s="228">
        <v>0.25</v>
      </c>
      <c r="DC125" s="228">
        <v>0.25</v>
      </c>
      <c r="DD125" s="228">
        <v>28.15</v>
      </c>
      <c r="DE125" s="228">
        <v>28.22</v>
      </c>
      <c r="DF125" s="228">
        <v>-2.2999999999999998</v>
      </c>
      <c r="DG125" s="228">
        <v>-7.0000000000000007E-2</v>
      </c>
      <c r="DH125" s="228">
        <v>25.58</v>
      </c>
      <c r="DI125" s="228">
        <v>25.04</v>
      </c>
      <c r="DJ125" s="228">
        <v>0.54</v>
      </c>
      <c r="DK125" s="228">
        <v>0.54</v>
      </c>
      <c r="DL125" s="228">
        <v>26.39</v>
      </c>
      <c r="DM125" s="228">
        <v>26.73</v>
      </c>
      <c r="DN125" s="228">
        <v>-0.34</v>
      </c>
      <c r="DO125" s="228">
        <v>-0.34</v>
      </c>
      <c r="DP125" s="228">
        <v>0.78</v>
      </c>
      <c r="DQ125" s="228">
        <v>0.79</v>
      </c>
      <c r="DR125" s="228">
        <v>-0.01</v>
      </c>
      <c r="DS125" s="229">
        <v>-1.2699999999999999E-2</v>
      </c>
      <c r="DT125" s="231">
        <v>2400</v>
      </c>
      <c r="DU125" s="231">
        <v>2300</v>
      </c>
      <c r="DV125" s="228">
        <v>0.49</v>
      </c>
      <c r="DW125" s="228">
        <v>0.5</v>
      </c>
      <c r="DX125" s="228">
        <v>-0.01</v>
      </c>
      <c r="DY125" s="229">
        <v>-0.02</v>
      </c>
      <c r="DZ125" s="229">
        <v>2.5499999999999998E-2</v>
      </c>
      <c r="EA125" s="230">
        <v>155975</v>
      </c>
      <c r="EB125" s="229">
        <v>4.7999999999999996E-3</v>
      </c>
      <c r="EC125" s="229">
        <v>2.5499999999999998E-2</v>
      </c>
      <c r="ED125" s="228">
        <v>11.47</v>
      </c>
      <c r="EE125" s="229">
        <v>5.0000000000000001E-3</v>
      </c>
      <c r="EF125" s="230">
        <v>1443242</v>
      </c>
      <c r="EG125" s="230">
        <v>1146046</v>
      </c>
      <c r="EH125" s="229">
        <v>0.25929999999999997</v>
      </c>
      <c r="EI125" s="229">
        <v>0.62939999999999996</v>
      </c>
      <c r="EJ125" s="231">
        <v>75599.41</v>
      </c>
      <c r="EK125" s="231">
        <v>35610.800000000003</v>
      </c>
      <c r="EL125" s="231">
        <v>33261.660000000003</v>
      </c>
      <c r="EM125" s="231">
        <v>2822</v>
      </c>
      <c r="EN125" s="231">
        <v>144471.87</v>
      </c>
      <c r="EO125" s="231">
        <v>184879.67</v>
      </c>
      <c r="EP125" s="231">
        <v>-40407.800000000003</v>
      </c>
      <c r="EQ125" s="229">
        <v>-0.21859999999999999</v>
      </c>
      <c r="ER125" s="231">
        <v>47260</v>
      </c>
      <c r="ES125" s="231">
        <v>34388</v>
      </c>
      <c r="ET125" s="231">
        <v>151329</v>
      </c>
      <c r="EU125" s="231">
        <v>32222448</v>
      </c>
      <c r="EV125" s="231">
        <v>232978</v>
      </c>
      <c r="EW125" s="231">
        <v>227021</v>
      </c>
      <c r="EX125" s="231">
        <v>5957</v>
      </c>
      <c r="EY125" s="229">
        <v>2.6200000000000001E-2</v>
      </c>
      <c r="EZ125" s="229">
        <v>0.31330000000000002</v>
      </c>
      <c r="FA125" s="227" t="s">
        <v>555</v>
      </c>
      <c r="FB125" s="161">
        <f t="shared" si="1"/>
        <v>167025</v>
      </c>
    </row>
    <row r="126" spans="1:158" ht="17.25" thickBot="1" x14ac:dyDescent="0.3">
      <c r="A126" s="226">
        <v>46121</v>
      </c>
      <c r="B126" s="227" t="s">
        <v>162</v>
      </c>
      <c r="C126" s="227" t="s">
        <v>251</v>
      </c>
      <c r="D126" s="228">
        <v>200</v>
      </c>
      <c r="E126" s="231">
        <v>3174.7</v>
      </c>
      <c r="F126" s="231">
        <v>3226</v>
      </c>
      <c r="G126" s="228">
        <v>-51.3</v>
      </c>
      <c r="H126" s="229">
        <v>-1.5900000000000001E-2</v>
      </c>
      <c r="I126" s="231">
        <v>3166.8</v>
      </c>
      <c r="J126" s="231">
        <v>3210.1</v>
      </c>
      <c r="K126" s="228">
        <v>-43.3</v>
      </c>
      <c r="L126" s="229">
        <v>-1.35E-2</v>
      </c>
      <c r="M126" s="231">
        <v>3174.7</v>
      </c>
      <c r="N126" s="231">
        <v>3226</v>
      </c>
      <c r="O126" s="228">
        <v>-51.3</v>
      </c>
      <c r="P126" s="229">
        <v>-1.5900000000000001E-2</v>
      </c>
      <c r="Q126" s="231">
        <v>3193.6</v>
      </c>
      <c r="R126" s="231">
        <v>3242.5</v>
      </c>
      <c r="S126" s="228">
        <v>-48.9</v>
      </c>
      <c r="T126" s="229">
        <v>-1.5100000000000001E-2</v>
      </c>
      <c r="U126" s="231">
        <v>3212.5</v>
      </c>
      <c r="V126" s="231">
        <v>3263.3</v>
      </c>
      <c r="W126" s="228">
        <v>-50.8</v>
      </c>
      <c r="X126" s="229">
        <v>-1.5599999999999999E-2</v>
      </c>
      <c r="Y126" s="228">
        <v>7.9</v>
      </c>
      <c r="Z126" s="228">
        <v>15.9</v>
      </c>
      <c r="AA126" s="228">
        <v>-8</v>
      </c>
      <c r="AB126" s="229">
        <v>2.5000000000000001E-3</v>
      </c>
      <c r="AC126" s="228">
        <v>7.9</v>
      </c>
      <c r="AD126" s="228">
        <v>15.9</v>
      </c>
      <c r="AE126" s="228">
        <v>-8</v>
      </c>
      <c r="AF126" s="229">
        <v>2.5000000000000001E-3</v>
      </c>
      <c r="AG126" s="228">
        <v>26.8</v>
      </c>
      <c r="AH126" s="228">
        <v>32.4</v>
      </c>
      <c r="AI126" s="228">
        <v>-5.6</v>
      </c>
      <c r="AJ126" s="229">
        <v>8.5000000000000006E-3</v>
      </c>
      <c r="AK126" s="228">
        <v>45.7</v>
      </c>
      <c r="AL126" s="228">
        <v>53.2</v>
      </c>
      <c r="AM126" s="228">
        <v>-7.5</v>
      </c>
      <c r="AN126" s="229">
        <v>1.44E-2</v>
      </c>
      <c r="AO126" s="231">
        <v>3176.19</v>
      </c>
      <c r="AP126" s="231">
        <v>3196.95</v>
      </c>
      <c r="AQ126" s="228">
        <v>0</v>
      </c>
      <c r="AR126" s="230">
        <v>1885000</v>
      </c>
      <c r="AS126" s="230">
        <v>3080800</v>
      </c>
      <c r="AT126" s="230">
        <v>-1195800</v>
      </c>
      <c r="AU126" s="229">
        <v>-0.3881</v>
      </c>
      <c r="AV126" s="230">
        <v>1721400</v>
      </c>
      <c r="AW126" s="230">
        <v>2731800</v>
      </c>
      <c r="AX126" s="230">
        <v>-1010400</v>
      </c>
      <c r="AY126" s="229">
        <v>-0.36990000000000001</v>
      </c>
      <c r="AZ126" s="230">
        <v>129000</v>
      </c>
      <c r="BA126" s="230">
        <v>265200</v>
      </c>
      <c r="BB126" s="230">
        <v>-136200</v>
      </c>
      <c r="BC126" s="229">
        <v>-0.51359999999999995</v>
      </c>
      <c r="BD126" s="230">
        <v>34600</v>
      </c>
      <c r="BE126" s="230">
        <v>83800</v>
      </c>
      <c r="BF126" s="230">
        <v>-49200</v>
      </c>
      <c r="BG126" s="229">
        <v>-0.58709999999999996</v>
      </c>
      <c r="BH126" s="230">
        <v>4941200</v>
      </c>
      <c r="BI126" s="230">
        <v>10560400</v>
      </c>
      <c r="BJ126" s="230">
        <v>-5619200</v>
      </c>
      <c r="BK126" s="229">
        <v>-0.53210000000000002</v>
      </c>
      <c r="BL126" s="230">
        <v>2943200</v>
      </c>
      <c r="BM126" s="230">
        <v>4923600</v>
      </c>
      <c r="BN126" s="230">
        <v>-1980400</v>
      </c>
      <c r="BO126" s="229">
        <v>-0.4022</v>
      </c>
      <c r="BP126" s="230">
        <v>9769400</v>
      </c>
      <c r="BQ126" s="230">
        <v>18564800</v>
      </c>
      <c r="BR126" s="230">
        <v>-8795400</v>
      </c>
      <c r="BS126" s="229">
        <v>-0.4738</v>
      </c>
      <c r="BT126" s="230">
        <v>3441818</v>
      </c>
      <c r="BU126" s="230">
        <v>4488898</v>
      </c>
      <c r="BV126" s="230">
        <v>-1047080</v>
      </c>
      <c r="BW126" s="229">
        <v>-0.23330000000000001</v>
      </c>
      <c r="BX126" s="230">
        <v>20020200</v>
      </c>
      <c r="BY126" s="230">
        <v>20029800</v>
      </c>
      <c r="BZ126" s="230">
        <v>-9600</v>
      </c>
      <c r="CA126" s="229">
        <v>-5.0000000000000001E-4</v>
      </c>
      <c r="CB126" s="230">
        <v>17110800</v>
      </c>
      <c r="CC126" s="230">
        <v>17183600</v>
      </c>
      <c r="CD126" s="230">
        <v>-72800</v>
      </c>
      <c r="CE126" s="229">
        <v>-4.1999999999999997E-3</v>
      </c>
      <c r="CF126" s="230">
        <v>2658200</v>
      </c>
      <c r="CG126" s="230">
        <v>2613400</v>
      </c>
      <c r="CH126" s="230">
        <v>44800</v>
      </c>
      <c r="CI126" s="229">
        <v>1.7100000000000001E-2</v>
      </c>
      <c r="CJ126" s="230">
        <v>251200</v>
      </c>
      <c r="CK126" s="230">
        <v>232800</v>
      </c>
      <c r="CL126" s="230">
        <v>18400</v>
      </c>
      <c r="CM126" s="229">
        <v>7.9000000000000001E-2</v>
      </c>
      <c r="CN126" s="230">
        <v>3963400</v>
      </c>
      <c r="CO126" s="230">
        <v>3586200</v>
      </c>
      <c r="CP126" s="230">
        <v>377200</v>
      </c>
      <c r="CQ126" s="229">
        <v>0.1052</v>
      </c>
      <c r="CR126" s="230">
        <v>3167800</v>
      </c>
      <c r="CS126" s="230">
        <v>3212800</v>
      </c>
      <c r="CT126" s="230">
        <v>-45000</v>
      </c>
      <c r="CU126" s="229">
        <v>-1.4E-2</v>
      </c>
      <c r="CV126" s="230">
        <v>27151400</v>
      </c>
      <c r="CW126" s="230">
        <v>26828800</v>
      </c>
      <c r="CX126" s="230">
        <v>322600</v>
      </c>
      <c r="CY126" s="229">
        <v>1.2E-2</v>
      </c>
      <c r="CZ126" s="228">
        <v>34.06</v>
      </c>
      <c r="DA126" s="228">
        <v>33.619999999999997</v>
      </c>
      <c r="DB126" s="228">
        <v>0.44</v>
      </c>
      <c r="DC126" s="228">
        <v>0.44</v>
      </c>
      <c r="DD126" s="228">
        <v>35.76</v>
      </c>
      <c r="DE126" s="228">
        <v>35.799999999999997</v>
      </c>
      <c r="DF126" s="228">
        <v>-1.7</v>
      </c>
      <c r="DG126" s="228">
        <v>-0.04</v>
      </c>
      <c r="DH126" s="228">
        <v>32.69</v>
      </c>
      <c r="DI126" s="228">
        <v>32.299999999999997</v>
      </c>
      <c r="DJ126" s="228">
        <v>0.39</v>
      </c>
      <c r="DK126" s="228">
        <v>0.39</v>
      </c>
      <c r="DL126" s="228">
        <v>36.35</v>
      </c>
      <c r="DM126" s="228">
        <v>36.46</v>
      </c>
      <c r="DN126" s="228">
        <v>-0.11</v>
      </c>
      <c r="DO126" s="228">
        <v>-0.11</v>
      </c>
      <c r="DP126" s="228">
        <v>0.8</v>
      </c>
      <c r="DQ126" s="228">
        <v>0.9</v>
      </c>
      <c r="DR126" s="228">
        <v>-0.1</v>
      </c>
      <c r="DS126" s="229">
        <v>-0.1111</v>
      </c>
      <c r="DT126" s="231">
        <v>3200</v>
      </c>
      <c r="DU126" s="231">
        <v>3000</v>
      </c>
      <c r="DV126" s="228">
        <v>0.6</v>
      </c>
      <c r="DW126" s="228">
        <v>0.47</v>
      </c>
      <c r="DX126" s="228">
        <v>0.13</v>
      </c>
      <c r="DY126" s="229">
        <v>0.27660000000000001</v>
      </c>
      <c r="DZ126" s="229">
        <v>0.14530000000000001</v>
      </c>
      <c r="EA126" s="230">
        <v>2846200</v>
      </c>
      <c r="EB126" s="229">
        <v>6.0000000000000001E-3</v>
      </c>
      <c r="EC126" s="229">
        <v>0.14530000000000001</v>
      </c>
      <c r="ED126" s="228">
        <v>20.76</v>
      </c>
      <c r="EE126" s="229">
        <v>6.4999999999999997E-3</v>
      </c>
      <c r="EF126" s="230">
        <v>1387708</v>
      </c>
      <c r="EG126" s="230">
        <v>2185983</v>
      </c>
      <c r="EH126" s="229">
        <v>-0.36520000000000002</v>
      </c>
      <c r="EI126" s="229">
        <v>0.4032</v>
      </c>
      <c r="EJ126" s="231">
        <v>165478.34</v>
      </c>
      <c r="EK126" s="231">
        <v>91298.51</v>
      </c>
      <c r="EL126" s="231">
        <v>59914.23</v>
      </c>
      <c r="EM126" s="231">
        <v>11941</v>
      </c>
      <c r="EN126" s="231">
        <v>316691.08</v>
      </c>
      <c r="EO126" s="231">
        <v>605449.07999999996</v>
      </c>
      <c r="EP126" s="231">
        <v>-288758</v>
      </c>
      <c r="EQ126" s="229">
        <v>-0.47689999999999999</v>
      </c>
      <c r="ER126" s="231">
        <v>129342</v>
      </c>
      <c r="ES126" s="231">
        <v>97002</v>
      </c>
      <c r="ET126" s="231">
        <v>636179</v>
      </c>
      <c r="EU126" s="231">
        <v>120808308</v>
      </c>
      <c r="EV126" s="231">
        <v>862523</v>
      </c>
      <c r="EW126" s="231">
        <v>861897</v>
      </c>
      <c r="EX126" s="228">
        <v>626</v>
      </c>
      <c r="EY126" s="229">
        <v>6.9999999999999999E-4</v>
      </c>
      <c r="EZ126" s="229">
        <v>0.22470000000000001</v>
      </c>
      <c r="FA126" s="227" t="s">
        <v>567</v>
      </c>
      <c r="FB126" s="161">
        <f t="shared" si="1"/>
        <v>2909400</v>
      </c>
    </row>
    <row r="127" spans="1:158" ht="17.25" thickBot="1" x14ac:dyDescent="0.3">
      <c r="A127" s="226">
        <v>46121</v>
      </c>
      <c r="B127" s="227" t="s">
        <v>175</v>
      </c>
      <c r="C127" s="227" t="s">
        <v>253</v>
      </c>
      <c r="D127" s="228">
        <v>3000</v>
      </c>
      <c r="E127" s="228">
        <v>264.45</v>
      </c>
      <c r="F127" s="228">
        <v>271</v>
      </c>
      <c r="G127" s="228">
        <v>-6.55</v>
      </c>
      <c r="H127" s="229">
        <v>-2.4199999999999999E-2</v>
      </c>
      <c r="I127" s="228">
        <v>262.95</v>
      </c>
      <c r="J127" s="228">
        <v>269.55</v>
      </c>
      <c r="K127" s="228">
        <v>-6.6</v>
      </c>
      <c r="L127" s="229">
        <v>-2.4500000000000001E-2</v>
      </c>
      <c r="M127" s="228">
        <v>264.45</v>
      </c>
      <c r="N127" s="228">
        <v>271</v>
      </c>
      <c r="O127" s="228">
        <v>-6.55</v>
      </c>
      <c r="P127" s="229">
        <v>-2.4199999999999999E-2</v>
      </c>
      <c r="Q127" s="228">
        <v>265.8</v>
      </c>
      <c r="R127" s="228">
        <v>272.35000000000002</v>
      </c>
      <c r="S127" s="228">
        <v>-6.55</v>
      </c>
      <c r="T127" s="229">
        <v>-2.4E-2</v>
      </c>
      <c r="U127" s="228">
        <v>267.3</v>
      </c>
      <c r="V127" s="228">
        <v>273.95</v>
      </c>
      <c r="W127" s="228">
        <v>-6.65</v>
      </c>
      <c r="X127" s="229">
        <v>-2.4299999999999999E-2</v>
      </c>
      <c r="Y127" s="228">
        <v>1.5</v>
      </c>
      <c r="Z127" s="228">
        <v>1.45</v>
      </c>
      <c r="AA127" s="228">
        <v>0.05</v>
      </c>
      <c r="AB127" s="229">
        <v>5.7000000000000002E-3</v>
      </c>
      <c r="AC127" s="228">
        <v>1.5</v>
      </c>
      <c r="AD127" s="228">
        <v>1.45</v>
      </c>
      <c r="AE127" s="228">
        <v>0.05</v>
      </c>
      <c r="AF127" s="229">
        <v>5.7000000000000002E-3</v>
      </c>
      <c r="AG127" s="228">
        <v>2.85</v>
      </c>
      <c r="AH127" s="228">
        <v>2.8</v>
      </c>
      <c r="AI127" s="228">
        <v>0.05</v>
      </c>
      <c r="AJ127" s="229">
        <v>1.0800000000000001E-2</v>
      </c>
      <c r="AK127" s="228">
        <v>4.3499999999999996</v>
      </c>
      <c r="AL127" s="228">
        <v>4.4000000000000004</v>
      </c>
      <c r="AM127" s="228">
        <v>-0.05</v>
      </c>
      <c r="AN127" s="229">
        <v>1.6500000000000001E-2</v>
      </c>
      <c r="AO127" s="228">
        <v>266.08</v>
      </c>
      <c r="AP127" s="228">
        <v>267.43</v>
      </c>
      <c r="AQ127" s="228">
        <v>0</v>
      </c>
      <c r="AR127" s="230">
        <v>5445000</v>
      </c>
      <c r="AS127" s="230">
        <v>14673000</v>
      </c>
      <c r="AT127" s="230">
        <v>-9228000</v>
      </c>
      <c r="AU127" s="229">
        <v>-0.62890000000000001</v>
      </c>
      <c r="AV127" s="230">
        <v>5097000</v>
      </c>
      <c r="AW127" s="230">
        <v>14274000</v>
      </c>
      <c r="AX127" s="230">
        <v>-9177000</v>
      </c>
      <c r="AY127" s="229">
        <v>-0.64290000000000003</v>
      </c>
      <c r="AZ127" s="230">
        <v>231000</v>
      </c>
      <c r="BA127" s="230">
        <v>372000</v>
      </c>
      <c r="BB127" s="230">
        <v>-141000</v>
      </c>
      <c r="BC127" s="229">
        <v>-0.379</v>
      </c>
      <c r="BD127" s="230">
        <v>117000</v>
      </c>
      <c r="BE127" s="230">
        <v>27000</v>
      </c>
      <c r="BF127" s="230">
        <v>90000</v>
      </c>
      <c r="BG127" s="229">
        <v>3.3332999999999999</v>
      </c>
      <c r="BH127" s="230">
        <v>8259000</v>
      </c>
      <c r="BI127" s="230">
        <v>30156000</v>
      </c>
      <c r="BJ127" s="230">
        <v>-21897000</v>
      </c>
      <c r="BK127" s="229">
        <v>-0.72609999999999997</v>
      </c>
      <c r="BL127" s="230">
        <v>2322000</v>
      </c>
      <c r="BM127" s="230">
        <v>9345000</v>
      </c>
      <c r="BN127" s="230">
        <v>-7023000</v>
      </c>
      <c r="BO127" s="229">
        <v>-0.75149999999999995</v>
      </c>
      <c r="BP127" s="230">
        <v>16026000</v>
      </c>
      <c r="BQ127" s="230">
        <v>54174000</v>
      </c>
      <c r="BR127" s="230">
        <v>-38148000</v>
      </c>
      <c r="BS127" s="229">
        <v>-0.70420000000000005</v>
      </c>
      <c r="BT127" s="230">
        <v>4248985</v>
      </c>
      <c r="BU127" s="230">
        <v>6349194</v>
      </c>
      <c r="BV127" s="230">
        <v>-2100209</v>
      </c>
      <c r="BW127" s="229">
        <v>-0.33079999999999998</v>
      </c>
      <c r="BX127" s="230">
        <v>51804000</v>
      </c>
      <c r="BY127" s="230">
        <v>51189000</v>
      </c>
      <c r="BZ127" s="230">
        <v>615000</v>
      </c>
      <c r="CA127" s="229">
        <v>1.2E-2</v>
      </c>
      <c r="CB127" s="230">
        <v>51048000</v>
      </c>
      <c r="CC127" s="230">
        <v>50601000</v>
      </c>
      <c r="CD127" s="230">
        <v>447000</v>
      </c>
      <c r="CE127" s="229">
        <v>8.8000000000000005E-3</v>
      </c>
      <c r="CF127" s="230">
        <v>636000</v>
      </c>
      <c r="CG127" s="230">
        <v>537000</v>
      </c>
      <c r="CH127" s="230">
        <v>99000</v>
      </c>
      <c r="CI127" s="229">
        <v>0.18440000000000001</v>
      </c>
      <c r="CJ127" s="230">
        <v>120000</v>
      </c>
      <c r="CK127" s="230">
        <v>51000</v>
      </c>
      <c r="CL127" s="230">
        <v>69000</v>
      </c>
      <c r="CM127" s="229">
        <v>1.3529</v>
      </c>
      <c r="CN127" s="230">
        <v>13404000</v>
      </c>
      <c r="CO127" s="230">
        <v>12996000</v>
      </c>
      <c r="CP127" s="230">
        <v>408000</v>
      </c>
      <c r="CQ127" s="229">
        <v>3.1399999999999997E-2</v>
      </c>
      <c r="CR127" s="230">
        <v>9012000</v>
      </c>
      <c r="CS127" s="230">
        <v>8763000</v>
      </c>
      <c r="CT127" s="230">
        <v>249000</v>
      </c>
      <c r="CU127" s="229">
        <v>2.8400000000000002E-2</v>
      </c>
      <c r="CV127" s="230">
        <v>74220000</v>
      </c>
      <c r="CW127" s="230">
        <v>72948000</v>
      </c>
      <c r="CX127" s="230">
        <v>1272000</v>
      </c>
      <c r="CY127" s="229">
        <v>1.7399999999999999E-2</v>
      </c>
      <c r="CZ127" s="228">
        <v>36.42</v>
      </c>
      <c r="DA127" s="228">
        <v>35.53</v>
      </c>
      <c r="DB127" s="228">
        <v>0.89</v>
      </c>
      <c r="DC127" s="228">
        <v>0.89</v>
      </c>
      <c r="DD127" s="228">
        <v>43.05</v>
      </c>
      <c r="DE127" s="228">
        <v>43.02</v>
      </c>
      <c r="DF127" s="228">
        <v>-6.63</v>
      </c>
      <c r="DG127" s="228">
        <v>0.03</v>
      </c>
      <c r="DH127" s="228">
        <v>36.08</v>
      </c>
      <c r="DI127" s="228">
        <v>34.65</v>
      </c>
      <c r="DJ127" s="228">
        <v>1.43</v>
      </c>
      <c r="DK127" s="228">
        <v>1.43</v>
      </c>
      <c r="DL127" s="228">
        <v>37.6</v>
      </c>
      <c r="DM127" s="228">
        <v>38.36</v>
      </c>
      <c r="DN127" s="228">
        <v>-0.76</v>
      </c>
      <c r="DO127" s="228">
        <v>-0.76</v>
      </c>
      <c r="DP127" s="228">
        <v>0.67</v>
      </c>
      <c r="DQ127" s="228">
        <v>0.67</v>
      </c>
      <c r="DR127" s="228">
        <v>0</v>
      </c>
      <c r="DS127" s="229">
        <v>0</v>
      </c>
      <c r="DT127" s="228">
        <v>260</v>
      </c>
      <c r="DU127" s="228">
        <v>250</v>
      </c>
      <c r="DV127" s="228">
        <v>0.28000000000000003</v>
      </c>
      <c r="DW127" s="228">
        <v>0.31</v>
      </c>
      <c r="DX127" s="228">
        <v>-0.03</v>
      </c>
      <c r="DY127" s="229">
        <v>-9.6799999999999997E-2</v>
      </c>
      <c r="DZ127" s="229">
        <v>1.46E-2</v>
      </c>
      <c r="EA127" s="230">
        <v>588000</v>
      </c>
      <c r="EB127" s="229">
        <v>5.1000000000000004E-3</v>
      </c>
      <c r="EC127" s="229">
        <v>1.46E-2</v>
      </c>
      <c r="ED127" s="228">
        <v>1.35</v>
      </c>
      <c r="EE127" s="229">
        <v>5.1000000000000004E-3</v>
      </c>
      <c r="EF127" s="230">
        <v>2119476</v>
      </c>
      <c r="EG127" s="230">
        <v>3028492</v>
      </c>
      <c r="EH127" s="229">
        <v>-0.30020000000000002</v>
      </c>
      <c r="EI127" s="229">
        <v>0.49880000000000002</v>
      </c>
      <c r="EJ127" s="231">
        <v>23272.37</v>
      </c>
      <c r="EK127" s="231">
        <v>6041.29</v>
      </c>
      <c r="EL127" s="231">
        <v>14495.9</v>
      </c>
      <c r="EM127" s="231">
        <v>3059</v>
      </c>
      <c r="EN127" s="231">
        <v>43809.56</v>
      </c>
      <c r="EO127" s="231">
        <v>148932.03</v>
      </c>
      <c r="EP127" s="231">
        <v>-105122.47</v>
      </c>
      <c r="EQ127" s="229">
        <v>-0.70579999999999998</v>
      </c>
      <c r="ER127" s="231">
        <v>36827</v>
      </c>
      <c r="ES127" s="231">
        <v>22518</v>
      </c>
      <c r="ET127" s="231">
        <v>137008</v>
      </c>
      <c r="EU127" s="231">
        <v>82205057</v>
      </c>
      <c r="EV127" s="231">
        <v>196353</v>
      </c>
      <c r="EW127" s="231">
        <v>196330</v>
      </c>
      <c r="EX127" s="228">
        <v>23</v>
      </c>
      <c r="EY127" s="229">
        <v>1E-4</v>
      </c>
      <c r="EZ127" s="229">
        <v>0.90290000000000004</v>
      </c>
      <c r="FA127" s="227" t="s">
        <v>566</v>
      </c>
      <c r="FB127" s="161">
        <f t="shared" si="1"/>
        <v>756000</v>
      </c>
    </row>
    <row r="128" spans="1:158" ht="17.25" thickBot="1" x14ac:dyDescent="0.3">
      <c r="A128" s="226">
        <v>46121</v>
      </c>
      <c r="B128" s="227" t="s">
        <v>170</v>
      </c>
      <c r="C128" s="227" t="s">
        <v>670</v>
      </c>
      <c r="D128" s="228">
        <v>225</v>
      </c>
      <c r="E128" s="231">
        <v>2062.6999999999998</v>
      </c>
      <c r="F128" s="231">
        <v>2047.7</v>
      </c>
      <c r="G128" s="228">
        <v>15</v>
      </c>
      <c r="H128" s="229">
        <v>7.3000000000000001E-3</v>
      </c>
      <c r="I128" s="231">
        <v>2054.1999999999998</v>
      </c>
      <c r="J128" s="231">
        <v>2041.9</v>
      </c>
      <c r="K128" s="228">
        <v>12.3</v>
      </c>
      <c r="L128" s="229">
        <v>6.0000000000000001E-3</v>
      </c>
      <c r="M128" s="231">
        <v>2062.6999999999998</v>
      </c>
      <c r="N128" s="231">
        <v>2047.7</v>
      </c>
      <c r="O128" s="228">
        <v>15</v>
      </c>
      <c r="P128" s="229">
        <v>7.3000000000000001E-3</v>
      </c>
      <c r="Q128" s="231">
        <v>2065.8000000000002</v>
      </c>
      <c r="R128" s="231">
        <v>2054.6</v>
      </c>
      <c r="S128" s="228">
        <v>11.2</v>
      </c>
      <c r="T128" s="229">
        <v>5.4999999999999997E-3</v>
      </c>
      <c r="U128" s="231">
        <v>2048</v>
      </c>
      <c r="V128" s="231">
        <v>2058</v>
      </c>
      <c r="W128" s="228">
        <v>-10</v>
      </c>
      <c r="X128" s="229">
        <v>-4.8999999999999998E-3</v>
      </c>
      <c r="Y128" s="228">
        <v>8.5</v>
      </c>
      <c r="Z128" s="228">
        <v>5.8</v>
      </c>
      <c r="AA128" s="228">
        <v>2.7</v>
      </c>
      <c r="AB128" s="229">
        <v>4.1000000000000003E-3</v>
      </c>
      <c r="AC128" s="228">
        <v>8.5</v>
      </c>
      <c r="AD128" s="228">
        <v>5.8</v>
      </c>
      <c r="AE128" s="228">
        <v>2.7</v>
      </c>
      <c r="AF128" s="229">
        <v>4.1000000000000003E-3</v>
      </c>
      <c r="AG128" s="228">
        <v>11.6</v>
      </c>
      <c r="AH128" s="228">
        <v>12.7</v>
      </c>
      <c r="AI128" s="228">
        <v>-1.1000000000000001</v>
      </c>
      <c r="AJ128" s="229">
        <v>5.5999999999999999E-3</v>
      </c>
      <c r="AK128" s="228">
        <v>-6.2</v>
      </c>
      <c r="AL128" s="228">
        <v>16.100000000000001</v>
      </c>
      <c r="AM128" s="228">
        <v>-22.3</v>
      </c>
      <c r="AN128" s="229">
        <v>-3.0000000000000001E-3</v>
      </c>
      <c r="AO128" s="231">
        <v>2061.14</v>
      </c>
      <c r="AP128" s="231">
        <v>2062.14</v>
      </c>
      <c r="AQ128" s="228">
        <v>0</v>
      </c>
      <c r="AR128" s="230">
        <v>238500</v>
      </c>
      <c r="AS128" s="230">
        <v>350100</v>
      </c>
      <c r="AT128" s="230">
        <v>-111600</v>
      </c>
      <c r="AU128" s="229">
        <v>-0.31879999999999997</v>
      </c>
      <c r="AV128" s="230">
        <v>224775</v>
      </c>
      <c r="AW128" s="230">
        <v>318600</v>
      </c>
      <c r="AX128" s="230">
        <v>-93825</v>
      </c>
      <c r="AY128" s="229">
        <v>-0.29449999999999998</v>
      </c>
      <c r="AZ128" s="230">
        <v>12825</v>
      </c>
      <c r="BA128" s="230">
        <v>27225</v>
      </c>
      <c r="BB128" s="230">
        <v>-14400</v>
      </c>
      <c r="BC128" s="229">
        <v>-0.52890000000000004</v>
      </c>
      <c r="BD128" s="228">
        <v>900</v>
      </c>
      <c r="BE128" s="230">
        <v>4275</v>
      </c>
      <c r="BF128" s="230">
        <v>-3375</v>
      </c>
      <c r="BG128" s="229">
        <v>-0.78949999999999998</v>
      </c>
      <c r="BH128" s="230">
        <v>536625</v>
      </c>
      <c r="BI128" s="230">
        <v>1044675</v>
      </c>
      <c r="BJ128" s="230">
        <v>-508050</v>
      </c>
      <c r="BK128" s="229">
        <v>-0.48630000000000001</v>
      </c>
      <c r="BL128" s="230">
        <v>167175</v>
      </c>
      <c r="BM128" s="230">
        <v>448650</v>
      </c>
      <c r="BN128" s="230">
        <v>-281475</v>
      </c>
      <c r="BO128" s="229">
        <v>-0.62739999999999996</v>
      </c>
      <c r="BP128" s="230">
        <v>942300</v>
      </c>
      <c r="BQ128" s="230">
        <v>1843425</v>
      </c>
      <c r="BR128" s="230">
        <v>-901125</v>
      </c>
      <c r="BS128" s="229">
        <v>-0.48880000000000001</v>
      </c>
      <c r="BT128" s="230">
        <v>243463</v>
      </c>
      <c r="BU128" s="230">
        <v>658220</v>
      </c>
      <c r="BV128" s="230">
        <v>-414757</v>
      </c>
      <c r="BW128" s="229">
        <v>-0.63009999999999999</v>
      </c>
      <c r="BX128" s="230">
        <v>2807325</v>
      </c>
      <c r="BY128" s="230">
        <v>2757600</v>
      </c>
      <c r="BZ128" s="230">
        <v>49725</v>
      </c>
      <c r="CA128" s="229">
        <v>1.7999999999999999E-2</v>
      </c>
      <c r="CB128" s="230">
        <v>2661075</v>
      </c>
      <c r="CC128" s="230">
        <v>2611800</v>
      </c>
      <c r="CD128" s="230">
        <v>49275</v>
      </c>
      <c r="CE128" s="229">
        <v>1.89E-2</v>
      </c>
      <c r="CF128" s="230">
        <v>139725</v>
      </c>
      <c r="CG128" s="230">
        <v>140175</v>
      </c>
      <c r="CH128" s="228">
        <v>-450</v>
      </c>
      <c r="CI128" s="229">
        <v>-3.2000000000000002E-3</v>
      </c>
      <c r="CJ128" s="230">
        <v>6525</v>
      </c>
      <c r="CK128" s="230">
        <v>5625</v>
      </c>
      <c r="CL128" s="228">
        <v>900</v>
      </c>
      <c r="CM128" s="229">
        <v>0.16</v>
      </c>
      <c r="CN128" s="230">
        <v>443475</v>
      </c>
      <c r="CO128" s="230">
        <v>463500</v>
      </c>
      <c r="CP128" s="230">
        <v>-20025</v>
      </c>
      <c r="CQ128" s="229">
        <v>-4.3200000000000002E-2</v>
      </c>
      <c r="CR128" s="230">
        <v>246600</v>
      </c>
      <c r="CS128" s="230">
        <v>248400</v>
      </c>
      <c r="CT128" s="230">
        <v>-1800</v>
      </c>
      <c r="CU128" s="229">
        <v>-7.1999999999999998E-3</v>
      </c>
      <c r="CV128" s="230">
        <v>3497400</v>
      </c>
      <c r="CW128" s="230">
        <v>3469500</v>
      </c>
      <c r="CX128" s="230">
        <v>27900</v>
      </c>
      <c r="CY128" s="229">
        <v>8.0000000000000002E-3</v>
      </c>
      <c r="CZ128" s="228">
        <v>37.15</v>
      </c>
      <c r="DA128" s="228">
        <v>39.729999999999997</v>
      </c>
      <c r="DB128" s="228">
        <v>-2.58</v>
      </c>
      <c r="DC128" s="228">
        <v>-2.58</v>
      </c>
      <c r="DD128" s="228">
        <v>34.01</v>
      </c>
      <c r="DE128" s="228">
        <v>34.08</v>
      </c>
      <c r="DF128" s="228">
        <v>3.14</v>
      </c>
      <c r="DG128" s="228">
        <v>-7.0000000000000007E-2</v>
      </c>
      <c r="DH128" s="228">
        <v>34.33</v>
      </c>
      <c r="DI128" s="228">
        <v>36.92</v>
      </c>
      <c r="DJ128" s="228">
        <v>-2.59</v>
      </c>
      <c r="DK128" s="228">
        <v>-2.59</v>
      </c>
      <c r="DL128" s="228">
        <v>46.22</v>
      </c>
      <c r="DM128" s="228">
        <v>46.28</v>
      </c>
      <c r="DN128" s="228">
        <v>-0.06</v>
      </c>
      <c r="DO128" s="228">
        <v>-0.06</v>
      </c>
      <c r="DP128" s="228">
        <v>0.56000000000000005</v>
      </c>
      <c r="DQ128" s="228">
        <v>0.54</v>
      </c>
      <c r="DR128" s="228">
        <v>0.02</v>
      </c>
      <c r="DS128" s="229">
        <v>3.6999999999999998E-2</v>
      </c>
      <c r="DT128" s="231">
        <v>2000</v>
      </c>
      <c r="DU128" s="231">
        <v>2000</v>
      </c>
      <c r="DV128" s="228">
        <v>0.31</v>
      </c>
      <c r="DW128" s="228">
        <v>0.43</v>
      </c>
      <c r="DX128" s="228">
        <v>-0.12</v>
      </c>
      <c r="DY128" s="229">
        <v>-0.27910000000000001</v>
      </c>
      <c r="DZ128" s="229">
        <v>5.21E-2</v>
      </c>
      <c r="EA128" s="230">
        <v>145800</v>
      </c>
      <c r="EB128" s="229">
        <v>1.5E-3</v>
      </c>
      <c r="EC128" s="229">
        <v>5.21E-2</v>
      </c>
      <c r="ED128" s="228">
        <v>1</v>
      </c>
      <c r="EE128" s="229">
        <v>5.0000000000000001E-4</v>
      </c>
      <c r="EF128" s="230">
        <v>95021</v>
      </c>
      <c r="EG128" s="230">
        <v>452201</v>
      </c>
      <c r="EH128" s="229">
        <v>-0.78990000000000005</v>
      </c>
      <c r="EI128" s="229">
        <v>0.39029999999999998</v>
      </c>
      <c r="EJ128" s="231">
        <v>12104.25</v>
      </c>
      <c r="EK128" s="231">
        <v>3014.64</v>
      </c>
      <c r="EL128" s="231">
        <v>4915.88</v>
      </c>
      <c r="EM128" s="231">
        <v>1427</v>
      </c>
      <c r="EN128" s="231">
        <v>20034.77</v>
      </c>
      <c r="EO128" s="231">
        <v>39560.15</v>
      </c>
      <c r="EP128" s="231">
        <v>-19525.38</v>
      </c>
      <c r="EQ128" s="229">
        <v>-0.49359999999999998</v>
      </c>
      <c r="ER128" s="231">
        <v>9611</v>
      </c>
      <c r="ES128" s="231">
        <v>4846</v>
      </c>
      <c r="ET128" s="231">
        <v>57910</v>
      </c>
      <c r="EU128" s="231">
        <v>16926669</v>
      </c>
      <c r="EV128" s="231">
        <v>72367</v>
      </c>
      <c r="EW128" s="231">
        <v>71397</v>
      </c>
      <c r="EX128" s="228">
        <v>970</v>
      </c>
      <c r="EY128" s="229">
        <v>1.3599999999999999E-2</v>
      </c>
      <c r="EZ128" s="229">
        <v>0.20660000000000001</v>
      </c>
      <c r="FA128" s="227" t="s">
        <v>555</v>
      </c>
      <c r="FB128" s="161">
        <f t="shared" si="1"/>
        <v>146250</v>
      </c>
    </row>
    <row r="129" spans="1:158" ht="17.25" thickBot="1" x14ac:dyDescent="0.3">
      <c r="A129" s="226">
        <v>46121</v>
      </c>
      <c r="B129" s="227" t="s">
        <v>168</v>
      </c>
      <c r="C129" s="227" t="s">
        <v>254</v>
      </c>
      <c r="D129" s="228">
        <v>1200</v>
      </c>
      <c r="E129" s="228">
        <v>751.15</v>
      </c>
      <c r="F129" s="228">
        <v>751.15</v>
      </c>
      <c r="G129" s="228">
        <v>0</v>
      </c>
      <c r="H129" s="229">
        <v>0</v>
      </c>
      <c r="I129" s="228">
        <v>747.35</v>
      </c>
      <c r="J129" s="228">
        <v>747.45</v>
      </c>
      <c r="K129" s="228">
        <v>-0.1</v>
      </c>
      <c r="L129" s="229">
        <v>-1E-4</v>
      </c>
      <c r="M129" s="228">
        <v>751.15</v>
      </c>
      <c r="N129" s="228">
        <v>751.15</v>
      </c>
      <c r="O129" s="228">
        <v>0</v>
      </c>
      <c r="P129" s="229">
        <v>0</v>
      </c>
      <c r="Q129" s="228">
        <v>754.4</v>
      </c>
      <c r="R129" s="228">
        <v>755.2</v>
      </c>
      <c r="S129" s="228">
        <v>-0.8</v>
      </c>
      <c r="T129" s="229">
        <v>-1.1000000000000001E-3</v>
      </c>
      <c r="U129" s="228">
        <v>755</v>
      </c>
      <c r="V129" s="228">
        <v>760</v>
      </c>
      <c r="W129" s="228">
        <v>-5</v>
      </c>
      <c r="X129" s="229">
        <v>-6.6E-3</v>
      </c>
      <c r="Y129" s="228">
        <v>3.8</v>
      </c>
      <c r="Z129" s="228">
        <v>3.7</v>
      </c>
      <c r="AA129" s="228">
        <v>0.1</v>
      </c>
      <c r="AB129" s="229">
        <v>5.1000000000000004E-3</v>
      </c>
      <c r="AC129" s="228">
        <v>3.8</v>
      </c>
      <c r="AD129" s="228">
        <v>3.7</v>
      </c>
      <c r="AE129" s="228">
        <v>0.1</v>
      </c>
      <c r="AF129" s="229">
        <v>5.1000000000000004E-3</v>
      </c>
      <c r="AG129" s="228">
        <v>7.05</v>
      </c>
      <c r="AH129" s="228">
        <v>7.75</v>
      </c>
      <c r="AI129" s="228">
        <v>-0.7</v>
      </c>
      <c r="AJ129" s="229">
        <v>9.4000000000000004E-3</v>
      </c>
      <c r="AK129" s="228">
        <v>7.65</v>
      </c>
      <c r="AL129" s="228">
        <v>12.55</v>
      </c>
      <c r="AM129" s="228">
        <v>-4.9000000000000004</v>
      </c>
      <c r="AN129" s="229">
        <v>1.0200000000000001E-2</v>
      </c>
      <c r="AO129" s="228">
        <v>751.21</v>
      </c>
      <c r="AP129" s="228">
        <v>754.72</v>
      </c>
      <c r="AQ129" s="228">
        <v>0</v>
      </c>
      <c r="AR129" s="230">
        <v>1650000</v>
      </c>
      <c r="AS129" s="230">
        <v>5498400</v>
      </c>
      <c r="AT129" s="230">
        <v>-3848400</v>
      </c>
      <c r="AU129" s="229">
        <v>-0.69989999999999997</v>
      </c>
      <c r="AV129" s="230">
        <v>1596000</v>
      </c>
      <c r="AW129" s="230">
        <v>5356800</v>
      </c>
      <c r="AX129" s="230">
        <v>-3760800</v>
      </c>
      <c r="AY129" s="229">
        <v>-0.70209999999999995</v>
      </c>
      <c r="AZ129" s="230">
        <v>52800</v>
      </c>
      <c r="BA129" s="230">
        <v>141600</v>
      </c>
      <c r="BB129" s="230">
        <v>-88800</v>
      </c>
      <c r="BC129" s="229">
        <v>-0.62709999999999999</v>
      </c>
      <c r="BD129" s="230">
        <v>1200</v>
      </c>
      <c r="BE129" s="228">
        <v>0</v>
      </c>
      <c r="BF129" s="230">
        <v>1200</v>
      </c>
      <c r="BG129" s="229">
        <v>0</v>
      </c>
      <c r="BH129" s="230">
        <v>3747600</v>
      </c>
      <c r="BI129" s="230">
        <v>10546800</v>
      </c>
      <c r="BJ129" s="230">
        <v>-6799200</v>
      </c>
      <c r="BK129" s="229">
        <v>-0.64470000000000005</v>
      </c>
      <c r="BL129" s="230">
        <v>1246800</v>
      </c>
      <c r="BM129" s="230">
        <v>5910000</v>
      </c>
      <c r="BN129" s="230">
        <v>-4663200</v>
      </c>
      <c r="BO129" s="229">
        <v>-0.78900000000000003</v>
      </c>
      <c r="BP129" s="230">
        <v>6644400</v>
      </c>
      <c r="BQ129" s="230">
        <v>21955200</v>
      </c>
      <c r="BR129" s="230">
        <v>-15310800</v>
      </c>
      <c r="BS129" s="229">
        <v>-0.69740000000000002</v>
      </c>
      <c r="BT129" s="230">
        <v>1854966</v>
      </c>
      <c r="BU129" s="230">
        <v>3258669</v>
      </c>
      <c r="BV129" s="230">
        <v>-1403703</v>
      </c>
      <c r="BW129" s="229">
        <v>-0.43080000000000002</v>
      </c>
      <c r="BX129" s="230">
        <v>26437200</v>
      </c>
      <c r="BY129" s="230">
        <v>26198400</v>
      </c>
      <c r="BZ129" s="230">
        <v>238800</v>
      </c>
      <c r="CA129" s="229">
        <v>9.1000000000000004E-3</v>
      </c>
      <c r="CB129" s="230">
        <v>26307600</v>
      </c>
      <c r="CC129" s="230">
        <v>26083200</v>
      </c>
      <c r="CD129" s="230">
        <v>224400</v>
      </c>
      <c r="CE129" s="229">
        <v>8.6E-3</v>
      </c>
      <c r="CF129" s="230">
        <v>129600</v>
      </c>
      <c r="CG129" s="230">
        <v>114000</v>
      </c>
      <c r="CH129" s="230">
        <v>15600</v>
      </c>
      <c r="CI129" s="229">
        <v>0.1368</v>
      </c>
      <c r="CJ129" s="228">
        <v>0</v>
      </c>
      <c r="CK129" s="230">
        <v>1200</v>
      </c>
      <c r="CL129" s="230">
        <v>-1200</v>
      </c>
      <c r="CM129" s="229">
        <v>-1</v>
      </c>
      <c r="CN129" s="230">
        <v>4011600</v>
      </c>
      <c r="CO129" s="230">
        <v>3938400</v>
      </c>
      <c r="CP129" s="230">
        <v>73200</v>
      </c>
      <c r="CQ129" s="229">
        <v>1.8599999999999998E-2</v>
      </c>
      <c r="CR129" s="230">
        <v>4250400</v>
      </c>
      <c r="CS129" s="230">
        <v>3994800</v>
      </c>
      <c r="CT129" s="230">
        <v>255600</v>
      </c>
      <c r="CU129" s="229">
        <v>6.4000000000000001E-2</v>
      </c>
      <c r="CV129" s="230">
        <v>34699200</v>
      </c>
      <c r="CW129" s="230">
        <v>34131600</v>
      </c>
      <c r="CX129" s="230">
        <v>567600</v>
      </c>
      <c r="CY129" s="229">
        <v>1.66E-2</v>
      </c>
      <c r="CZ129" s="228">
        <v>24.73</v>
      </c>
      <c r="DA129" s="228">
        <v>25.03</v>
      </c>
      <c r="DB129" s="228">
        <v>-0.3</v>
      </c>
      <c r="DC129" s="228">
        <v>-0.3</v>
      </c>
      <c r="DD129" s="228">
        <v>24.68</v>
      </c>
      <c r="DE129" s="228">
        <v>24.74</v>
      </c>
      <c r="DF129" s="228">
        <v>0.05</v>
      </c>
      <c r="DG129" s="228">
        <v>-0.06</v>
      </c>
      <c r="DH129" s="228">
        <v>24.63</v>
      </c>
      <c r="DI129" s="228">
        <v>25.3</v>
      </c>
      <c r="DJ129" s="228">
        <v>-0.67</v>
      </c>
      <c r="DK129" s="228">
        <v>-0.67</v>
      </c>
      <c r="DL129" s="228">
        <v>25.01</v>
      </c>
      <c r="DM129" s="228">
        <v>24.53</v>
      </c>
      <c r="DN129" s="228">
        <v>0.48</v>
      </c>
      <c r="DO129" s="228">
        <v>0.48</v>
      </c>
      <c r="DP129" s="228">
        <v>1.06</v>
      </c>
      <c r="DQ129" s="228">
        <v>1.01</v>
      </c>
      <c r="DR129" s="228">
        <v>0.05</v>
      </c>
      <c r="DS129" s="229">
        <v>4.9500000000000002E-2</v>
      </c>
      <c r="DT129" s="228">
        <v>800</v>
      </c>
      <c r="DU129" s="228">
        <v>700</v>
      </c>
      <c r="DV129" s="228">
        <v>0.33</v>
      </c>
      <c r="DW129" s="228">
        <v>0.56000000000000005</v>
      </c>
      <c r="DX129" s="228">
        <v>-0.23</v>
      </c>
      <c r="DY129" s="229">
        <v>-0.41070000000000001</v>
      </c>
      <c r="DZ129" s="229">
        <v>4.8999999999999998E-3</v>
      </c>
      <c r="EA129" s="230">
        <v>115200</v>
      </c>
      <c r="EB129" s="229">
        <v>4.3E-3</v>
      </c>
      <c r="EC129" s="229">
        <v>4.8999999999999998E-3</v>
      </c>
      <c r="ED129" s="228">
        <v>3.51</v>
      </c>
      <c r="EE129" s="229">
        <v>4.7000000000000002E-3</v>
      </c>
      <c r="EF129" s="230">
        <v>1099156</v>
      </c>
      <c r="EG129" s="230">
        <v>1633679</v>
      </c>
      <c r="EH129" s="229">
        <v>-0.32719999999999999</v>
      </c>
      <c r="EI129" s="229">
        <v>0.59250000000000003</v>
      </c>
      <c r="EJ129" s="231">
        <v>29355.55</v>
      </c>
      <c r="EK129" s="231">
        <v>9257.5400000000009</v>
      </c>
      <c r="EL129" s="231">
        <v>12396.93</v>
      </c>
      <c r="EM129" s="231">
        <v>3019</v>
      </c>
      <c r="EN129" s="231">
        <v>51010.02</v>
      </c>
      <c r="EO129" s="231">
        <v>169230.62</v>
      </c>
      <c r="EP129" s="231">
        <v>-118220.6</v>
      </c>
      <c r="EQ129" s="229">
        <v>-0.6986</v>
      </c>
      <c r="ER129" s="231">
        <v>31184</v>
      </c>
      <c r="ES129" s="231">
        <v>30661</v>
      </c>
      <c r="ET129" s="231">
        <v>198587</v>
      </c>
      <c r="EU129" s="231">
        <v>77572761</v>
      </c>
      <c r="EV129" s="231">
        <v>260432</v>
      </c>
      <c r="EW129" s="231">
        <v>256206</v>
      </c>
      <c r="EX129" s="231">
        <v>4226</v>
      </c>
      <c r="EY129" s="229">
        <v>1.6500000000000001E-2</v>
      </c>
      <c r="EZ129" s="229">
        <v>0.44729999999999998</v>
      </c>
      <c r="FA129" s="227" t="s">
        <v>237</v>
      </c>
      <c r="FB129" s="161">
        <f t="shared" si="1"/>
        <v>129600</v>
      </c>
    </row>
    <row r="130" spans="1:158" ht="17.25" thickBot="1" x14ac:dyDescent="0.3">
      <c r="A130" s="226">
        <v>46121</v>
      </c>
      <c r="B130" s="227" t="s">
        <v>162</v>
      </c>
      <c r="C130" s="227" t="s">
        <v>255</v>
      </c>
      <c r="D130" s="228">
        <v>50</v>
      </c>
      <c r="E130" s="231">
        <v>13609</v>
      </c>
      <c r="F130" s="231">
        <v>13632</v>
      </c>
      <c r="G130" s="228">
        <v>-23</v>
      </c>
      <c r="H130" s="229">
        <v>-1.6999999999999999E-3</v>
      </c>
      <c r="I130" s="231">
        <v>13589</v>
      </c>
      <c r="J130" s="231">
        <v>13602</v>
      </c>
      <c r="K130" s="228">
        <v>-13</v>
      </c>
      <c r="L130" s="229">
        <v>-1E-3</v>
      </c>
      <c r="M130" s="231">
        <v>13609</v>
      </c>
      <c r="N130" s="231">
        <v>13632</v>
      </c>
      <c r="O130" s="228">
        <v>-23</v>
      </c>
      <c r="P130" s="229">
        <v>-1.6999999999999999E-3</v>
      </c>
      <c r="Q130" s="231">
        <v>13687</v>
      </c>
      <c r="R130" s="231">
        <v>13712</v>
      </c>
      <c r="S130" s="228">
        <v>-25</v>
      </c>
      <c r="T130" s="229">
        <v>-1.8E-3</v>
      </c>
      <c r="U130" s="231">
        <v>13773</v>
      </c>
      <c r="V130" s="231">
        <v>13795</v>
      </c>
      <c r="W130" s="228">
        <v>-22</v>
      </c>
      <c r="X130" s="229">
        <v>-1.6000000000000001E-3</v>
      </c>
      <c r="Y130" s="228">
        <v>20</v>
      </c>
      <c r="Z130" s="228">
        <v>30</v>
      </c>
      <c r="AA130" s="228">
        <v>-10</v>
      </c>
      <c r="AB130" s="229">
        <v>1.5E-3</v>
      </c>
      <c r="AC130" s="228">
        <v>20</v>
      </c>
      <c r="AD130" s="228">
        <v>30</v>
      </c>
      <c r="AE130" s="228">
        <v>-10</v>
      </c>
      <c r="AF130" s="229">
        <v>1.5E-3</v>
      </c>
      <c r="AG130" s="228">
        <v>98</v>
      </c>
      <c r="AH130" s="228">
        <v>110</v>
      </c>
      <c r="AI130" s="228">
        <v>-12</v>
      </c>
      <c r="AJ130" s="229">
        <v>7.1999999999999998E-3</v>
      </c>
      <c r="AK130" s="228">
        <v>184</v>
      </c>
      <c r="AL130" s="228">
        <v>193</v>
      </c>
      <c r="AM130" s="228">
        <v>-9</v>
      </c>
      <c r="AN130" s="229">
        <v>1.35E-2</v>
      </c>
      <c r="AO130" s="231">
        <v>13653.92</v>
      </c>
      <c r="AP130" s="231">
        <v>13698.64</v>
      </c>
      <c r="AQ130" s="228">
        <v>0</v>
      </c>
      <c r="AR130" s="230">
        <v>767850</v>
      </c>
      <c r="AS130" s="230">
        <v>1052550</v>
      </c>
      <c r="AT130" s="230">
        <v>-284700</v>
      </c>
      <c r="AU130" s="229">
        <v>-0.27050000000000002</v>
      </c>
      <c r="AV130" s="230">
        <v>740000</v>
      </c>
      <c r="AW130" s="230">
        <v>1018700</v>
      </c>
      <c r="AX130" s="230">
        <v>-278700</v>
      </c>
      <c r="AY130" s="229">
        <v>-0.27360000000000001</v>
      </c>
      <c r="AZ130" s="230">
        <v>26550</v>
      </c>
      <c r="BA130" s="230">
        <v>29600</v>
      </c>
      <c r="BB130" s="230">
        <v>-3050</v>
      </c>
      <c r="BC130" s="229">
        <v>-0.10299999999999999</v>
      </c>
      <c r="BD130" s="230">
        <v>1300</v>
      </c>
      <c r="BE130" s="230">
        <v>4250</v>
      </c>
      <c r="BF130" s="230">
        <v>-2950</v>
      </c>
      <c r="BG130" s="229">
        <v>-0.69410000000000005</v>
      </c>
      <c r="BH130" s="230">
        <v>3407650</v>
      </c>
      <c r="BI130" s="230">
        <v>4424050</v>
      </c>
      <c r="BJ130" s="230">
        <v>-1016400</v>
      </c>
      <c r="BK130" s="229">
        <v>-0.22969999999999999</v>
      </c>
      <c r="BL130" s="230">
        <v>1817400</v>
      </c>
      <c r="BM130" s="230">
        <v>2409550</v>
      </c>
      <c r="BN130" s="230">
        <v>-592150</v>
      </c>
      <c r="BO130" s="229">
        <v>-0.24579999999999999</v>
      </c>
      <c r="BP130" s="230">
        <v>5992900</v>
      </c>
      <c r="BQ130" s="230">
        <v>7886150</v>
      </c>
      <c r="BR130" s="230">
        <v>-1893250</v>
      </c>
      <c r="BS130" s="229">
        <v>-0.24010000000000001</v>
      </c>
      <c r="BT130" s="230">
        <v>601203</v>
      </c>
      <c r="BU130" s="230">
        <v>1069603</v>
      </c>
      <c r="BV130" s="230">
        <v>-468400</v>
      </c>
      <c r="BW130" s="229">
        <v>-0.43790000000000001</v>
      </c>
      <c r="BX130" s="230">
        <v>3349350</v>
      </c>
      <c r="BY130" s="230">
        <v>3399700</v>
      </c>
      <c r="BZ130" s="230">
        <v>-50350</v>
      </c>
      <c r="CA130" s="229">
        <v>-1.4800000000000001E-2</v>
      </c>
      <c r="CB130" s="230">
        <v>3049550</v>
      </c>
      <c r="CC130" s="230">
        <v>3105550</v>
      </c>
      <c r="CD130" s="230">
        <v>-56000</v>
      </c>
      <c r="CE130" s="229">
        <v>-1.7999999999999999E-2</v>
      </c>
      <c r="CF130" s="230">
        <v>264150</v>
      </c>
      <c r="CG130" s="230">
        <v>258450</v>
      </c>
      <c r="CH130" s="230">
        <v>5700</v>
      </c>
      <c r="CI130" s="229">
        <v>2.2100000000000002E-2</v>
      </c>
      <c r="CJ130" s="230">
        <v>35650</v>
      </c>
      <c r="CK130" s="230">
        <v>35700</v>
      </c>
      <c r="CL130" s="228">
        <v>-50</v>
      </c>
      <c r="CM130" s="229">
        <v>-1.4E-3</v>
      </c>
      <c r="CN130" s="230">
        <v>1479750</v>
      </c>
      <c r="CO130" s="230">
        <v>1298750</v>
      </c>
      <c r="CP130" s="230">
        <v>181000</v>
      </c>
      <c r="CQ130" s="229">
        <v>0.1394</v>
      </c>
      <c r="CR130" s="230">
        <v>935800</v>
      </c>
      <c r="CS130" s="230">
        <v>895550</v>
      </c>
      <c r="CT130" s="230">
        <v>40250</v>
      </c>
      <c r="CU130" s="229">
        <v>4.4900000000000002E-2</v>
      </c>
      <c r="CV130" s="230">
        <v>5764900</v>
      </c>
      <c r="CW130" s="230">
        <v>5594000</v>
      </c>
      <c r="CX130" s="230">
        <v>170900</v>
      </c>
      <c r="CY130" s="229">
        <v>3.0599999999999999E-2</v>
      </c>
      <c r="CZ130" s="228">
        <v>30.9</v>
      </c>
      <c r="DA130" s="228">
        <v>28.89</v>
      </c>
      <c r="DB130" s="228">
        <v>2.0099999999999998</v>
      </c>
      <c r="DC130" s="228">
        <v>2.0099999999999998</v>
      </c>
      <c r="DD130" s="228">
        <v>28.5</v>
      </c>
      <c r="DE130" s="228">
        <v>28.57</v>
      </c>
      <c r="DF130" s="228">
        <v>2.4</v>
      </c>
      <c r="DG130" s="228">
        <v>-7.0000000000000007E-2</v>
      </c>
      <c r="DH130" s="228">
        <v>29.76</v>
      </c>
      <c r="DI130" s="228">
        <v>27.67</v>
      </c>
      <c r="DJ130" s="228">
        <v>2.09</v>
      </c>
      <c r="DK130" s="228">
        <v>2.09</v>
      </c>
      <c r="DL130" s="228">
        <v>33.020000000000003</v>
      </c>
      <c r="DM130" s="228">
        <v>31.14</v>
      </c>
      <c r="DN130" s="228">
        <v>1.88</v>
      </c>
      <c r="DO130" s="228">
        <v>1.88</v>
      </c>
      <c r="DP130" s="228">
        <v>0.63</v>
      </c>
      <c r="DQ130" s="228">
        <v>0.69</v>
      </c>
      <c r="DR130" s="228">
        <v>-0.06</v>
      </c>
      <c r="DS130" s="229">
        <v>-8.6999999999999994E-2</v>
      </c>
      <c r="DT130" s="231">
        <v>15000</v>
      </c>
      <c r="DU130" s="231">
        <v>13000</v>
      </c>
      <c r="DV130" s="228">
        <v>0.53</v>
      </c>
      <c r="DW130" s="228">
        <v>0.54</v>
      </c>
      <c r="DX130" s="228">
        <v>-0.01</v>
      </c>
      <c r="DY130" s="229">
        <v>-1.8499999999999999E-2</v>
      </c>
      <c r="DZ130" s="229">
        <v>8.9499999999999996E-2</v>
      </c>
      <c r="EA130" s="230">
        <v>294150</v>
      </c>
      <c r="EB130" s="229">
        <v>5.7000000000000002E-3</v>
      </c>
      <c r="EC130" s="229">
        <v>8.9499999999999996E-2</v>
      </c>
      <c r="ED130" s="228">
        <v>44.72</v>
      </c>
      <c r="EE130" s="229">
        <v>3.3E-3</v>
      </c>
      <c r="EF130" s="230">
        <v>238896</v>
      </c>
      <c r="EG130" s="230">
        <v>668233</v>
      </c>
      <c r="EH130" s="229">
        <v>-0.64249999999999996</v>
      </c>
      <c r="EI130" s="229">
        <v>0.39739999999999998</v>
      </c>
      <c r="EJ130" s="231">
        <v>492168.67</v>
      </c>
      <c r="EK130" s="231">
        <v>238209.03</v>
      </c>
      <c r="EL130" s="231">
        <v>104855.24</v>
      </c>
      <c r="EM130" s="231">
        <v>11820</v>
      </c>
      <c r="EN130" s="231">
        <v>835232.94</v>
      </c>
      <c r="EO130" s="231">
        <v>1088704.45</v>
      </c>
      <c r="EP130" s="231">
        <v>-253471.51</v>
      </c>
      <c r="EQ130" s="229">
        <v>-0.23280000000000001</v>
      </c>
      <c r="ER130" s="231">
        <v>204920</v>
      </c>
      <c r="ES130" s="231">
        <v>117575</v>
      </c>
      <c r="ET130" s="231">
        <v>456078</v>
      </c>
      <c r="EU130" s="231">
        <v>19673414</v>
      </c>
      <c r="EV130" s="231">
        <v>778572</v>
      </c>
      <c r="EW130" s="231">
        <v>754654</v>
      </c>
      <c r="EX130" s="231">
        <v>23918</v>
      </c>
      <c r="EY130" s="229">
        <v>3.1699999999999999E-2</v>
      </c>
      <c r="EZ130" s="229">
        <v>0.29299999999999998</v>
      </c>
      <c r="FA130" s="227" t="s">
        <v>567</v>
      </c>
      <c r="FB130" s="161">
        <f t="shared" si="1"/>
        <v>299800</v>
      </c>
    </row>
    <row r="131" spans="1:158" ht="17.25" thickBot="1" x14ac:dyDescent="0.3">
      <c r="A131" s="226">
        <v>46121</v>
      </c>
      <c r="B131" s="227" t="s">
        <v>170</v>
      </c>
      <c r="C131" s="227" t="s">
        <v>602</v>
      </c>
      <c r="D131" s="228">
        <v>525</v>
      </c>
      <c r="E131" s="228">
        <v>957.05</v>
      </c>
      <c r="F131" s="228">
        <v>946.1</v>
      </c>
      <c r="G131" s="228">
        <v>10.95</v>
      </c>
      <c r="H131" s="229">
        <v>1.1599999999999999E-2</v>
      </c>
      <c r="I131" s="228">
        <v>954.95</v>
      </c>
      <c r="J131" s="228">
        <v>941.15</v>
      </c>
      <c r="K131" s="228">
        <v>13.8</v>
      </c>
      <c r="L131" s="229">
        <v>1.47E-2</v>
      </c>
      <c r="M131" s="228">
        <v>957.05</v>
      </c>
      <c r="N131" s="228">
        <v>946.1</v>
      </c>
      <c r="O131" s="228">
        <v>10.95</v>
      </c>
      <c r="P131" s="229">
        <v>1.1599999999999999E-2</v>
      </c>
      <c r="Q131" s="228">
        <v>963.3</v>
      </c>
      <c r="R131" s="228">
        <v>951.2</v>
      </c>
      <c r="S131" s="228">
        <v>12.1</v>
      </c>
      <c r="T131" s="229">
        <v>1.2699999999999999E-2</v>
      </c>
      <c r="U131" s="228">
        <v>969.6</v>
      </c>
      <c r="V131" s="228">
        <v>956.7</v>
      </c>
      <c r="W131" s="228">
        <v>12.9</v>
      </c>
      <c r="X131" s="229">
        <v>1.35E-2</v>
      </c>
      <c r="Y131" s="228">
        <v>2.1</v>
      </c>
      <c r="Z131" s="228">
        <v>4.95</v>
      </c>
      <c r="AA131" s="228">
        <v>-2.85</v>
      </c>
      <c r="AB131" s="229">
        <v>2.2000000000000001E-3</v>
      </c>
      <c r="AC131" s="228">
        <v>2.1</v>
      </c>
      <c r="AD131" s="228">
        <v>4.95</v>
      </c>
      <c r="AE131" s="228">
        <v>-2.85</v>
      </c>
      <c r="AF131" s="229">
        <v>2.2000000000000001E-3</v>
      </c>
      <c r="AG131" s="228">
        <v>8.35</v>
      </c>
      <c r="AH131" s="228">
        <v>10.050000000000001</v>
      </c>
      <c r="AI131" s="228">
        <v>-1.7</v>
      </c>
      <c r="AJ131" s="229">
        <v>8.6999999999999994E-3</v>
      </c>
      <c r="AK131" s="228">
        <v>14.65</v>
      </c>
      <c r="AL131" s="228">
        <v>15.55</v>
      </c>
      <c r="AM131" s="228">
        <v>-0.9</v>
      </c>
      <c r="AN131" s="229">
        <v>1.5299999999999999E-2</v>
      </c>
      <c r="AO131" s="228">
        <v>956.59</v>
      </c>
      <c r="AP131" s="228">
        <v>962.74</v>
      </c>
      <c r="AQ131" s="228">
        <v>0</v>
      </c>
      <c r="AR131" s="230">
        <v>2625000</v>
      </c>
      <c r="AS131" s="230">
        <v>2429700</v>
      </c>
      <c r="AT131" s="230">
        <v>195300</v>
      </c>
      <c r="AU131" s="229">
        <v>8.0399999999999999E-2</v>
      </c>
      <c r="AV131" s="230">
        <v>2440200</v>
      </c>
      <c r="AW131" s="230">
        <v>2176650</v>
      </c>
      <c r="AX131" s="230">
        <v>263550</v>
      </c>
      <c r="AY131" s="229">
        <v>0.1211</v>
      </c>
      <c r="AZ131" s="230">
        <v>159600</v>
      </c>
      <c r="BA131" s="230">
        <v>223650</v>
      </c>
      <c r="BB131" s="230">
        <v>-64050</v>
      </c>
      <c r="BC131" s="229">
        <v>-0.28639999999999999</v>
      </c>
      <c r="BD131" s="230">
        <v>25200</v>
      </c>
      <c r="BE131" s="230">
        <v>29400</v>
      </c>
      <c r="BF131" s="230">
        <v>-4200</v>
      </c>
      <c r="BG131" s="229">
        <v>-0.1429</v>
      </c>
      <c r="BH131" s="230">
        <v>6087900</v>
      </c>
      <c r="BI131" s="230">
        <v>4285050</v>
      </c>
      <c r="BJ131" s="230">
        <v>1802850</v>
      </c>
      <c r="BK131" s="229">
        <v>0.42070000000000002</v>
      </c>
      <c r="BL131" s="230">
        <v>1592325</v>
      </c>
      <c r="BM131" s="230">
        <v>2125200</v>
      </c>
      <c r="BN131" s="230">
        <v>-532875</v>
      </c>
      <c r="BO131" s="229">
        <v>-0.25069999999999998</v>
      </c>
      <c r="BP131" s="230">
        <v>10305225</v>
      </c>
      <c r="BQ131" s="230">
        <v>8839950</v>
      </c>
      <c r="BR131" s="230">
        <v>1465275</v>
      </c>
      <c r="BS131" s="229">
        <v>0.1658</v>
      </c>
      <c r="BT131" s="230">
        <v>4441896</v>
      </c>
      <c r="BU131" s="230">
        <v>4738392</v>
      </c>
      <c r="BV131" s="230">
        <v>-296496</v>
      </c>
      <c r="BW131" s="229">
        <v>-6.2600000000000003E-2</v>
      </c>
      <c r="BX131" s="230">
        <v>14449575</v>
      </c>
      <c r="BY131" s="230">
        <v>14507325</v>
      </c>
      <c r="BZ131" s="230">
        <v>-57750</v>
      </c>
      <c r="CA131" s="229">
        <v>-4.0000000000000001E-3</v>
      </c>
      <c r="CB131" s="230">
        <v>13763400</v>
      </c>
      <c r="CC131" s="230">
        <v>13859475</v>
      </c>
      <c r="CD131" s="230">
        <v>-96075</v>
      </c>
      <c r="CE131" s="229">
        <v>-6.8999999999999999E-3</v>
      </c>
      <c r="CF131" s="230">
        <v>583275</v>
      </c>
      <c r="CG131" s="230">
        <v>552825</v>
      </c>
      <c r="CH131" s="230">
        <v>30450</v>
      </c>
      <c r="CI131" s="229">
        <v>5.5100000000000003E-2</v>
      </c>
      <c r="CJ131" s="230">
        <v>102900</v>
      </c>
      <c r="CK131" s="230">
        <v>95025</v>
      </c>
      <c r="CL131" s="230">
        <v>7875</v>
      </c>
      <c r="CM131" s="229">
        <v>8.2900000000000001E-2</v>
      </c>
      <c r="CN131" s="230">
        <v>2525775</v>
      </c>
      <c r="CO131" s="230">
        <v>2565675</v>
      </c>
      <c r="CP131" s="230">
        <v>-39900</v>
      </c>
      <c r="CQ131" s="229">
        <v>-1.5599999999999999E-2</v>
      </c>
      <c r="CR131" s="230">
        <v>1644300</v>
      </c>
      <c r="CS131" s="230">
        <v>1527750</v>
      </c>
      <c r="CT131" s="230">
        <v>116550</v>
      </c>
      <c r="CU131" s="229">
        <v>7.6300000000000007E-2</v>
      </c>
      <c r="CV131" s="230">
        <v>18619650</v>
      </c>
      <c r="CW131" s="230">
        <v>18600750</v>
      </c>
      <c r="CX131" s="230">
        <v>18900</v>
      </c>
      <c r="CY131" s="229">
        <v>1E-3</v>
      </c>
      <c r="CZ131" s="228">
        <v>30.87</v>
      </c>
      <c r="DA131" s="228">
        <v>31.48</v>
      </c>
      <c r="DB131" s="228">
        <v>-0.61</v>
      </c>
      <c r="DC131" s="228">
        <v>-0.61</v>
      </c>
      <c r="DD131" s="228">
        <v>36.29</v>
      </c>
      <c r="DE131" s="228">
        <v>36.33</v>
      </c>
      <c r="DF131" s="228">
        <v>-5.42</v>
      </c>
      <c r="DG131" s="228">
        <v>-0.04</v>
      </c>
      <c r="DH131" s="228">
        <v>30.71</v>
      </c>
      <c r="DI131" s="228">
        <v>31.18</v>
      </c>
      <c r="DJ131" s="228">
        <v>-0.47</v>
      </c>
      <c r="DK131" s="228">
        <v>-0.47</v>
      </c>
      <c r="DL131" s="228">
        <v>31.47</v>
      </c>
      <c r="DM131" s="228">
        <v>32.090000000000003</v>
      </c>
      <c r="DN131" s="228">
        <v>-0.62</v>
      </c>
      <c r="DO131" s="228">
        <v>-0.62</v>
      </c>
      <c r="DP131" s="228">
        <v>0.65</v>
      </c>
      <c r="DQ131" s="228">
        <v>0.6</v>
      </c>
      <c r="DR131" s="228">
        <v>0.05</v>
      </c>
      <c r="DS131" s="229">
        <v>8.3299999999999999E-2</v>
      </c>
      <c r="DT131" s="231">
        <v>1000</v>
      </c>
      <c r="DU131" s="228">
        <v>950</v>
      </c>
      <c r="DV131" s="228">
        <v>0.26</v>
      </c>
      <c r="DW131" s="228">
        <v>0.5</v>
      </c>
      <c r="DX131" s="228">
        <v>-0.24</v>
      </c>
      <c r="DY131" s="229">
        <v>-0.48</v>
      </c>
      <c r="DZ131" s="229">
        <v>4.7500000000000001E-2</v>
      </c>
      <c r="EA131" s="230">
        <v>647850</v>
      </c>
      <c r="EB131" s="229">
        <v>6.4999999999999997E-3</v>
      </c>
      <c r="EC131" s="229">
        <v>4.7500000000000001E-2</v>
      </c>
      <c r="ED131" s="228">
        <v>6.15</v>
      </c>
      <c r="EE131" s="229">
        <v>6.4000000000000003E-3</v>
      </c>
      <c r="EF131" s="230">
        <v>2676354</v>
      </c>
      <c r="EG131" s="230">
        <v>3244723</v>
      </c>
      <c r="EH131" s="229">
        <v>-0.17519999999999999</v>
      </c>
      <c r="EI131" s="229">
        <v>0.60250000000000004</v>
      </c>
      <c r="EJ131" s="231">
        <v>60674.53</v>
      </c>
      <c r="EK131" s="231">
        <v>15132.37</v>
      </c>
      <c r="EL131" s="231">
        <v>25123.27</v>
      </c>
      <c r="EM131" s="231">
        <v>4658</v>
      </c>
      <c r="EN131" s="231">
        <v>100930.17</v>
      </c>
      <c r="EO131" s="231">
        <v>85836.34</v>
      </c>
      <c r="EP131" s="231">
        <v>15093.83</v>
      </c>
      <c r="EQ131" s="229">
        <v>0.17580000000000001</v>
      </c>
      <c r="ER131" s="231">
        <v>25335</v>
      </c>
      <c r="ES131" s="231">
        <v>15606</v>
      </c>
      <c r="ET131" s="231">
        <v>138339</v>
      </c>
      <c r="EU131" s="231">
        <v>111298748</v>
      </c>
      <c r="EV131" s="231">
        <v>179280</v>
      </c>
      <c r="EW131" s="231">
        <v>177459</v>
      </c>
      <c r="EX131" s="231">
        <v>1821</v>
      </c>
      <c r="EY131" s="229">
        <v>1.03E-2</v>
      </c>
      <c r="EZ131" s="229">
        <v>0.1673</v>
      </c>
      <c r="FA131" s="227" t="s">
        <v>694</v>
      </c>
      <c r="FB131" s="161">
        <f t="shared" ref="FB131:FB138" si="2">BX131-CB131</f>
        <v>686175</v>
      </c>
    </row>
    <row r="132" spans="1:158" ht="17.25" thickBot="1" x14ac:dyDescent="0.3">
      <c r="A132" s="226">
        <v>46121</v>
      </c>
      <c r="B132" s="227" t="s">
        <v>215</v>
      </c>
      <c r="C132" s="227" t="s">
        <v>671</v>
      </c>
      <c r="D132" s="228">
        <v>200</v>
      </c>
      <c r="E132" s="231">
        <v>2448.4</v>
      </c>
      <c r="F132" s="231">
        <v>2403.9</v>
      </c>
      <c r="G132" s="228">
        <v>44.5</v>
      </c>
      <c r="H132" s="229">
        <v>1.8499999999999999E-2</v>
      </c>
      <c r="I132" s="231">
        <v>2435.5</v>
      </c>
      <c r="J132" s="231">
        <v>2395</v>
      </c>
      <c r="K132" s="228">
        <v>40.5</v>
      </c>
      <c r="L132" s="229">
        <v>1.6899999999999998E-2</v>
      </c>
      <c r="M132" s="231">
        <v>2448.4</v>
      </c>
      <c r="N132" s="231">
        <v>2403.9</v>
      </c>
      <c r="O132" s="228">
        <v>44.5</v>
      </c>
      <c r="P132" s="229">
        <v>1.8499999999999999E-2</v>
      </c>
      <c r="Q132" s="231">
        <v>2458.1999999999998</v>
      </c>
      <c r="R132" s="231">
        <v>2412.4</v>
      </c>
      <c r="S132" s="228">
        <v>45.8</v>
      </c>
      <c r="T132" s="229">
        <v>1.9E-2</v>
      </c>
      <c r="U132" s="231">
        <v>2467.8000000000002</v>
      </c>
      <c r="V132" s="231">
        <v>2428.1999999999998</v>
      </c>
      <c r="W132" s="228">
        <v>39.6</v>
      </c>
      <c r="X132" s="229">
        <v>1.6299999999999999E-2</v>
      </c>
      <c r="Y132" s="228">
        <v>12.9</v>
      </c>
      <c r="Z132" s="228">
        <v>8.9</v>
      </c>
      <c r="AA132" s="228">
        <v>4</v>
      </c>
      <c r="AB132" s="229">
        <v>5.3E-3</v>
      </c>
      <c r="AC132" s="228">
        <v>12.9</v>
      </c>
      <c r="AD132" s="228">
        <v>8.9</v>
      </c>
      <c r="AE132" s="228">
        <v>4</v>
      </c>
      <c r="AF132" s="229">
        <v>5.3E-3</v>
      </c>
      <c r="AG132" s="228">
        <v>22.7</v>
      </c>
      <c r="AH132" s="228">
        <v>17.399999999999999</v>
      </c>
      <c r="AI132" s="228">
        <v>5.3</v>
      </c>
      <c r="AJ132" s="229">
        <v>9.2999999999999992E-3</v>
      </c>
      <c r="AK132" s="228">
        <v>32.299999999999997</v>
      </c>
      <c r="AL132" s="228">
        <v>33.200000000000003</v>
      </c>
      <c r="AM132" s="228">
        <v>-0.9</v>
      </c>
      <c r="AN132" s="229">
        <v>1.3299999999999999E-2</v>
      </c>
      <c r="AO132" s="231">
        <v>2449.62</v>
      </c>
      <c r="AP132" s="231">
        <v>2457.79</v>
      </c>
      <c r="AQ132" s="228">
        <v>0</v>
      </c>
      <c r="AR132" s="230">
        <v>1262800</v>
      </c>
      <c r="AS132" s="230">
        <v>849600</v>
      </c>
      <c r="AT132" s="230">
        <v>413200</v>
      </c>
      <c r="AU132" s="229">
        <v>0.48630000000000001</v>
      </c>
      <c r="AV132" s="230">
        <v>1165800</v>
      </c>
      <c r="AW132" s="230">
        <v>779200</v>
      </c>
      <c r="AX132" s="230">
        <v>386600</v>
      </c>
      <c r="AY132" s="229">
        <v>0.49609999999999999</v>
      </c>
      <c r="AZ132" s="230">
        <v>86000</v>
      </c>
      <c r="BA132" s="230">
        <v>64800</v>
      </c>
      <c r="BB132" s="230">
        <v>21200</v>
      </c>
      <c r="BC132" s="229">
        <v>0.32719999999999999</v>
      </c>
      <c r="BD132" s="230">
        <v>11000</v>
      </c>
      <c r="BE132" s="230">
        <v>5600</v>
      </c>
      <c r="BF132" s="230">
        <v>5400</v>
      </c>
      <c r="BG132" s="229">
        <v>0.96430000000000005</v>
      </c>
      <c r="BH132" s="230">
        <v>9019400</v>
      </c>
      <c r="BI132" s="230">
        <v>3534600</v>
      </c>
      <c r="BJ132" s="230">
        <v>5484800</v>
      </c>
      <c r="BK132" s="229">
        <v>1.5517000000000001</v>
      </c>
      <c r="BL132" s="230">
        <v>2901800</v>
      </c>
      <c r="BM132" s="230">
        <v>1471800</v>
      </c>
      <c r="BN132" s="230">
        <v>1430000</v>
      </c>
      <c r="BO132" s="229">
        <v>0.97160000000000002</v>
      </c>
      <c r="BP132" s="230">
        <v>13184000</v>
      </c>
      <c r="BQ132" s="230">
        <v>5856000</v>
      </c>
      <c r="BR132" s="230">
        <v>7328000</v>
      </c>
      <c r="BS132" s="229">
        <v>1.2514000000000001</v>
      </c>
      <c r="BT132" s="230">
        <v>3034912</v>
      </c>
      <c r="BU132" s="230">
        <v>2094326</v>
      </c>
      <c r="BV132" s="230">
        <v>940586</v>
      </c>
      <c r="BW132" s="229">
        <v>0.4491</v>
      </c>
      <c r="BX132" s="230">
        <v>4515800</v>
      </c>
      <c r="BY132" s="230">
        <v>4438200</v>
      </c>
      <c r="BZ132" s="230">
        <v>77600</v>
      </c>
      <c r="CA132" s="229">
        <v>1.7500000000000002E-2</v>
      </c>
      <c r="CB132" s="230">
        <v>4339000</v>
      </c>
      <c r="CC132" s="230">
        <v>4273600</v>
      </c>
      <c r="CD132" s="230">
        <v>65400</v>
      </c>
      <c r="CE132" s="229">
        <v>1.5299999999999999E-2</v>
      </c>
      <c r="CF132" s="230">
        <v>160400</v>
      </c>
      <c r="CG132" s="230">
        <v>155600</v>
      </c>
      <c r="CH132" s="230">
        <v>4800</v>
      </c>
      <c r="CI132" s="229">
        <v>3.0800000000000001E-2</v>
      </c>
      <c r="CJ132" s="230">
        <v>16400</v>
      </c>
      <c r="CK132" s="230">
        <v>9000</v>
      </c>
      <c r="CL132" s="230">
        <v>7400</v>
      </c>
      <c r="CM132" s="229">
        <v>0.82220000000000004</v>
      </c>
      <c r="CN132" s="230">
        <v>2592600</v>
      </c>
      <c r="CO132" s="230">
        <v>2411000</v>
      </c>
      <c r="CP132" s="230">
        <v>181600</v>
      </c>
      <c r="CQ132" s="229">
        <v>7.5300000000000006E-2</v>
      </c>
      <c r="CR132" s="230">
        <v>2130400</v>
      </c>
      <c r="CS132" s="230">
        <v>1914400</v>
      </c>
      <c r="CT132" s="230">
        <v>216000</v>
      </c>
      <c r="CU132" s="229">
        <v>0.1128</v>
      </c>
      <c r="CV132" s="230">
        <v>9238800</v>
      </c>
      <c r="CW132" s="230">
        <v>8763600</v>
      </c>
      <c r="CX132" s="230">
        <v>475200</v>
      </c>
      <c r="CY132" s="229">
        <v>5.4199999999999998E-2</v>
      </c>
      <c r="CZ132" s="228">
        <v>43.78</v>
      </c>
      <c r="DA132" s="228">
        <v>42.98</v>
      </c>
      <c r="DB132" s="228">
        <v>0.8</v>
      </c>
      <c r="DC132" s="228">
        <v>0.8</v>
      </c>
      <c r="DD132" s="228">
        <v>56.72</v>
      </c>
      <c r="DE132" s="228">
        <v>56.81</v>
      </c>
      <c r="DF132" s="228">
        <v>-12.94</v>
      </c>
      <c r="DG132" s="228">
        <v>-0.09</v>
      </c>
      <c r="DH132" s="228">
        <v>43.47</v>
      </c>
      <c r="DI132" s="228">
        <v>42.31</v>
      </c>
      <c r="DJ132" s="228">
        <v>1.1599999999999999</v>
      </c>
      <c r="DK132" s="228">
        <v>1.1599999999999999</v>
      </c>
      <c r="DL132" s="228">
        <v>44.72</v>
      </c>
      <c r="DM132" s="228">
        <v>44.57</v>
      </c>
      <c r="DN132" s="228">
        <v>0.15</v>
      </c>
      <c r="DO132" s="228">
        <v>0.15</v>
      </c>
      <c r="DP132" s="228">
        <v>0.82</v>
      </c>
      <c r="DQ132" s="228">
        <v>0.79</v>
      </c>
      <c r="DR132" s="228">
        <v>0.03</v>
      </c>
      <c r="DS132" s="229">
        <v>3.7999999999999999E-2</v>
      </c>
      <c r="DT132" s="231">
        <v>2500</v>
      </c>
      <c r="DU132" s="231">
        <v>2200</v>
      </c>
      <c r="DV132" s="228">
        <v>0.32</v>
      </c>
      <c r="DW132" s="228">
        <v>0.42</v>
      </c>
      <c r="DX132" s="228">
        <v>-0.1</v>
      </c>
      <c r="DY132" s="229">
        <v>-0.23810000000000001</v>
      </c>
      <c r="DZ132" s="229">
        <v>3.9199999999999999E-2</v>
      </c>
      <c r="EA132" s="230">
        <v>164600</v>
      </c>
      <c r="EB132" s="229">
        <v>4.0000000000000001E-3</v>
      </c>
      <c r="EC132" s="229">
        <v>3.9199999999999999E-2</v>
      </c>
      <c r="ED132" s="228">
        <v>8.17</v>
      </c>
      <c r="EE132" s="229">
        <v>3.3E-3</v>
      </c>
      <c r="EF132" s="230">
        <v>674980</v>
      </c>
      <c r="EG132" s="230">
        <v>509576</v>
      </c>
      <c r="EH132" s="229">
        <v>0.3246</v>
      </c>
      <c r="EI132" s="229">
        <v>0.22239999999999999</v>
      </c>
      <c r="EJ132" s="231">
        <v>234343.52</v>
      </c>
      <c r="EK132" s="231">
        <v>70505.42</v>
      </c>
      <c r="EL132" s="231">
        <v>30942.71</v>
      </c>
      <c r="EM132" s="231">
        <v>4832</v>
      </c>
      <c r="EN132" s="231">
        <v>335791.65</v>
      </c>
      <c r="EO132" s="231">
        <v>144924.64000000001</v>
      </c>
      <c r="EP132" s="231">
        <v>190867.01</v>
      </c>
      <c r="EQ132" s="229">
        <v>1.3169999999999999</v>
      </c>
      <c r="ER132" s="231">
        <v>63742</v>
      </c>
      <c r="ES132" s="231">
        <v>47792</v>
      </c>
      <c r="ET132" s="231">
        <v>110584</v>
      </c>
      <c r="EU132" s="231">
        <v>11364224</v>
      </c>
      <c r="EV132" s="231">
        <v>222117</v>
      </c>
      <c r="EW132" s="231">
        <v>208187</v>
      </c>
      <c r="EX132" s="231">
        <v>13930</v>
      </c>
      <c r="EY132" s="229">
        <v>6.6900000000000001E-2</v>
      </c>
      <c r="EZ132" s="229">
        <v>0.81299999999999994</v>
      </c>
      <c r="FA132" s="227" t="s">
        <v>555</v>
      </c>
      <c r="FB132" s="161">
        <f t="shared" si="2"/>
        <v>176800</v>
      </c>
    </row>
    <row r="133" spans="1:158" ht="17.25" thickBot="1" x14ac:dyDescent="0.3">
      <c r="A133" s="226">
        <v>46121</v>
      </c>
      <c r="B133" s="227" t="s">
        <v>175</v>
      </c>
      <c r="C133" s="227" t="s">
        <v>517</v>
      </c>
      <c r="D133" s="228">
        <v>625</v>
      </c>
      <c r="E133" s="231">
        <v>2666.9</v>
      </c>
      <c r="F133" s="231">
        <v>2609.8000000000002</v>
      </c>
      <c r="G133" s="228">
        <v>57.1</v>
      </c>
      <c r="H133" s="229">
        <v>2.1899999999999999E-2</v>
      </c>
      <c r="I133" s="231">
        <v>2657.5</v>
      </c>
      <c r="J133" s="231">
        <v>2596.3000000000002</v>
      </c>
      <c r="K133" s="228">
        <v>61.2</v>
      </c>
      <c r="L133" s="229">
        <v>2.3599999999999999E-2</v>
      </c>
      <c r="M133" s="231">
        <v>2666.9</v>
      </c>
      <c r="N133" s="231">
        <v>2609.8000000000002</v>
      </c>
      <c r="O133" s="228">
        <v>57.1</v>
      </c>
      <c r="P133" s="229">
        <v>2.1899999999999999E-2</v>
      </c>
      <c r="Q133" s="231">
        <v>2681.8</v>
      </c>
      <c r="R133" s="231">
        <v>2623.3</v>
      </c>
      <c r="S133" s="228">
        <v>58.5</v>
      </c>
      <c r="T133" s="229">
        <v>2.23E-2</v>
      </c>
      <c r="U133" s="231">
        <v>2694.8</v>
      </c>
      <c r="V133" s="231">
        <v>2635.2</v>
      </c>
      <c r="W133" s="228">
        <v>59.6</v>
      </c>
      <c r="X133" s="229">
        <v>2.2599999999999999E-2</v>
      </c>
      <c r="Y133" s="228">
        <v>9.4</v>
      </c>
      <c r="Z133" s="228">
        <v>13.5</v>
      </c>
      <c r="AA133" s="228">
        <v>-4.0999999999999996</v>
      </c>
      <c r="AB133" s="229">
        <v>3.5000000000000001E-3</v>
      </c>
      <c r="AC133" s="228">
        <v>9.4</v>
      </c>
      <c r="AD133" s="228">
        <v>13.5</v>
      </c>
      <c r="AE133" s="228">
        <v>-4.0999999999999996</v>
      </c>
      <c r="AF133" s="229">
        <v>3.5000000000000001E-3</v>
      </c>
      <c r="AG133" s="228">
        <v>24.3</v>
      </c>
      <c r="AH133" s="228">
        <v>27</v>
      </c>
      <c r="AI133" s="228">
        <v>-2.7</v>
      </c>
      <c r="AJ133" s="229">
        <v>9.1000000000000004E-3</v>
      </c>
      <c r="AK133" s="228">
        <v>37.299999999999997</v>
      </c>
      <c r="AL133" s="228">
        <v>38.9</v>
      </c>
      <c r="AM133" s="228">
        <v>-1.6</v>
      </c>
      <c r="AN133" s="229">
        <v>1.4E-2</v>
      </c>
      <c r="AO133" s="231">
        <v>2658.29</v>
      </c>
      <c r="AP133" s="231">
        <v>2669.84</v>
      </c>
      <c r="AQ133" s="228">
        <v>0</v>
      </c>
      <c r="AR133" s="230">
        <v>3951875</v>
      </c>
      <c r="AS133" s="230">
        <v>4948750</v>
      </c>
      <c r="AT133" s="230">
        <v>-996875</v>
      </c>
      <c r="AU133" s="229">
        <v>-0.2014</v>
      </c>
      <c r="AV133" s="230">
        <v>3558125</v>
      </c>
      <c r="AW133" s="230">
        <v>4591875</v>
      </c>
      <c r="AX133" s="230">
        <v>-1033750</v>
      </c>
      <c r="AY133" s="229">
        <v>-0.22509999999999999</v>
      </c>
      <c r="AZ133" s="230">
        <v>300000</v>
      </c>
      <c r="BA133" s="230">
        <v>306875</v>
      </c>
      <c r="BB133" s="230">
        <v>-6875</v>
      </c>
      <c r="BC133" s="229">
        <v>-2.24E-2</v>
      </c>
      <c r="BD133" s="230">
        <v>93750</v>
      </c>
      <c r="BE133" s="230">
        <v>50000</v>
      </c>
      <c r="BF133" s="230">
        <v>43750</v>
      </c>
      <c r="BG133" s="229">
        <v>0.875</v>
      </c>
      <c r="BH133" s="230">
        <v>13364375</v>
      </c>
      <c r="BI133" s="230">
        <v>15757500</v>
      </c>
      <c r="BJ133" s="230">
        <v>-2393125</v>
      </c>
      <c r="BK133" s="229">
        <v>-0.15190000000000001</v>
      </c>
      <c r="BL133" s="230">
        <v>7681250</v>
      </c>
      <c r="BM133" s="230">
        <v>7971250</v>
      </c>
      <c r="BN133" s="230">
        <v>-290000</v>
      </c>
      <c r="BO133" s="229">
        <v>-3.6400000000000002E-2</v>
      </c>
      <c r="BP133" s="230">
        <v>24997500</v>
      </c>
      <c r="BQ133" s="230">
        <v>28677500</v>
      </c>
      <c r="BR133" s="230">
        <v>-3680000</v>
      </c>
      <c r="BS133" s="229">
        <v>-0.1283</v>
      </c>
      <c r="BT133" s="230">
        <v>4149599</v>
      </c>
      <c r="BU133" s="230">
        <v>4408157</v>
      </c>
      <c r="BV133" s="230">
        <v>-258558</v>
      </c>
      <c r="BW133" s="229">
        <v>-5.8700000000000002E-2</v>
      </c>
      <c r="BX133" s="230">
        <v>12935000</v>
      </c>
      <c r="BY133" s="230">
        <v>12803125</v>
      </c>
      <c r="BZ133" s="230">
        <v>131875</v>
      </c>
      <c r="CA133" s="229">
        <v>1.03E-2</v>
      </c>
      <c r="CB133" s="230">
        <v>12579375</v>
      </c>
      <c r="CC133" s="230">
        <v>12466250</v>
      </c>
      <c r="CD133" s="230">
        <v>113125</v>
      </c>
      <c r="CE133" s="229">
        <v>9.1000000000000004E-3</v>
      </c>
      <c r="CF133" s="230">
        <v>300625</v>
      </c>
      <c r="CG133" s="230">
        <v>290625</v>
      </c>
      <c r="CH133" s="230">
        <v>10000</v>
      </c>
      <c r="CI133" s="229">
        <v>3.44E-2</v>
      </c>
      <c r="CJ133" s="230">
        <v>55000</v>
      </c>
      <c r="CK133" s="230">
        <v>46250</v>
      </c>
      <c r="CL133" s="230">
        <v>8750</v>
      </c>
      <c r="CM133" s="229">
        <v>0.18920000000000001</v>
      </c>
      <c r="CN133" s="230">
        <v>5783750</v>
      </c>
      <c r="CO133" s="230">
        <v>5397500</v>
      </c>
      <c r="CP133" s="230">
        <v>386250</v>
      </c>
      <c r="CQ133" s="229">
        <v>7.1599999999999997E-2</v>
      </c>
      <c r="CR133" s="230">
        <v>5300625</v>
      </c>
      <c r="CS133" s="230">
        <v>4523750</v>
      </c>
      <c r="CT133" s="230">
        <v>776875</v>
      </c>
      <c r="CU133" s="229">
        <v>0.17169999999999999</v>
      </c>
      <c r="CV133" s="230">
        <v>24019375</v>
      </c>
      <c r="CW133" s="230">
        <v>22724375</v>
      </c>
      <c r="CX133" s="230">
        <v>1295000</v>
      </c>
      <c r="CY133" s="229">
        <v>5.7000000000000002E-2</v>
      </c>
      <c r="CZ133" s="228">
        <v>46.91</v>
      </c>
      <c r="DA133" s="228">
        <v>48.04</v>
      </c>
      <c r="DB133" s="228">
        <v>-1.1299999999999999</v>
      </c>
      <c r="DC133" s="228">
        <v>-1.1299999999999999</v>
      </c>
      <c r="DD133" s="228">
        <v>50.26</v>
      </c>
      <c r="DE133" s="228">
        <v>50.3</v>
      </c>
      <c r="DF133" s="228">
        <v>-3.35</v>
      </c>
      <c r="DG133" s="228">
        <v>-0.04</v>
      </c>
      <c r="DH133" s="228">
        <v>45.92</v>
      </c>
      <c r="DI133" s="228">
        <v>47.16</v>
      </c>
      <c r="DJ133" s="228">
        <v>-1.24</v>
      </c>
      <c r="DK133" s="228">
        <v>-1.24</v>
      </c>
      <c r="DL133" s="228">
        <v>48.63</v>
      </c>
      <c r="DM133" s="228">
        <v>49.79</v>
      </c>
      <c r="DN133" s="228">
        <v>-1.1599999999999999</v>
      </c>
      <c r="DO133" s="228">
        <v>-1.1599999999999999</v>
      </c>
      <c r="DP133" s="228">
        <v>0.92</v>
      </c>
      <c r="DQ133" s="228">
        <v>0.84</v>
      </c>
      <c r="DR133" s="228">
        <v>0.08</v>
      </c>
      <c r="DS133" s="229">
        <v>9.5200000000000007E-2</v>
      </c>
      <c r="DT133" s="231">
        <v>2700</v>
      </c>
      <c r="DU133" s="231">
        <v>2500</v>
      </c>
      <c r="DV133" s="228">
        <v>0.56999999999999995</v>
      </c>
      <c r="DW133" s="228">
        <v>0.51</v>
      </c>
      <c r="DX133" s="228">
        <v>0.06</v>
      </c>
      <c r="DY133" s="229">
        <v>0.1176</v>
      </c>
      <c r="DZ133" s="229">
        <v>2.75E-2</v>
      </c>
      <c r="EA133" s="230">
        <v>336875</v>
      </c>
      <c r="EB133" s="229">
        <v>5.5999999999999999E-3</v>
      </c>
      <c r="EC133" s="229">
        <v>2.75E-2</v>
      </c>
      <c r="ED133" s="228">
        <v>11.55</v>
      </c>
      <c r="EE133" s="229">
        <v>4.3E-3</v>
      </c>
      <c r="EF133" s="230">
        <v>1612582</v>
      </c>
      <c r="EG133" s="230">
        <v>1609808</v>
      </c>
      <c r="EH133" s="229">
        <v>1.6999999999999999E-3</v>
      </c>
      <c r="EI133" s="229">
        <v>0.3886</v>
      </c>
      <c r="EJ133" s="231">
        <v>377328.56</v>
      </c>
      <c r="EK133" s="231">
        <v>200645.57</v>
      </c>
      <c r="EL133" s="231">
        <v>105113.94</v>
      </c>
      <c r="EM133" s="231">
        <v>6100</v>
      </c>
      <c r="EN133" s="231">
        <v>683088.07</v>
      </c>
      <c r="EO133" s="231">
        <v>775276.32</v>
      </c>
      <c r="EP133" s="231">
        <v>-92188.25</v>
      </c>
      <c r="EQ133" s="229">
        <v>-0.11890000000000001</v>
      </c>
      <c r="ER133" s="231">
        <v>153070</v>
      </c>
      <c r="ES133" s="231">
        <v>127507</v>
      </c>
      <c r="ET133" s="231">
        <v>345024</v>
      </c>
      <c r="EU133" s="231">
        <v>38177113</v>
      </c>
      <c r="EV133" s="231">
        <v>625601</v>
      </c>
      <c r="EW133" s="231">
        <v>583347</v>
      </c>
      <c r="EX133" s="231">
        <v>42254</v>
      </c>
      <c r="EY133" s="229">
        <v>7.2400000000000006E-2</v>
      </c>
      <c r="EZ133" s="229">
        <v>0.62919999999999998</v>
      </c>
      <c r="FA133" s="227" t="s">
        <v>555</v>
      </c>
      <c r="FB133" s="161">
        <f t="shared" si="2"/>
        <v>355625</v>
      </c>
    </row>
    <row r="134" spans="1:158" ht="17.25" thickBot="1" x14ac:dyDescent="0.3">
      <c r="A134" s="226">
        <v>46121</v>
      </c>
      <c r="B134" s="227" t="s">
        <v>175</v>
      </c>
      <c r="C134" s="227" t="s">
        <v>257</v>
      </c>
      <c r="D134" s="228">
        <v>400</v>
      </c>
      <c r="E134" s="231">
        <v>1610.9</v>
      </c>
      <c r="F134" s="231">
        <v>1592.6</v>
      </c>
      <c r="G134" s="228">
        <v>18.3</v>
      </c>
      <c r="H134" s="229">
        <v>1.15E-2</v>
      </c>
      <c r="I134" s="231">
        <v>1607.4</v>
      </c>
      <c r="J134" s="231">
        <v>1586.7</v>
      </c>
      <c r="K134" s="228">
        <v>20.7</v>
      </c>
      <c r="L134" s="229">
        <v>1.2999999999999999E-2</v>
      </c>
      <c r="M134" s="231">
        <v>1610.9</v>
      </c>
      <c r="N134" s="231">
        <v>1592.6</v>
      </c>
      <c r="O134" s="228">
        <v>18.3</v>
      </c>
      <c r="P134" s="229">
        <v>1.15E-2</v>
      </c>
      <c r="Q134" s="231">
        <v>1617</v>
      </c>
      <c r="R134" s="231">
        <v>1600.4</v>
      </c>
      <c r="S134" s="228">
        <v>16.600000000000001</v>
      </c>
      <c r="T134" s="229">
        <v>1.04E-2</v>
      </c>
      <c r="U134" s="231">
        <v>1623.9</v>
      </c>
      <c r="V134" s="231">
        <v>1628.3</v>
      </c>
      <c r="W134" s="228">
        <v>-4.4000000000000004</v>
      </c>
      <c r="X134" s="229">
        <v>-2.7000000000000001E-3</v>
      </c>
      <c r="Y134" s="228">
        <v>3.5</v>
      </c>
      <c r="Z134" s="228">
        <v>5.9</v>
      </c>
      <c r="AA134" s="228">
        <v>-2.4</v>
      </c>
      <c r="AB134" s="229">
        <v>2.2000000000000001E-3</v>
      </c>
      <c r="AC134" s="228">
        <v>3.5</v>
      </c>
      <c r="AD134" s="228">
        <v>5.9</v>
      </c>
      <c r="AE134" s="228">
        <v>-2.4</v>
      </c>
      <c r="AF134" s="229">
        <v>2.2000000000000001E-3</v>
      </c>
      <c r="AG134" s="228">
        <v>9.6</v>
      </c>
      <c r="AH134" s="228">
        <v>13.7</v>
      </c>
      <c r="AI134" s="228">
        <v>-4.0999999999999996</v>
      </c>
      <c r="AJ134" s="229">
        <v>6.0000000000000001E-3</v>
      </c>
      <c r="AK134" s="228">
        <v>16.5</v>
      </c>
      <c r="AL134" s="228">
        <v>41.6</v>
      </c>
      <c r="AM134" s="228">
        <v>-25.1</v>
      </c>
      <c r="AN134" s="229">
        <v>1.03E-2</v>
      </c>
      <c r="AO134" s="231">
        <v>1603.03</v>
      </c>
      <c r="AP134" s="231">
        <v>1604.9</v>
      </c>
      <c r="AQ134" s="228">
        <v>0</v>
      </c>
      <c r="AR134" s="230">
        <v>959600</v>
      </c>
      <c r="AS134" s="230">
        <v>1572400</v>
      </c>
      <c r="AT134" s="230">
        <v>-612800</v>
      </c>
      <c r="AU134" s="229">
        <v>-0.38969999999999999</v>
      </c>
      <c r="AV134" s="230">
        <v>948000</v>
      </c>
      <c r="AW134" s="230">
        <v>1550400</v>
      </c>
      <c r="AX134" s="230">
        <v>-602400</v>
      </c>
      <c r="AY134" s="229">
        <v>-0.38850000000000001</v>
      </c>
      <c r="AZ134" s="230">
        <v>9600</v>
      </c>
      <c r="BA134" s="230">
        <v>21600</v>
      </c>
      <c r="BB134" s="230">
        <v>-12000</v>
      </c>
      <c r="BC134" s="229">
        <v>-0.55559999999999998</v>
      </c>
      <c r="BD134" s="230">
        <v>2000</v>
      </c>
      <c r="BE134" s="228">
        <v>400</v>
      </c>
      <c r="BF134" s="230">
        <v>1600</v>
      </c>
      <c r="BG134" s="229">
        <v>4</v>
      </c>
      <c r="BH134" s="230">
        <v>620400</v>
      </c>
      <c r="BI134" s="230">
        <v>1738400</v>
      </c>
      <c r="BJ134" s="230">
        <v>-1118000</v>
      </c>
      <c r="BK134" s="229">
        <v>-0.6431</v>
      </c>
      <c r="BL134" s="230">
        <v>339200</v>
      </c>
      <c r="BM134" s="230">
        <v>848400</v>
      </c>
      <c r="BN134" s="230">
        <v>-509200</v>
      </c>
      <c r="BO134" s="229">
        <v>-0.60019999999999996</v>
      </c>
      <c r="BP134" s="230">
        <v>1919200</v>
      </c>
      <c r="BQ134" s="230">
        <v>4159200</v>
      </c>
      <c r="BR134" s="230">
        <v>-2240000</v>
      </c>
      <c r="BS134" s="229">
        <v>-0.53859999999999997</v>
      </c>
      <c r="BT134" s="230">
        <v>1041531</v>
      </c>
      <c r="BU134" s="230">
        <v>1559425</v>
      </c>
      <c r="BV134" s="230">
        <v>-517894</v>
      </c>
      <c r="BW134" s="229">
        <v>-0.33210000000000001</v>
      </c>
      <c r="BX134" s="230">
        <v>10428000</v>
      </c>
      <c r="BY134" s="230">
        <v>10713200</v>
      </c>
      <c r="BZ134" s="230">
        <v>-285200</v>
      </c>
      <c r="CA134" s="229">
        <v>-2.6599999999999999E-2</v>
      </c>
      <c r="CB134" s="230">
        <v>10415200</v>
      </c>
      <c r="CC134" s="230">
        <v>10701200</v>
      </c>
      <c r="CD134" s="230">
        <v>-286000</v>
      </c>
      <c r="CE134" s="229">
        <v>-2.6700000000000002E-2</v>
      </c>
      <c r="CF134" s="230">
        <v>10800</v>
      </c>
      <c r="CG134" s="230">
        <v>11600</v>
      </c>
      <c r="CH134" s="228">
        <v>-800</v>
      </c>
      <c r="CI134" s="229">
        <v>-6.9000000000000006E-2</v>
      </c>
      <c r="CJ134" s="230">
        <v>2000</v>
      </c>
      <c r="CK134" s="228">
        <v>400</v>
      </c>
      <c r="CL134" s="230">
        <v>1600</v>
      </c>
      <c r="CM134" s="229">
        <v>4</v>
      </c>
      <c r="CN134" s="230">
        <v>571600</v>
      </c>
      <c r="CO134" s="230">
        <v>562400</v>
      </c>
      <c r="CP134" s="230">
        <v>9200</v>
      </c>
      <c r="CQ134" s="229">
        <v>1.6400000000000001E-2</v>
      </c>
      <c r="CR134" s="230">
        <v>443200</v>
      </c>
      <c r="CS134" s="230">
        <v>382800</v>
      </c>
      <c r="CT134" s="230">
        <v>60400</v>
      </c>
      <c r="CU134" s="229">
        <v>0.1578</v>
      </c>
      <c r="CV134" s="230">
        <v>11442800</v>
      </c>
      <c r="CW134" s="230">
        <v>11658400</v>
      </c>
      <c r="CX134" s="230">
        <v>-215600</v>
      </c>
      <c r="CY134" s="229">
        <v>-1.8499999999999999E-2</v>
      </c>
      <c r="CZ134" s="228">
        <v>34.07</v>
      </c>
      <c r="DA134" s="228">
        <v>33.909999999999997</v>
      </c>
      <c r="DB134" s="228">
        <v>0.16</v>
      </c>
      <c r="DC134" s="228">
        <v>0.16</v>
      </c>
      <c r="DD134" s="228">
        <v>31.78</v>
      </c>
      <c r="DE134" s="228">
        <v>31.82</v>
      </c>
      <c r="DF134" s="228">
        <v>2.29</v>
      </c>
      <c r="DG134" s="228">
        <v>-0.04</v>
      </c>
      <c r="DH134" s="228">
        <v>32.68</v>
      </c>
      <c r="DI134" s="228">
        <v>32.9</v>
      </c>
      <c r="DJ134" s="228">
        <v>-0.22</v>
      </c>
      <c r="DK134" s="228">
        <v>-0.22</v>
      </c>
      <c r="DL134" s="228">
        <v>36.61</v>
      </c>
      <c r="DM134" s="228">
        <v>35.97</v>
      </c>
      <c r="DN134" s="228">
        <v>0.64</v>
      </c>
      <c r="DO134" s="228">
        <v>0.64</v>
      </c>
      <c r="DP134" s="228">
        <v>0.78</v>
      </c>
      <c r="DQ134" s="228">
        <v>0.68</v>
      </c>
      <c r="DR134" s="228">
        <v>0.1</v>
      </c>
      <c r="DS134" s="229">
        <v>0.14710000000000001</v>
      </c>
      <c r="DT134" s="231">
        <v>1800</v>
      </c>
      <c r="DU134" s="231">
        <v>1460</v>
      </c>
      <c r="DV134" s="228">
        <v>0.55000000000000004</v>
      </c>
      <c r="DW134" s="228">
        <v>0.49</v>
      </c>
      <c r="DX134" s="228">
        <v>0.06</v>
      </c>
      <c r="DY134" s="229">
        <v>0.12239999999999999</v>
      </c>
      <c r="DZ134" s="229">
        <v>1.1999999999999999E-3</v>
      </c>
      <c r="EA134" s="230">
        <v>12000</v>
      </c>
      <c r="EB134" s="229">
        <v>3.8E-3</v>
      </c>
      <c r="EC134" s="229">
        <v>1.1999999999999999E-3</v>
      </c>
      <c r="ED134" s="228">
        <v>1.87</v>
      </c>
      <c r="EE134" s="229">
        <v>1.1999999999999999E-3</v>
      </c>
      <c r="EF134" s="230">
        <v>557590</v>
      </c>
      <c r="EG134" s="230">
        <v>881207</v>
      </c>
      <c r="EH134" s="229">
        <v>-0.36720000000000003</v>
      </c>
      <c r="EI134" s="229">
        <v>0.53539999999999999</v>
      </c>
      <c r="EJ134" s="231">
        <v>10506.02</v>
      </c>
      <c r="EK134" s="231">
        <v>5259.24</v>
      </c>
      <c r="EL134" s="231">
        <v>15383.02</v>
      </c>
      <c r="EM134" s="231">
        <v>1966</v>
      </c>
      <c r="EN134" s="231">
        <v>31148.28</v>
      </c>
      <c r="EO134" s="231">
        <v>67070.83</v>
      </c>
      <c r="EP134" s="231">
        <v>-35922.550000000003</v>
      </c>
      <c r="EQ134" s="229">
        <v>-0.53559999999999997</v>
      </c>
      <c r="ER134" s="231">
        <v>9531</v>
      </c>
      <c r="ES134" s="231">
        <v>6655</v>
      </c>
      <c r="ET134" s="231">
        <v>167986</v>
      </c>
      <c r="EU134" s="231">
        <v>35051266</v>
      </c>
      <c r="EV134" s="231">
        <v>184172</v>
      </c>
      <c r="EW134" s="231">
        <v>185724</v>
      </c>
      <c r="EX134" s="231">
        <v>-1552</v>
      </c>
      <c r="EY134" s="229">
        <v>-8.3999999999999995E-3</v>
      </c>
      <c r="EZ134" s="229">
        <v>0.32650000000000001</v>
      </c>
      <c r="FA134" s="227" t="s">
        <v>694</v>
      </c>
      <c r="FB134" s="161">
        <f t="shared" si="2"/>
        <v>12800</v>
      </c>
    </row>
    <row r="135" spans="1:158" ht="17.25" thickBot="1" x14ac:dyDescent="0.3">
      <c r="A135" s="226">
        <v>46121</v>
      </c>
      <c r="B135" s="227" t="s">
        <v>181</v>
      </c>
      <c r="C135" s="227" t="s">
        <v>562</v>
      </c>
      <c r="D135" s="228">
        <v>120</v>
      </c>
      <c r="E135" s="231">
        <v>13233.3</v>
      </c>
      <c r="F135" s="231">
        <v>13264.85</v>
      </c>
      <c r="G135" s="228">
        <v>-31.55</v>
      </c>
      <c r="H135" s="229">
        <v>-2.3999999999999998E-3</v>
      </c>
      <c r="I135" s="231">
        <v>13207.3</v>
      </c>
      <c r="J135" s="231">
        <v>13219.9</v>
      </c>
      <c r="K135" s="228">
        <v>-12.6</v>
      </c>
      <c r="L135" s="229">
        <v>-1E-3</v>
      </c>
      <c r="M135" s="231">
        <v>13233.3</v>
      </c>
      <c r="N135" s="231">
        <v>13264.85</v>
      </c>
      <c r="O135" s="228">
        <v>-31.55</v>
      </c>
      <c r="P135" s="229">
        <v>-2.3999999999999998E-3</v>
      </c>
      <c r="Q135" s="231">
        <v>13271.8</v>
      </c>
      <c r="R135" s="231">
        <v>13304.25</v>
      </c>
      <c r="S135" s="228">
        <v>-32.450000000000003</v>
      </c>
      <c r="T135" s="229">
        <v>-2.3999999999999998E-3</v>
      </c>
      <c r="U135" s="231">
        <v>13310.55</v>
      </c>
      <c r="V135" s="231">
        <v>13353.8</v>
      </c>
      <c r="W135" s="228">
        <v>-43.25</v>
      </c>
      <c r="X135" s="229">
        <v>-3.2000000000000002E-3</v>
      </c>
      <c r="Y135" s="228">
        <v>26</v>
      </c>
      <c r="Z135" s="228">
        <v>44.95</v>
      </c>
      <c r="AA135" s="228">
        <v>-18.95</v>
      </c>
      <c r="AB135" s="229">
        <v>2E-3</v>
      </c>
      <c r="AC135" s="228">
        <v>26</v>
      </c>
      <c r="AD135" s="228">
        <v>44.95</v>
      </c>
      <c r="AE135" s="228">
        <v>-18.95</v>
      </c>
      <c r="AF135" s="229">
        <v>2E-3</v>
      </c>
      <c r="AG135" s="228">
        <v>64.5</v>
      </c>
      <c r="AH135" s="228">
        <v>84.35</v>
      </c>
      <c r="AI135" s="228">
        <v>-19.850000000000001</v>
      </c>
      <c r="AJ135" s="229">
        <v>4.8999999999999998E-3</v>
      </c>
      <c r="AK135" s="228">
        <v>103.25</v>
      </c>
      <c r="AL135" s="228">
        <v>133.9</v>
      </c>
      <c r="AM135" s="228">
        <v>-30.65</v>
      </c>
      <c r="AN135" s="229">
        <v>7.7999999999999996E-3</v>
      </c>
      <c r="AO135" s="231">
        <v>13219.51</v>
      </c>
      <c r="AP135" s="231">
        <v>13249.16</v>
      </c>
      <c r="AQ135" s="228">
        <v>0</v>
      </c>
      <c r="AR135" s="230">
        <v>729720</v>
      </c>
      <c r="AS135" s="230">
        <v>752160</v>
      </c>
      <c r="AT135" s="230">
        <v>-22440</v>
      </c>
      <c r="AU135" s="229">
        <v>-2.98E-2</v>
      </c>
      <c r="AV135" s="230">
        <v>674160</v>
      </c>
      <c r="AW135" s="230">
        <v>691080</v>
      </c>
      <c r="AX135" s="230">
        <v>-16920</v>
      </c>
      <c r="AY135" s="229">
        <v>-2.4500000000000001E-2</v>
      </c>
      <c r="AZ135" s="230">
        <v>51360</v>
      </c>
      <c r="BA135" s="230">
        <v>53520</v>
      </c>
      <c r="BB135" s="230">
        <v>-2160</v>
      </c>
      <c r="BC135" s="229">
        <v>-4.0399999999999998E-2</v>
      </c>
      <c r="BD135" s="230">
        <v>4200</v>
      </c>
      <c r="BE135" s="230">
        <v>7560</v>
      </c>
      <c r="BF135" s="230">
        <v>-3360</v>
      </c>
      <c r="BG135" s="229">
        <v>-0.44440000000000002</v>
      </c>
      <c r="BH135" s="230">
        <v>10582560</v>
      </c>
      <c r="BI135" s="230">
        <v>9847920</v>
      </c>
      <c r="BJ135" s="230">
        <v>734640</v>
      </c>
      <c r="BK135" s="229">
        <v>7.46E-2</v>
      </c>
      <c r="BL135" s="230">
        <v>11115600</v>
      </c>
      <c r="BM135" s="230">
        <v>11162880</v>
      </c>
      <c r="BN135" s="230">
        <v>-47280</v>
      </c>
      <c r="BO135" s="229">
        <v>-4.1999999999999997E-3</v>
      </c>
      <c r="BP135" s="230">
        <v>22427880</v>
      </c>
      <c r="BQ135" s="230">
        <v>21762960</v>
      </c>
      <c r="BR135" s="230">
        <v>664920</v>
      </c>
      <c r="BS135" s="229">
        <v>3.0599999999999999E-2</v>
      </c>
      <c r="BT135" s="228">
        <v>0</v>
      </c>
      <c r="BU135" s="228">
        <v>0</v>
      </c>
      <c r="BV135" s="228">
        <v>0</v>
      </c>
      <c r="BW135" s="229">
        <v>0</v>
      </c>
      <c r="BX135" s="230">
        <v>2648880</v>
      </c>
      <c r="BY135" s="230">
        <v>2599680</v>
      </c>
      <c r="BZ135" s="230">
        <v>49200</v>
      </c>
      <c r="CA135" s="229">
        <v>1.89E-2</v>
      </c>
      <c r="CB135" s="230">
        <v>2553480</v>
      </c>
      <c r="CC135" s="230">
        <v>2505480</v>
      </c>
      <c r="CD135" s="230">
        <v>48000</v>
      </c>
      <c r="CE135" s="229">
        <v>1.9199999999999998E-2</v>
      </c>
      <c r="CF135" s="230">
        <v>91080</v>
      </c>
      <c r="CG135" s="230">
        <v>90120</v>
      </c>
      <c r="CH135" s="228">
        <v>960</v>
      </c>
      <c r="CI135" s="229">
        <v>1.0699999999999999E-2</v>
      </c>
      <c r="CJ135" s="230">
        <v>4320</v>
      </c>
      <c r="CK135" s="230">
        <v>4080</v>
      </c>
      <c r="CL135" s="228">
        <v>240</v>
      </c>
      <c r="CM135" s="229">
        <v>5.8799999999999998E-2</v>
      </c>
      <c r="CN135" s="230">
        <v>3696240</v>
      </c>
      <c r="CO135" s="230">
        <v>3495000</v>
      </c>
      <c r="CP135" s="230">
        <v>201240</v>
      </c>
      <c r="CQ135" s="229">
        <v>5.7599999999999998E-2</v>
      </c>
      <c r="CR135" s="230">
        <v>4033440</v>
      </c>
      <c r="CS135" s="230">
        <v>3404040</v>
      </c>
      <c r="CT135" s="230">
        <v>629400</v>
      </c>
      <c r="CU135" s="229">
        <v>0.18490000000000001</v>
      </c>
      <c r="CV135" s="230">
        <v>10378560</v>
      </c>
      <c r="CW135" s="230">
        <v>9498720</v>
      </c>
      <c r="CX135" s="230">
        <v>879840</v>
      </c>
      <c r="CY135" s="229">
        <v>9.2600000000000002E-2</v>
      </c>
      <c r="CZ135" s="228">
        <v>27.45</v>
      </c>
      <c r="DA135" s="228">
        <v>27.09</v>
      </c>
      <c r="DB135" s="228">
        <v>0.36</v>
      </c>
      <c r="DC135" s="228">
        <v>0.36</v>
      </c>
      <c r="DD135" s="228">
        <v>25.21</v>
      </c>
      <c r="DE135" s="228">
        <v>25.27</v>
      </c>
      <c r="DF135" s="228">
        <v>2.2400000000000002</v>
      </c>
      <c r="DG135" s="228">
        <v>-0.06</v>
      </c>
      <c r="DH135" s="228">
        <v>24.15</v>
      </c>
      <c r="DI135" s="228">
        <v>22.37</v>
      </c>
      <c r="DJ135" s="228">
        <v>1.78</v>
      </c>
      <c r="DK135" s="228">
        <v>1.78</v>
      </c>
      <c r="DL135" s="228">
        <v>30.59</v>
      </c>
      <c r="DM135" s="228">
        <v>31.26</v>
      </c>
      <c r="DN135" s="228">
        <v>-0.67</v>
      </c>
      <c r="DO135" s="228">
        <v>-0.67</v>
      </c>
      <c r="DP135" s="228">
        <v>1.0900000000000001</v>
      </c>
      <c r="DQ135" s="228">
        <v>0.97</v>
      </c>
      <c r="DR135" s="228">
        <v>0.12</v>
      </c>
      <c r="DS135" s="229">
        <v>0.1237</v>
      </c>
      <c r="DT135" s="231">
        <v>14000</v>
      </c>
      <c r="DU135" s="231">
        <v>12500</v>
      </c>
      <c r="DV135" s="228">
        <v>1.05</v>
      </c>
      <c r="DW135" s="228">
        <v>1.1299999999999999</v>
      </c>
      <c r="DX135" s="228">
        <v>-0.08</v>
      </c>
      <c r="DY135" s="229">
        <v>-7.0800000000000002E-2</v>
      </c>
      <c r="DZ135" s="229">
        <v>3.5999999999999997E-2</v>
      </c>
      <c r="EA135" s="230">
        <v>94200</v>
      </c>
      <c r="EB135" s="229">
        <v>2.8999999999999998E-3</v>
      </c>
      <c r="EC135" s="229">
        <v>3.5999999999999997E-2</v>
      </c>
      <c r="ED135" s="228">
        <v>29.65</v>
      </c>
      <c r="EE135" s="229">
        <v>2.2000000000000001E-3</v>
      </c>
      <c r="EF135" s="228">
        <v>0</v>
      </c>
      <c r="EG135" s="228">
        <v>0</v>
      </c>
      <c r="EH135" s="229">
        <v>0</v>
      </c>
      <c r="EI135" s="229">
        <v>0</v>
      </c>
      <c r="EJ135" s="231">
        <v>1461488.76</v>
      </c>
      <c r="EK135" s="231">
        <v>1411137.94</v>
      </c>
      <c r="EL135" s="231">
        <v>96485.14</v>
      </c>
      <c r="EM135" s="228">
        <v>0</v>
      </c>
      <c r="EN135" s="231">
        <v>2969111.84</v>
      </c>
      <c r="EO135" s="231">
        <v>2833370.96</v>
      </c>
      <c r="EP135" s="231">
        <v>135740.88</v>
      </c>
      <c r="EQ135" s="229">
        <v>4.7899999999999998E-2</v>
      </c>
      <c r="ER135" s="231">
        <v>497781</v>
      </c>
      <c r="ES135" s="231">
        <v>495352</v>
      </c>
      <c r="ET135" s="231">
        <v>350573</v>
      </c>
      <c r="EU135" s="228">
        <v>0</v>
      </c>
      <c r="EV135" s="231">
        <v>1343705</v>
      </c>
      <c r="EW135" s="231">
        <v>1228562</v>
      </c>
      <c r="EX135" s="231">
        <v>115143</v>
      </c>
      <c r="EY135" s="229">
        <v>9.3700000000000006E-2</v>
      </c>
      <c r="EZ135" s="229">
        <v>0</v>
      </c>
      <c r="FA135" s="227" t="s">
        <v>566</v>
      </c>
      <c r="FB135" s="161">
        <f t="shared" si="2"/>
        <v>95400</v>
      </c>
    </row>
    <row r="136" spans="1:158" ht="17.25" thickBot="1" x14ac:dyDescent="0.3">
      <c r="A136" s="226">
        <v>46121</v>
      </c>
      <c r="B136" s="227" t="s">
        <v>162</v>
      </c>
      <c r="C136" s="227" t="s">
        <v>558</v>
      </c>
      <c r="D136" s="228">
        <v>6150</v>
      </c>
      <c r="E136" s="228">
        <v>117.36</v>
      </c>
      <c r="F136" s="228">
        <v>118.73</v>
      </c>
      <c r="G136" s="228">
        <v>-1.37</v>
      </c>
      <c r="H136" s="229">
        <v>-1.15E-2</v>
      </c>
      <c r="I136" s="228">
        <v>116.9</v>
      </c>
      <c r="J136" s="228">
        <v>118.11</v>
      </c>
      <c r="K136" s="228">
        <v>-1.21</v>
      </c>
      <c r="L136" s="229">
        <v>-1.0200000000000001E-2</v>
      </c>
      <c r="M136" s="228">
        <v>117.36</v>
      </c>
      <c r="N136" s="228">
        <v>118.73</v>
      </c>
      <c r="O136" s="228">
        <v>-1.37</v>
      </c>
      <c r="P136" s="229">
        <v>-1.15E-2</v>
      </c>
      <c r="Q136" s="228">
        <v>118.02</v>
      </c>
      <c r="R136" s="228">
        <v>119.55</v>
      </c>
      <c r="S136" s="228">
        <v>-1.53</v>
      </c>
      <c r="T136" s="229">
        <v>-1.2800000000000001E-2</v>
      </c>
      <c r="U136" s="228">
        <v>118.81</v>
      </c>
      <c r="V136" s="228">
        <v>120.05</v>
      </c>
      <c r="W136" s="228">
        <v>-1.24</v>
      </c>
      <c r="X136" s="229">
        <v>-1.03E-2</v>
      </c>
      <c r="Y136" s="228">
        <v>0.46</v>
      </c>
      <c r="Z136" s="228">
        <v>0.62</v>
      </c>
      <c r="AA136" s="228">
        <v>-0.16</v>
      </c>
      <c r="AB136" s="229">
        <v>3.8999999999999998E-3</v>
      </c>
      <c r="AC136" s="228">
        <v>0.46</v>
      </c>
      <c r="AD136" s="228">
        <v>0.62</v>
      </c>
      <c r="AE136" s="228">
        <v>-0.16</v>
      </c>
      <c r="AF136" s="229">
        <v>3.8999999999999998E-3</v>
      </c>
      <c r="AG136" s="228">
        <v>1.1200000000000001</v>
      </c>
      <c r="AH136" s="228">
        <v>1.44</v>
      </c>
      <c r="AI136" s="228">
        <v>-0.32</v>
      </c>
      <c r="AJ136" s="229">
        <v>9.5999999999999992E-3</v>
      </c>
      <c r="AK136" s="228">
        <v>1.91</v>
      </c>
      <c r="AL136" s="228">
        <v>1.94</v>
      </c>
      <c r="AM136" s="228">
        <v>-0.03</v>
      </c>
      <c r="AN136" s="229">
        <v>1.6299999999999999E-2</v>
      </c>
      <c r="AO136" s="228">
        <v>117.65</v>
      </c>
      <c r="AP136" s="228">
        <v>118</v>
      </c>
      <c r="AQ136" s="228">
        <v>0</v>
      </c>
      <c r="AR136" s="230">
        <v>23634450</v>
      </c>
      <c r="AS136" s="230">
        <v>51758400</v>
      </c>
      <c r="AT136" s="230">
        <v>-28123950</v>
      </c>
      <c r="AU136" s="229">
        <v>-0.54339999999999999</v>
      </c>
      <c r="AV136" s="230">
        <v>21272850</v>
      </c>
      <c r="AW136" s="230">
        <v>48468150</v>
      </c>
      <c r="AX136" s="230">
        <v>-27195300</v>
      </c>
      <c r="AY136" s="229">
        <v>-0.56110000000000004</v>
      </c>
      <c r="AZ136" s="230">
        <v>1303800</v>
      </c>
      <c r="BA136" s="230">
        <v>2755200</v>
      </c>
      <c r="BB136" s="230">
        <v>-1451400</v>
      </c>
      <c r="BC136" s="229">
        <v>-0.52680000000000005</v>
      </c>
      <c r="BD136" s="230">
        <v>1057800</v>
      </c>
      <c r="BE136" s="230">
        <v>535050</v>
      </c>
      <c r="BF136" s="230">
        <v>522750</v>
      </c>
      <c r="BG136" s="229">
        <v>0.97699999999999998</v>
      </c>
      <c r="BH136" s="230">
        <v>19741500</v>
      </c>
      <c r="BI136" s="230">
        <v>80116050</v>
      </c>
      <c r="BJ136" s="230">
        <v>-60374550</v>
      </c>
      <c r="BK136" s="229">
        <v>-0.75360000000000005</v>
      </c>
      <c r="BL136" s="230">
        <v>12687450</v>
      </c>
      <c r="BM136" s="230">
        <v>44255400</v>
      </c>
      <c r="BN136" s="230">
        <v>-31567950</v>
      </c>
      <c r="BO136" s="229">
        <v>-0.71330000000000005</v>
      </c>
      <c r="BP136" s="230">
        <v>56063400</v>
      </c>
      <c r="BQ136" s="230">
        <v>176129850</v>
      </c>
      <c r="BR136" s="230">
        <v>-120066450</v>
      </c>
      <c r="BS136" s="229">
        <v>-0.68169999999999997</v>
      </c>
      <c r="BT136" s="230">
        <v>28007306</v>
      </c>
      <c r="BU136" s="230">
        <v>43712024</v>
      </c>
      <c r="BV136" s="230">
        <v>-15704718</v>
      </c>
      <c r="BW136" s="229">
        <v>-0.35930000000000001</v>
      </c>
      <c r="BX136" s="230">
        <v>145896450</v>
      </c>
      <c r="BY136" s="230">
        <v>144531150</v>
      </c>
      <c r="BZ136" s="230">
        <v>1365300</v>
      </c>
      <c r="CA136" s="229">
        <v>9.4000000000000004E-3</v>
      </c>
      <c r="CB136" s="230">
        <v>142440150</v>
      </c>
      <c r="CC136" s="230">
        <v>141339300</v>
      </c>
      <c r="CD136" s="230">
        <v>1100850</v>
      </c>
      <c r="CE136" s="229">
        <v>7.7999999999999996E-3</v>
      </c>
      <c r="CF136" s="230">
        <v>2779800</v>
      </c>
      <c r="CG136" s="230">
        <v>2785950</v>
      </c>
      <c r="CH136" s="230">
        <v>-6150</v>
      </c>
      <c r="CI136" s="229">
        <v>-2.2000000000000001E-3</v>
      </c>
      <c r="CJ136" s="230">
        <v>676500</v>
      </c>
      <c r="CK136" s="230">
        <v>405900</v>
      </c>
      <c r="CL136" s="230">
        <v>270600</v>
      </c>
      <c r="CM136" s="229">
        <v>0.66669999999999996</v>
      </c>
      <c r="CN136" s="230">
        <v>29907450</v>
      </c>
      <c r="CO136" s="230">
        <v>30147300</v>
      </c>
      <c r="CP136" s="230">
        <v>-239850</v>
      </c>
      <c r="CQ136" s="229">
        <v>-8.0000000000000002E-3</v>
      </c>
      <c r="CR136" s="230">
        <v>23831250</v>
      </c>
      <c r="CS136" s="230">
        <v>24624600</v>
      </c>
      <c r="CT136" s="230">
        <v>-793350</v>
      </c>
      <c r="CU136" s="229">
        <v>-3.2199999999999999E-2</v>
      </c>
      <c r="CV136" s="230">
        <v>199635150</v>
      </c>
      <c r="CW136" s="230">
        <v>199303050</v>
      </c>
      <c r="CX136" s="230">
        <v>332100</v>
      </c>
      <c r="CY136" s="229">
        <v>1.6999999999999999E-3</v>
      </c>
      <c r="CZ136" s="228">
        <v>41.38</v>
      </c>
      <c r="DA136" s="228">
        <v>41.33</v>
      </c>
      <c r="DB136" s="228">
        <v>0.05</v>
      </c>
      <c r="DC136" s="228">
        <v>0.05</v>
      </c>
      <c r="DD136" s="228">
        <v>42.94</v>
      </c>
      <c r="DE136" s="228">
        <v>43.02</v>
      </c>
      <c r="DF136" s="228">
        <v>-1.56</v>
      </c>
      <c r="DG136" s="228">
        <v>-0.08</v>
      </c>
      <c r="DH136" s="228">
        <v>40.44</v>
      </c>
      <c r="DI136" s="228">
        <v>40.369999999999997</v>
      </c>
      <c r="DJ136" s="228">
        <v>7.0000000000000007E-2</v>
      </c>
      <c r="DK136" s="228">
        <v>7.0000000000000007E-2</v>
      </c>
      <c r="DL136" s="228">
        <v>42.86</v>
      </c>
      <c r="DM136" s="228">
        <v>43.08</v>
      </c>
      <c r="DN136" s="228">
        <v>-0.22</v>
      </c>
      <c r="DO136" s="228">
        <v>-0.22</v>
      </c>
      <c r="DP136" s="228">
        <v>0.8</v>
      </c>
      <c r="DQ136" s="228">
        <v>0.82</v>
      </c>
      <c r="DR136" s="228">
        <v>-0.02</v>
      </c>
      <c r="DS136" s="229">
        <v>-2.4400000000000002E-2</v>
      </c>
      <c r="DT136" s="228">
        <v>120</v>
      </c>
      <c r="DU136" s="228">
        <v>105</v>
      </c>
      <c r="DV136" s="228">
        <v>0.64</v>
      </c>
      <c r="DW136" s="228">
        <v>0.55000000000000004</v>
      </c>
      <c r="DX136" s="228">
        <v>0.09</v>
      </c>
      <c r="DY136" s="229">
        <v>0.1636</v>
      </c>
      <c r="DZ136" s="229">
        <v>2.3699999999999999E-2</v>
      </c>
      <c r="EA136" s="230">
        <v>3191850</v>
      </c>
      <c r="EB136" s="229">
        <v>5.5999999999999999E-3</v>
      </c>
      <c r="EC136" s="229">
        <v>2.3699999999999999E-2</v>
      </c>
      <c r="ED136" s="228">
        <v>0.35</v>
      </c>
      <c r="EE136" s="229">
        <v>3.0000000000000001E-3</v>
      </c>
      <c r="EF136" s="230">
        <v>14338789</v>
      </c>
      <c r="EG136" s="230">
        <v>16607333</v>
      </c>
      <c r="EH136" s="229">
        <v>-0.1366</v>
      </c>
      <c r="EI136" s="229">
        <v>0.51200000000000001</v>
      </c>
      <c r="EJ136" s="231">
        <v>24663.94</v>
      </c>
      <c r="EK136" s="231">
        <v>14597.33</v>
      </c>
      <c r="EL136" s="231">
        <v>27821.46</v>
      </c>
      <c r="EM136" s="231">
        <v>4864</v>
      </c>
      <c r="EN136" s="231">
        <v>67082.73</v>
      </c>
      <c r="EO136" s="231">
        <v>211345.75</v>
      </c>
      <c r="EP136" s="231">
        <v>-144263.01999999999</v>
      </c>
      <c r="EQ136" s="229">
        <v>-0.68259999999999998</v>
      </c>
      <c r="ER136" s="231">
        <v>35714</v>
      </c>
      <c r="ES136" s="231">
        <v>26099</v>
      </c>
      <c r="ET136" s="231">
        <v>171252</v>
      </c>
      <c r="EU136" s="231">
        <v>588447385</v>
      </c>
      <c r="EV136" s="231">
        <v>233066</v>
      </c>
      <c r="EW136" s="231">
        <v>234574</v>
      </c>
      <c r="EX136" s="231">
        <v>-1508</v>
      </c>
      <c r="EY136" s="229">
        <v>-6.4000000000000003E-3</v>
      </c>
      <c r="EZ136" s="229">
        <v>0.33929999999999999</v>
      </c>
      <c r="FA136" s="227" t="s">
        <v>566</v>
      </c>
      <c r="FB136" s="161">
        <f t="shared" si="2"/>
        <v>3456300</v>
      </c>
    </row>
    <row r="137" spans="1:158" ht="17.25" thickBot="1" x14ac:dyDescent="0.3">
      <c r="A137" s="226">
        <v>46121</v>
      </c>
      <c r="B137" s="227" t="s">
        <v>702</v>
      </c>
      <c r="C137" s="227" t="s">
        <v>699</v>
      </c>
      <c r="D137" s="228">
        <v>775</v>
      </c>
      <c r="E137" s="228">
        <v>764.85</v>
      </c>
      <c r="F137" s="228">
        <v>761.1</v>
      </c>
      <c r="G137" s="228">
        <v>3.75</v>
      </c>
      <c r="H137" s="229">
        <v>4.8999999999999998E-3</v>
      </c>
      <c r="I137" s="228">
        <v>761.15</v>
      </c>
      <c r="J137" s="228">
        <v>757.4</v>
      </c>
      <c r="K137" s="228">
        <v>3.75</v>
      </c>
      <c r="L137" s="229">
        <v>5.0000000000000001E-3</v>
      </c>
      <c r="M137" s="228">
        <v>764.85</v>
      </c>
      <c r="N137" s="228">
        <v>761.1</v>
      </c>
      <c r="O137" s="228">
        <v>3.75</v>
      </c>
      <c r="P137" s="229">
        <v>4.8999999999999998E-3</v>
      </c>
      <c r="Q137" s="228">
        <v>765.35</v>
      </c>
      <c r="R137" s="228">
        <v>761.05</v>
      </c>
      <c r="S137" s="228">
        <v>4.3</v>
      </c>
      <c r="T137" s="229">
        <v>5.7000000000000002E-3</v>
      </c>
      <c r="U137" s="228">
        <v>765</v>
      </c>
      <c r="V137" s="228">
        <v>763.55</v>
      </c>
      <c r="W137" s="228">
        <v>1.45</v>
      </c>
      <c r="X137" s="229">
        <v>1.9E-3</v>
      </c>
      <c r="Y137" s="228">
        <v>3.7</v>
      </c>
      <c r="Z137" s="228">
        <v>3.7</v>
      </c>
      <c r="AA137" s="228">
        <v>0</v>
      </c>
      <c r="AB137" s="229">
        <v>4.8999999999999998E-3</v>
      </c>
      <c r="AC137" s="228">
        <v>3.7</v>
      </c>
      <c r="AD137" s="228">
        <v>3.7</v>
      </c>
      <c r="AE137" s="228">
        <v>0</v>
      </c>
      <c r="AF137" s="229">
        <v>4.8999999999999998E-3</v>
      </c>
      <c r="AG137" s="228">
        <v>4.2</v>
      </c>
      <c r="AH137" s="228">
        <v>3.65</v>
      </c>
      <c r="AI137" s="228">
        <v>0.55000000000000004</v>
      </c>
      <c r="AJ137" s="229">
        <v>5.4999999999999997E-3</v>
      </c>
      <c r="AK137" s="228">
        <v>3.85</v>
      </c>
      <c r="AL137" s="228">
        <v>6.15</v>
      </c>
      <c r="AM137" s="228">
        <v>-2.2999999999999998</v>
      </c>
      <c r="AN137" s="229">
        <v>5.1000000000000004E-3</v>
      </c>
      <c r="AO137" s="228">
        <v>770.35</v>
      </c>
      <c r="AP137" s="228">
        <v>768.82</v>
      </c>
      <c r="AQ137" s="228">
        <v>0</v>
      </c>
      <c r="AR137" s="230">
        <v>690525</v>
      </c>
      <c r="AS137" s="230">
        <v>709900</v>
      </c>
      <c r="AT137" s="230">
        <v>-19375</v>
      </c>
      <c r="AU137" s="229">
        <v>-2.7300000000000001E-2</v>
      </c>
      <c r="AV137" s="230">
        <v>668050</v>
      </c>
      <c r="AW137" s="230">
        <v>685100</v>
      </c>
      <c r="AX137" s="230">
        <v>-17050</v>
      </c>
      <c r="AY137" s="229">
        <v>-2.4899999999999999E-2</v>
      </c>
      <c r="AZ137" s="230">
        <v>13950</v>
      </c>
      <c r="BA137" s="230">
        <v>20925</v>
      </c>
      <c r="BB137" s="230">
        <v>-6975</v>
      </c>
      <c r="BC137" s="229">
        <v>-0.33329999999999999</v>
      </c>
      <c r="BD137" s="230">
        <v>8525</v>
      </c>
      <c r="BE137" s="230">
        <v>3875</v>
      </c>
      <c r="BF137" s="230">
        <v>4650</v>
      </c>
      <c r="BG137" s="229">
        <v>1.2</v>
      </c>
      <c r="BH137" s="230">
        <v>2337400</v>
      </c>
      <c r="BI137" s="230">
        <v>1275650</v>
      </c>
      <c r="BJ137" s="230">
        <v>1061750</v>
      </c>
      <c r="BK137" s="229">
        <v>0.83230000000000004</v>
      </c>
      <c r="BL137" s="230">
        <v>2290125</v>
      </c>
      <c r="BM137" s="230">
        <v>1944475</v>
      </c>
      <c r="BN137" s="230">
        <v>345650</v>
      </c>
      <c r="BO137" s="229">
        <v>0.17780000000000001</v>
      </c>
      <c r="BP137" s="230">
        <v>5318050</v>
      </c>
      <c r="BQ137" s="230">
        <v>3930025</v>
      </c>
      <c r="BR137" s="230">
        <v>1388025</v>
      </c>
      <c r="BS137" s="229">
        <v>0.35320000000000001</v>
      </c>
      <c r="BT137" s="230">
        <v>1553948</v>
      </c>
      <c r="BU137" s="230">
        <v>1665660</v>
      </c>
      <c r="BV137" s="230">
        <v>-111712</v>
      </c>
      <c r="BW137" s="229">
        <v>-6.7100000000000007E-2</v>
      </c>
      <c r="BX137" s="230">
        <v>1030750</v>
      </c>
      <c r="BY137" s="230">
        <v>871100</v>
      </c>
      <c r="BZ137" s="230">
        <v>159650</v>
      </c>
      <c r="CA137" s="229">
        <v>0.18329999999999999</v>
      </c>
      <c r="CB137" s="230">
        <v>998200</v>
      </c>
      <c r="CC137" s="230">
        <v>843975</v>
      </c>
      <c r="CD137" s="230">
        <v>154225</v>
      </c>
      <c r="CE137" s="229">
        <v>0.1827</v>
      </c>
      <c r="CF137" s="230">
        <v>18600</v>
      </c>
      <c r="CG137" s="230">
        <v>16275</v>
      </c>
      <c r="CH137" s="230">
        <v>2325</v>
      </c>
      <c r="CI137" s="229">
        <v>0.1429</v>
      </c>
      <c r="CJ137" s="230">
        <v>13950</v>
      </c>
      <c r="CK137" s="230">
        <v>10850</v>
      </c>
      <c r="CL137" s="230">
        <v>3100</v>
      </c>
      <c r="CM137" s="229">
        <v>0.28570000000000001</v>
      </c>
      <c r="CN137" s="230">
        <v>981925</v>
      </c>
      <c r="CO137" s="230">
        <v>762600</v>
      </c>
      <c r="CP137" s="230">
        <v>219325</v>
      </c>
      <c r="CQ137" s="229">
        <v>0.28760000000000002</v>
      </c>
      <c r="CR137" s="230">
        <v>849400</v>
      </c>
      <c r="CS137" s="230">
        <v>713775</v>
      </c>
      <c r="CT137" s="230">
        <v>135625</v>
      </c>
      <c r="CU137" s="229">
        <v>0.19</v>
      </c>
      <c r="CV137" s="230">
        <v>2862075</v>
      </c>
      <c r="CW137" s="230">
        <v>2347475</v>
      </c>
      <c r="CX137" s="230">
        <v>514600</v>
      </c>
      <c r="CY137" s="229">
        <v>0.21920000000000001</v>
      </c>
      <c r="CZ137" s="228">
        <v>44.73</v>
      </c>
      <c r="DA137" s="228">
        <v>44.9</v>
      </c>
      <c r="DB137" s="228">
        <v>-0.17</v>
      </c>
      <c r="DC137" s="228">
        <v>-0.17</v>
      </c>
      <c r="DD137" s="228">
        <v>54.67</v>
      </c>
      <c r="DE137" s="228">
        <v>54.8</v>
      </c>
      <c r="DF137" s="228">
        <v>-9.94</v>
      </c>
      <c r="DG137" s="228">
        <v>-0.13</v>
      </c>
      <c r="DH137" s="228">
        <v>41.89</v>
      </c>
      <c r="DI137" s="228">
        <v>41.09</v>
      </c>
      <c r="DJ137" s="228">
        <v>0.8</v>
      </c>
      <c r="DK137" s="228">
        <v>0.8</v>
      </c>
      <c r="DL137" s="228">
        <v>47.63</v>
      </c>
      <c r="DM137" s="228">
        <v>47.4</v>
      </c>
      <c r="DN137" s="228">
        <v>0.23</v>
      </c>
      <c r="DO137" s="228">
        <v>0.23</v>
      </c>
      <c r="DP137" s="228">
        <v>0.87</v>
      </c>
      <c r="DQ137" s="228">
        <v>0.94</v>
      </c>
      <c r="DR137" s="228">
        <v>-7.0000000000000007E-2</v>
      </c>
      <c r="DS137" s="229">
        <v>-7.4499999999999997E-2</v>
      </c>
      <c r="DT137" s="228">
        <v>680</v>
      </c>
      <c r="DU137" s="228">
        <v>680</v>
      </c>
      <c r="DV137" s="228">
        <v>0.98</v>
      </c>
      <c r="DW137" s="228">
        <v>1.52</v>
      </c>
      <c r="DX137" s="228">
        <v>-0.54</v>
      </c>
      <c r="DY137" s="229">
        <v>-0.3553</v>
      </c>
      <c r="DZ137" s="229">
        <v>3.1600000000000003E-2</v>
      </c>
      <c r="EA137" s="230">
        <v>27125</v>
      </c>
      <c r="EB137" s="229">
        <v>6.9999999999999999E-4</v>
      </c>
      <c r="EC137" s="229">
        <v>3.1600000000000003E-2</v>
      </c>
      <c r="ED137" s="228">
        <v>-1.53</v>
      </c>
      <c r="EE137" s="229">
        <v>-2E-3</v>
      </c>
      <c r="EF137" s="230">
        <v>570253</v>
      </c>
      <c r="EG137" s="230">
        <v>669945</v>
      </c>
      <c r="EH137" s="229">
        <v>-0.14879999999999999</v>
      </c>
      <c r="EI137" s="229">
        <v>0.36699999999999999</v>
      </c>
      <c r="EJ137" s="231">
        <v>19342.490000000002</v>
      </c>
      <c r="EK137" s="231">
        <v>15357.55</v>
      </c>
      <c r="EL137" s="231">
        <v>5319.11</v>
      </c>
      <c r="EM137" s="228">
        <v>680</v>
      </c>
      <c r="EN137" s="231">
        <v>40019.15</v>
      </c>
      <c r="EO137" s="231">
        <v>28134.16</v>
      </c>
      <c r="EP137" s="231">
        <v>11884.99</v>
      </c>
      <c r="EQ137" s="229">
        <v>0.4224</v>
      </c>
      <c r="ER137" s="231">
        <v>7355</v>
      </c>
      <c r="ES137" s="231">
        <v>5734</v>
      </c>
      <c r="ET137" s="231">
        <v>7884</v>
      </c>
      <c r="EU137" s="231">
        <v>29196111</v>
      </c>
      <c r="EV137" s="231">
        <v>20973</v>
      </c>
      <c r="EW137" s="231">
        <v>16882</v>
      </c>
      <c r="EX137" s="231">
        <v>4091</v>
      </c>
      <c r="EY137" s="229">
        <v>0.24229999999999999</v>
      </c>
      <c r="EZ137" s="229">
        <v>9.8000000000000004E-2</v>
      </c>
      <c r="FA137" s="227" t="s">
        <v>555</v>
      </c>
      <c r="FB137" s="161">
        <f t="shared" si="2"/>
        <v>32550</v>
      </c>
    </row>
    <row r="138" spans="1:158" ht="17.25" thickBot="1" x14ac:dyDescent="0.3">
      <c r="A138" s="226">
        <v>46121</v>
      </c>
      <c r="B138" s="227" t="s">
        <v>221</v>
      </c>
      <c r="C138" s="227" t="s">
        <v>487</v>
      </c>
      <c r="D138" s="228">
        <v>275</v>
      </c>
      <c r="E138" s="231">
        <v>2395.6</v>
      </c>
      <c r="F138" s="231">
        <v>2360.6</v>
      </c>
      <c r="G138" s="228">
        <v>35</v>
      </c>
      <c r="H138" s="229">
        <v>1.4800000000000001E-2</v>
      </c>
      <c r="I138" s="231">
        <v>2385.3000000000002</v>
      </c>
      <c r="J138" s="231">
        <v>2350.8000000000002</v>
      </c>
      <c r="K138" s="228">
        <v>34.5</v>
      </c>
      <c r="L138" s="229">
        <v>1.47E-2</v>
      </c>
      <c r="M138" s="231">
        <v>2395.6</v>
      </c>
      <c r="N138" s="231">
        <v>2360.6</v>
      </c>
      <c r="O138" s="228">
        <v>35</v>
      </c>
      <c r="P138" s="229">
        <v>1.4800000000000001E-2</v>
      </c>
      <c r="Q138" s="231">
        <v>2407.1</v>
      </c>
      <c r="R138" s="231">
        <v>2371.6999999999998</v>
      </c>
      <c r="S138" s="228">
        <v>35.4</v>
      </c>
      <c r="T138" s="229">
        <v>1.49E-2</v>
      </c>
      <c r="U138" s="231">
        <v>2425.4</v>
      </c>
      <c r="V138" s="231">
        <v>2388</v>
      </c>
      <c r="W138" s="228">
        <v>37.4</v>
      </c>
      <c r="X138" s="229">
        <v>1.5699999999999999E-2</v>
      </c>
      <c r="Y138" s="228">
        <v>10.3</v>
      </c>
      <c r="Z138" s="228">
        <v>9.8000000000000007</v>
      </c>
      <c r="AA138" s="228">
        <v>0.5</v>
      </c>
      <c r="AB138" s="229">
        <v>4.3E-3</v>
      </c>
      <c r="AC138" s="228">
        <v>10.3</v>
      </c>
      <c r="AD138" s="228">
        <v>9.8000000000000007</v>
      </c>
      <c r="AE138" s="228">
        <v>0.5</v>
      </c>
      <c r="AF138" s="229">
        <v>4.3E-3</v>
      </c>
      <c r="AG138" s="228">
        <v>21.8</v>
      </c>
      <c r="AH138" s="228">
        <v>20.9</v>
      </c>
      <c r="AI138" s="228">
        <v>0.9</v>
      </c>
      <c r="AJ138" s="229">
        <v>9.1000000000000004E-3</v>
      </c>
      <c r="AK138" s="228">
        <v>40.1</v>
      </c>
      <c r="AL138" s="228">
        <v>37.200000000000003</v>
      </c>
      <c r="AM138" s="228">
        <v>2.9</v>
      </c>
      <c r="AN138" s="229">
        <v>1.6799999999999999E-2</v>
      </c>
      <c r="AO138" s="231">
        <v>2374.06</v>
      </c>
      <c r="AP138" s="231">
        <v>2382.0500000000002</v>
      </c>
      <c r="AQ138" s="228">
        <v>0</v>
      </c>
      <c r="AR138" s="230">
        <v>1184975</v>
      </c>
      <c r="AS138" s="230">
        <v>1110450</v>
      </c>
      <c r="AT138" s="230">
        <v>74525</v>
      </c>
      <c r="AU138" s="229">
        <v>6.7100000000000007E-2</v>
      </c>
      <c r="AV138" s="230">
        <v>1152525</v>
      </c>
      <c r="AW138" s="230">
        <v>1069750</v>
      </c>
      <c r="AX138" s="230">
        <v>82775</v>
      </c>
      <c r="AY138" s="229">
        <v>7.7399999999999997E-2</v>
      </c>
      <c r="AZ138" s="230">
        <v>30250</v>
      </c>
      <c r="BA138" s="230">
        <v>37675</v>
      </c>
      <c r="BB138" s="230">
        <v>-7425</v>
      </c>
      <c r="BC138" s="229">
        <v>-0.1971</v>
      </c>
      <c r="BD138" s="230">
        <v>2200</v>
      </c>
      <c r="BE138" s="230">
        <v>3025</v>
      </c>
      <c r="BF138" s="228">
        <v>-825</v>
      </c>
      <c r="BG138" s="229">
        <v>-0.2727</v>
      </c>
      <c r="BH138" s="230">
        <v>1753125</v>
      </c>
      <c r="BI138" s="230">
        <v>2284700</v>
      </c>
      <c r="BJ138" s="230">
        <v>-531575</v>
      </c>
      <c r="BK138" s="229">
        <v>-0.23269999999999999</v>
      </c>
      <c r="BL138" s="230">
        <v>1265275</v>
      </c>
      <c r="BM138" s="230">
        <v>1238325</v>
      </c>
      <c r="BN138" s="230">
        <v>26950</v>
      </c>
      <c r="BO138" s="229">
        <v>2.18E-2</v>
      </c>
      <c r="BP138" s="230">
        <v>4203375</v>
      </c>
      <c r="BQ138" s="230">
        <v>4633475</v>
      </c>
      <c r="BR138" s="230">
        <v>-430100</v>
      </c>
      <c r="BS138" s="229">
        <v>-9.2799999999999994E-2</v>
      </c>
      <c r="BT138" s="230">
        <v>705019</v>
      </c>
      <c r="BU138" s="230">
        <v>782585</v>
      </c>
      <c r="BV138" s="230">
        <v>-77566</v>
      </c>
      <c r="BW138" s="229">
        <v>-9.9099999999999994E-2</v>
      </c>
      <c r="BX138" s="230">
        <v>4863100</v>
      </c>
      <c r="BY138" s="230">
        <v>4913425</v>
      </c>
      <c r="BZ138" s="230">
        <v>-50325</v>
      </c>
      <c r="CA138" s="229">
        <v>-1.0200000000000001E-2</v>
      </c>
      <c r="CB138" s="230">
        <v>4810575</v>
      </c>
      <c r="CC138" s="230">
        <v>4861725</v>
      </c>
      <c r="CD138" s="230">
        <v>-51150</v>
      </c>
      <c r="CE138" s="229">
        <v>-1.0500000000000001E-2</v>
      </c>
      <c r="CF138" s="230">
        <v>48950</v>
      </c>
      <c r="CG138" s="230">
        <v>48125</v>
      </c>
      <c r="CH138" s="228">
        <v>825</v>
      </c>
      <c r="CI138" s="229">
        <v>1.7100000000000001E-2</v>
      </c>
      <c r="CJ138" s="230">
        <v>3575</v>
      </c>
      <c r="CK138" s="230">
        <v>3575</v>
      </c>
      <c r="CL138" s="228">
        <v>0</v>
      </c>
      <c r="CM138" s="229">
        <v>0</v>
      </c>
      <c r="CN138" s="230">
        <v>906400</v>
      </c>
      <c r="CO138" s="230">
        <v>824175</v>
      </c>
      <c r="CP138" s="230">
        <v>82225</v>
      </c>
      <c r="CQ138" s="229">
        <v>9.98E-2</v>
      </c>
      <c r="CR138" s="230">
        <v>824175</v>
      </c>
      <c r="CS138" s="230">
        <v>646250</v>
      </c>
      <c r="CT138" s="230">
        <v>177925</v>
      </c>
      <c r="CU138" s="229">
        <v>0.27529999999999999</v>
      </c>
      <c r="CV138" s="230">
        <v>6593675</v>
      </c>
      <c r="CW138" s="230">
        <v>6383850</v>
      </c>
      <c r="CX138" s="230">
        <v>209825</v>
      </c>
      <c r="CY138" s="229">
        <v>3.2899999999999999E-2</v>
      </c>
      <c r="CZ138" s="228">
        <v>38.06</v>
      </c>
      <c r="DA138" s="228">
        <v>36.909999999999997</v>
      </c>
      <c r="DB138" s="228">
        <v>1.1499999999999999</v>
      </c>
      <c r="DC138" s="228">
        <v>1.1499999999999999</v>
      </c>
      <c r="DD138" s="228">
        <v>36.29</v>
      </c>
      <c r="DE138" s="228">
        <v>36.32</v>
      </c>
      <c r="DF138" s="228">
        <v>1.77</v>
      </c>
      <c r="DG138" s="228">
        <v>-0.03</v>
      </c>
      <c r="DH138" s="228">
        <v>37.340000000000003</v>
      </c>
      <c r="DI138" s="228">
        <v>36.17</v>
      </c>
      <c r="DJ138" s="228">
        <v>1.17</v>
      </c>
      <c r="DK138" s="228">
        <v>1.17</v>
      </c>
      <c r="DL138" s="228">
        <v>39.06</v>
      </c>
      <c r="DM138" s="228">
        <v>38.29</v>
      </c>
      <c r="DN138" s="228">
        <v>0.77</v>
      </c>
      <c r="DO138" s="228">
        <v>0.77</v>
      </c>
      <c r="DP138" s="228">
        <v>0.91</v>
      </c>
      <c r="DQ138" s="228">
        <v>0.78</v>
      </c>
      <c r="DR138" s="228">
        <v>0.13</v>
      </c>
      <c r="DS138" s="229">
        <v>0.16669999999999999</v>
      </c>
      <c r="DT138" s="231">
        <v>2400</v>
      </c>
      <c r="DU138" s="231">
        <v>2300</v>
      </c>
      <c r="DV138" s="228">
        <v>0.72</v>
      </c>
      <c r="DW138" s="228">
        <v>0.54</v>
      </c>
      <c r="DX138" s="228">
        <v>0.18</v>
      </c>
      <c r="DY138" s="229">
        <v>0.33329999999999999</v>
      </c>
      <c r="DZ138" s="229">
        <v>1.0800000000000001E-2</v>
      </c>
      <c r="EA138" s="230">
        <v>51700</v>
      </c>
      <c r="EB138" s="229">
        <v>4.7999999999999996E-3</v>
      </c>
      <c r="EC138" s="229">
        <v>1.0800000000000001E-2</v>
      </c>
      <c r="ED138" s="228">
        <v>7.99</v>
      </c>
      <c r="EE138" s="229">
        <v>3.3999999999999998E-3</v>
      </c>
      <c r="EF138" s="230">
        <v>309727</v>
      </c>
      <c r="EG138" s="230">
        <v>343372</v>
      </c>
      <c r="EH138" s="229">
        <v>-9.8000000000000004E-2</v>
      </c>
      <c r="EI138" s="229">
        <v>0.43930000000000002</v>
      </c>
      <c r="EJ138" s="231">
        <v>43695.55</v>
      </c>
      <c r="EK138" s="231">
        <v>29485.81</v>
      </c>
      <c r="EL138" s="231">
        <v>28135.26</v>
      </c>
      <c r="EM138" s="231">
        <v>3715</v>
      </c>
      <c r="EN138" s="231">
        <v>101316.62</v>
      </c>
      <c r="EO138" s="231">
        <v>110617.06</v>
      </c>
      <c r="EP138" s="231">
        <v>-9300.44</v>
      </c>
      <c r="EQ138" s="229">
        <v>-8.4099999999999994E-2</v>
      </c>
      <c r="ER138" s="231">
        <v>21383</v>
      </c>
      <c r="ES138" s="231">
        <v>18243</v>
      </c>
      <c r="ET138" s="231">
        <v>116507</v>
      </c>
      <c r="EU138" s="231">
        <v>19838356</v>
      </c>
      <c r="EV138" s="231">
        <v>156133</v>
      </c>
      <c r="EW138" s="231">
        <v>149325</v>
      </c>
      <c r="EX138" s="231">
        <v>6808</v>
      </c>
      <c r="EY138" s="229">
        <v>4.5600000000000002E-2</v>
      </c>
      <c r="EZ138" s="229">
        <v>0.33239999999999997</v>
      </c>
      <c r="FA138" s="227" t="s">
        <v>694</v>
      </c>
      <c r="FB138" s="161">
        <f t="shared" si="2"/>
        <v>52525</v>
      </c>
    </row>
    <row r="139" spans="1:158" ht="17.25" thickBot="1" x14ac:dyDescent="0.3">
      <c r="A139" s="226">
        <v>46121</v>
      </c>
      <c r="B139" s="227" t="s">
        <v>175</v>
      </c>
      <c r="C139" s="227" t="s">
        <v>262</v>
      </c>
      <c r="D139" s="228">
        <v>275</v>
      </c>
      <c r="E139" s="231">
        <v>3458.3</v>
      </c>
      <c r="F139" s="231">
        <v>3484.5</v>
      </c>
      <c r="G139" s="228">
        <v>-26.2</v>
      </c>
      <c r="H139" s="229">
        <v>-7.4999999999999997E-3</v>
      </c>
      <c r="I139" s="231">
        <v>3475.2</v>
      </c>
      <c r="J139" s="231">
        <v>3503.3</v>
      </c>
      <c r="K139" s="228">
        <v>-28.1</v>
      </c>
      <c r="L139" s="229">
        <v>-8.0000000000000002E-3</v>
      </c>
      <c r="M139" s="231">
        <v>3458.3</v>
      </c>
      <c r="N139" s="231">
        <v>3484.5</v>
      </c>
      <c r="O139" s="228">
        <v>-26.2</v>
      </c>
      <c r="P139" s="229">
        <v>-7.4999999999999997E-3</v>
      </c>
      <c r="Q139" s="231">
        <v>3462.1</v>
      </c>
      <c r="R139" s="231">
        <v>3490.2</v>
      </c>
      <c r="S139" s="228">
        <v>-28.1</v>
      </c>
      <c r="T139" s="229">
        <v>-8.0999999999999996E-3</v>
      </c>
      <c r="U139" s="231">
        <v>3457.2</v>
      </c>
      <c r="V139" s="231">
        <v>3498.5</v>
      </c>
      <c r="W139" s="228">
        <v>-41.3</v>
      </c>
      <c r="X139" s="229">
        <v>-1.18E-2</v>
      </c>
      <c r="Y139" s="228">
        <v>-16.899999999999999</v>
      </c>
      <c r="Z139" s="228">
        <v>-18.8</v>
      </c>
      <c r="AA139" s="228">
        <v>1.9</v>
      </c>
      <c r="AB139" s="229">
        <v>-4.8999999999999998E-3</v>
      </c>
      <c r="AC139" s="228">
        <v>-16.899999999999999</v>
      </c>
      <c r="AD139" s="228">
        <v>-18.8</v>
      </c>
      <c r="AE139" s="228">
        <v>1.9</v>
      </c>
      <c r="AF139" s="229">
        <v>-4.8999999999999998E-3</v>
      </c>
      <c r="AG139" s="228">
        <v>-13.1</v>
      </c>
      <c r="AH139" s="228">
        <v>-13.1</v>
      </c>
      <c r="AI139" s="228">
        <v>0</v>
      </c>
      <c r="AJ139" s="229">
        <v>-3.8E-3</v>
      </c>
      <c r="AK139" s="228">
        <v>-18</v>
      </c>
      <c r="AL139" s="228">
        <v>-4.8</v>
      </c>
      <c r="AM139" s="228">
        <v>-13.2</v>
      </c>
      <c r="AN139" s="229">
        <v>-5.1999999999999998E-3</v>
      </c>
      <c r="AO139" s="231">
        <v>3461.36</v>
      </c>
      <c r="AP139" s="231">
        <v>3460.58</v>
      </c>
      <c r="AQ139" s="228">
        <v>0</v>
      </c>
      <c r="AR139" s="230">
        <v>755975</v>
      </c>
      <c r="AS139" s="230">
        <v>1638450</v>
      </c>
      <c r="AT139" s="230">
        <v>-882475</v>
      </c>
      <c r="AU139" s="229">
        <v>-0.53859999999999997</v>
      </c>
      <c r="AV139" s="230">
        <v>709500</v>
      </c>
      <c r="AW139" s="230">
        <v>1553750</v>
      </c>
      <c r="AX139" s="230">
        <v>-844250</v>
      </c>
      <c r="AY139" s="229">
        <v>-0.54339999999999999</v>
      </c>
      <c r="AZ139" s="230">
        <v>40425</v>
      </c>
      <c r="BA139" s="230">
        <v>77000</v>
      </c>
      <c r="BB139" s="230">
        <v>-36575</v>
      </c>
      <c r="BC139" s="229">
        <v>-0.47499999999999998</v>
      </c>
      <c r="BD139" s="230">
        <v>6050</v>
      </c>
      <c r="BE139" s="230">
        <v>7700</v>
      </c>
      <c r="BF139" s="230">
        <v>-1650</v>
      </c>
      <c r="BG139" s="229">
        <v>-0.21429999999999999</v>
      </c>
      <c r="BH139" s="230">
        <v>2195600</v>
      </c>
      <c r="BI139" s="230">
        <v>5656750</v>
      </c>
      <c r="BJ139" s="230">
        <v>-3461150</v>
      </c>
      <c r="BK139" s="229">
        <v>-0.6119</v>
      </c>
      <c r="BL139" s="230">
        <v>875050</v>
      </c>
      <c r="BM139" s="230">
        <v>1866150</v>
      </c>
      <c r="BN139" s="230">
        <v>-991100</v>
      </c>
      <c r="BO139" s="229">
        <v>-0.53110000000000002</v>
      </c>
      <c r="BP139" s="230">
        <v>3826625</v>
      </c>
      <c r="BQ139" s="230">
        <v>9161350</v>
      </c>
      <c r="BR139" s="230">
        <v>-5334725</v>
      </c>
      <c r="BS139" s="229">
        <v>-0.58230000000000004</v>
      </c>
      <c r="BT139" s="230">
        <v>812725</v>
      </c>
      <c r="BU139" s="230">
        <v>1345319</v>
      </c>
      <c r="BV139" s="230">
        <v>-532594</v>
      </c>
      <c r="BW139" s="229">
        <v>-0.39589999999999997</v>
      </c>
      <c r="BX139" s="230">
        <v>3547500</v>
      </c>
      <c r="BY139" s="230">
        <v>3549975</v>
      </c>
      <c r="BZ139" s="230">
        <v>-2475</v>
      </c>
      <c r="CA139" s="229">
        <v>-6.9999999999999999E-4</v>
      </c>
      <c r="CB139" s="230">
        <v>3453450</v>
      </c>
      <c r="CC139" s="230">
        <v>3457850</v>
      </c>
      <c r="CD139" s="230">
        <v>-4400</v>
      </c>
      <c r="CE139" s="229">
        <v>-1.2999999999999999E-3</v>
      </c>
      <c r="CF139" s="230">
        <v>82500</v>
      </c>
      <c r="CG139" s="230">
        <v>80575</v>
      </c>
      <c r="CH139" s="230">
        <v>1925</v>
      </c>
      <c r="CI139" s="229">
        <v>2.3900000000000001E-2</v>
      </c>
      <c r="CJ139" s="230">
        <v>11550</v>
      </c>
      <c r="CK139" s="230">
        <v>11550</v>
      </c>
      <c r="CL139" s="228">
        <v>0</v>
      </c>
      <c r="CM139" s="229">
        <v>0</v>
      </c>
      <c r="CN139" s="230">
        <v>1841675</v>
      </c>
      <c r="CO139" s="230">
        <v>1888700</v>
      </c>
      <c r="CP139" s="230">
        <v>-47025</v>
      </c>
      <c r="CQ139" s="229">
        <v>-2.4899999999999999E-2</v>
      </c>
      <c r="CR139" s="230">
        <v>1270500</v>
      </c>
      <c r="CS139" s="230">
        <v>1252350</v>
      </c>
      <c r="CT139" s="230">
        <v>18150</v>
      </c>
      <c r="CU139" s="229">
        <v>1.4500000000000001E-2</v>
      </c>
      <c r="CV139" s="230">
        <v>6659675</v>
      </c>
      <c r="CW139" s="230">
        <v>6691025</v>
      </c>
      <c r="CX139" s="230">
        <v>-31350</v>
      </c>
      <c r="CY139" s="229">
        <v>-4.7000000000000002E-3</v>
      </c>
      <c r="CZ139" s="228">
        <v>38.32</v>
      </c>
      <c r="DA139" s="228">
        <v>37.520000000000003</v>
      </c>
      <c r="DB139" s="228">
        <v>0.8</v>
      </c>
      <c r="DC139" s="228">
        <v>0.8</v>
      </c>
      <c r="DD139" s="228">
        <v>44.64</v>
      </c>
      <c r="DE139" s="228">
        <v>44.74</v>
      </c>
      <c r="DF139" s="228">
        <v>-6.32</v>
      </c>
      <c r="DG139" s="228">
        <v>-0.1</v>
      </c>
      <c r="DH139" s="228">
        <v>37.07</v>
      </c>
      <c r="DI139" s="228">
        <v>35.94</v>
      </c>
      <c r="DJ139" s="228">
        <v>1.1299999999999999</v>
      </c>
      <c r="DK139" s="228">
        <v>1.1299999999999999</v>
      </c>
      <c r="DL139" s="228">
        <v>41.46</v>
      </c>
      <c r="DM139" s="228">
        <v>42.31</v>
      </c>
      <c r="DN139" s="228">
        <v>-0.85</v>
      </c>
      <c r="DO139" s="228">
        <v>-0.85</v>
      </c>
      <c r="DP139" s="228">
        <v>0.69</v>
      </c>
      <c r="DQ139" s="228">
        <v>0.66</v>
      </c>
      <c r="DR139" s="228">
        <v>0.03</v>
      </c>
      <c r="DS139" s="229">
        <v>4.5499999999999999E-2</v>
      </c>
      <c r="DT139" s="231">
        <v>4000</v>
      </c>
      <c r="DU139" s="231">
        <v>3000</v>
      </c>
      <c r="DV139" s="228">
        <v>0.4</v>
      </c>
      <c r="DW139" s="228">
        <v>0.33</v>
      </c>
      <c r="DX139" s="228">
        <v>7.0000000000000007E-2</v>
      </c>
      <c r="DY139" s="229">
        <v>0.21210000000000001</v>
      </c>
      <c r="DZ139" s="229">
        <v>2.6499999999999999E-2</v>
      </c>
      <c r="EA139" s="230">
        <v>92125</v>
      </c>
      <c r="EB139" s="229">
        <v>1.1000000000000001E-3</v>
      </c>
      <c r="EC139" s="229">
        <v>2.6499999999999999E-2</v>
      </c>
      <c r="ED139" s="228">
        <v>-0.78</v>
      </c>
      <c r="EE139" s="229">
        <v>-2.0000000000000001E-4</v>
      </c>
      <c r="EF139" s="230">
        <v>370281</v>
      </c>
      <c r="EG139" s="230">
        <v>592695</v>
      </c>
      <c r="EH139" s="229">
        <v>-0.37530000000000002</v>
      </c>
      <c r="EI139" s="229">
        <v>0.4556</v>
      </c>
      <c r="EJ139" s="231">
        <v>82252.990000000005</v>
      </c>
      <c r="EK139" s="231">
        <v>29361.82</v>
      </c>
      <c r="EL139" s="231">
        <v>26167.279999999999</v>
      </c>
      <c r="EM139" s="231">
        <v>3899</v>
      </c>
      <c r="EN139" s="231">
        <v>137782.09</v>
      </c>
      <c r="EO139" s="231">
        <v>326576.46000000002</v>
      </c>
      <c r="EP139" s="231">
        <v>-188794.37</v>
      </c>
      <c r="EQ139" s="229">
        <v>-0.57809999999999995</v>
      </c>
      <c r="ER139" s="231">
        <v>65299</v>
      </c>
      <c r="ES139" s="231">
        <v>40370</v>
      </c>
      <c r="ET139" s="231">
        <v>122686</v>
      </c>
      <c r="EU139" s="231">
        <v>16050690</v>
      </c>
      <c r="EV139" s="231">
        <v>228355</v>
      </c>
      <c r="EW139" s="231">
        <v>230651</v>
      </c>
      <c r="EX139" s="231">
        <v>-2296</v>
      </c>
      <c r="EY139" s="229">
        <v>-0.01</v>
      </c>
      <c r="EZ139" s="229">
        <v>0.41489999999999999</v>
      </c>
      <c r="FA139" s="227" t="s">
        <v>567</v>
      </c>
      <c r="FB139" s="161">
        <f>BX139-CB139</f>
        <v>94050</v>
      </c>
    </row>
    <row r="140" spans="1:158" ht="17.25" thickBot="1" x14ac:dyDescent="0.3">
      <c r="A140" s="226">
        <v>46121</v>
      </c>
      <c r="B140" s="227" t="s">
        <v>702</v>
      </c>
      <c r="C140" s="227" t="s">
        <v>486</v>
      </c>
      <c r="D140" s="228">
        <v>625</v>
      </c>
      <c r="E140" s="228">
        <v>906.95</v>
      </c>
      <c r="F140" s="228">
        <v>901.4</v>
      </c>
      <c r="G140" s="228">
        <v>5.55</v>
      </c>
      <c r="H140" s="229">
        <v>6.1999999999999998E-3</v>
      </c>
      <c r="I140" s="228">
        <v>908.65</v>
      </c>
      <c r="J140" s="228">
        <v>903.2</v>
      </c>
      <c r="K140" s="228">
        <v>5.45</v>
      </c>
      <c r="L140" s="229">
        <v>6.0000000000000001E-3</v>
      </c>
      <c r="M140" s="228">
        <v>906.95</v>
      </c>
      <c r="N140" s="228">
        <v>901.4</v>
      </c>
      <c r="O140" s="228">
        <v>5.55</v>
      </c>
      <c r="P140" s="229">
        <v>6.1999999999999998E-3</v>
      </c>
      <c r="Q140" s="228">
        <v>901.75</v>
      </c>
      <c r="R140" s="228">
        <v>897.55</v>
      </c>
      <c r="S140" s="228">
        <v>4.2</v>
      </c>
      <c r="T140" s="229">
        <v>4.7000000000000002E-3</v>
      </c>
      <c r="U140" s="228">
        <v>886.45</v>
      </c>
      <c r="V140" s="228">
        <v>892</v>
      </c>
      <c r="W140" s="228">
        <v>-5.55</v>
      </c>
      <c r="X140" s="229">
        <v>-6.1999999999999998E-3</v>
      </c>
      <c r="Y140" s="228">
        <v>-1.7</v>
      </c>
      <c r="Z140" s="228">
        <v>-1.8</v>
      </c>
      <c r="AA140" s="228">
        <v>0.1</v>
      </c>
      <c r="AB140" s="229">
        <v>-1.9E-3</v>
      </c>
      <c r="AC140" s="228">
        <v>-1.7</v>
      </c>
      <c r="AD140" s="228">
        <v>-1.8</v>
      </c>
      <c r="AE140" s="228">
        <v>0.1</v>
      </c>
      <c r="AF140" s="229">
        <v>-1.9E-3</v>
      </c>
      <c r="AG140" s="228">
        <v>-6.9</v>
      </c>
      <c r="AH140" s="228">
        <v>-5.65</v>
      </c>
      <c r="AI140" s="228">
        <v>-1.25</v>
      </c>
      <c r="AJ140" s="229">
        <v>-7.6E-3</v>
      </c>
      <c r="AK140" s="228">
        <v>-22.2</v>
      </c>
      <c r="AL140" s="228">
        <v>-11.2</v>
      </c>
      <c r="AM140" s="228">
        <v>-11</v>
      </c>
      <c r="AN140" s="229">
        <v>-2.4400000000000002E-2</v>
      </c>
      <c r="AO140" s="228">
        <v>898.66</v>
      </c>
      <c r="AP140" s="228">
        <v>891.31</v>
      </c>
      <c r="AQ140" s="228">
        <v>0</v>
      </c>
      <c r="AR140" s="230">
        <v>1084375</v>
      </c>
      <c r="AS140" s="230">
        <v>1404375</v>
      </c>
      <c r="AT140" s="230">
        <v>-320000</v>
      </c>
      <c r="AU140" s="229">
        <v>-0.22789999999999999</v>
      </c>
      <c r="AV140" s="230">
        <v>980000</v>
      </c>
      <c r="AW140" s="230">
        <v>1343750</v>
      </c>
      <c r="AX140" s="230">
        <v>-363750</v>
      </c>
      <c r="AY140" s="229">
        <v>-0.2707</v>
      </c>
      <c r="AZ140" s="230">
        <v>102500</v>
      </c>
      <c r="BA140" s="230">
        <v>58750</v>
      </c>
      <c r="BB140" s="230">
        <v>43750</v>
      </c>
      <c r="BC140" s="229">
        <v>0.74470000000000003</v>
      </c>
      <c r="BD140" s="230">
        <v>1875</v>
      </c>
      <c r="BE140" s="230">
        <v>1875</v>
      </c>
      <c r="BF140" s="228">
        <v>0</v>
      </c>
      <c r="BG140" s="229">
        <v>0</v>
      </c>
      <c r="BH140" s="230">
        <v>804375</v>
      </c>
      <c r="BI140" s="230">
        <v>2873125</v>
      </c>
      <c r="BJ140" s="230">
        <v>-2068750</v>
      </c>
      <c r="BK140" s="229">
        <v>-0.72</v>
      </c>
      <c r="BL140" s="230">
        <v>1390000</v>
      </c>
      <c r="BM140" s="230">
        <v>921250</v>
      </c>
      <c r="BN140" s="230">
        <v>468750</v>
      </c>
      <c r="BO140" s="229">
        <v>0.50880000000000003</v>
      </c>
      <c r="BP140" s="230">
        <v>3278750</v>
      </c>
      <c r="BQ140" s="230">
        <v>5198750</v>
      </c>
      <c r="BR140" s="230">
        <v>-1920000</v>
      </c>
      <c r="BS140" s="229">
        <v>-0.36930000000000002</v>
      </c>
      <c r="BT140" s="230">
        <v>1392129</v>
      </c>
      <c r="BU140" s="230">
        <v>2575972</v>
      </c>
      <c r="BV140" s="230">
        <v>-1183843</v>
      </c>
      <c r="BW140" s="229">
        <v>-0.45960000000000001</v>
      </c>
      <c r="BX140" s="230">
        <v>1813750</v>
      </c>
      <c r="BY140" s="230">
        <v>1515625</v>
      </c>
      <c r="BZ140" s="230">
        <v>298125</v>
      </c>
      <c r="CA140" s="229">
        <v>0.19670000000000001</v>
      </c>
      <c r="CB140" s="230">
        <v>1730625</v>
      </c>
      <c r="CC140" s="230">
        <v>1486875</v>
      </c>
      <c r="CD140" s="230">
        <v>243750</v>
      </c>
      <c r="CE140" s="229">
        <v>0.16389999999999999</v>
      </c>
      <c r="CF140" s="230">
        <v>79375</v>
      </c>
      <c r="CG140" s="230">
        <v>25000</v>
      </c>
      <c r="CH140" s="230">
        <v>54375</v>
      </c>
      <c r="CI140" s="229">
        <v>2.1749999999999998</v>
      </c>
      <c r="CJ140" s="230">
        <v>3750</v>
      </c>
      <c r="CK140" s="230">
        <v>3750</v>
      </c>
      <c r="CL140" s="228">
        <v>0</v>
      </c>
      <c r="CM140" s="229">
        <v>0</v>
      </c>
      <c r="CN140" s="230">
        <v>262500</v>
      </c>
      <c r="CO140" s="230">
        <v>301875</v>
      </c>
      <c r="CP140" s="230">
        <v>-39375</v>
      </c>
      <c r="CQ140" s="229">
        <v>-0.13039999999999999</v>
      </c>
      <c r="CR140" s="230">
        <v>136875</v>
      </c>
      <c r="CS140" s="230">
        <v>92500</v>
      </c>
      <c r="CT140" s="230">
        <v>44375</v>
      </c>
      <c r="CU140" s="229">
        <v>0.47970000000000002</v>
      </c>
      <c r="CV140" s="230">
        <v>2213125</v>
      </c>
      <c r="CW140" s="230">
        <v>1910000</v>
      </c>
      <c r="CX140" s="230">
        <v>303125</v>
      </c>
      <c r="CY140" s="229">
        <v>0.15870000000000001</v>
      </c>
      <c r="CZ140" s="228">
        <v>52.84</v>
      </c>
      <c r="DA140" s="228">
        <v>50.13</v>
      </c>
      <c r="DB140" s="228">
        <v>2.71</v>
      </c>
      <c r="DC140" s="228">
        <v>2.71</v>
      </c>
      <c r="DD140" s="228">
        <v>49.02</v>
      </c>
      <c r="DE140" s="228">
        <v>49.14</v>
      </c>
      <c r="DF140" s="228">
        <v>3.82</v>
      </c>
      <c r="DG140" s="228">
        <v>-0.12</v>
      </c>
      <c r="DH140" s="228">
        <v>43.57</v>
      </c>
      <c r="DI140" s="228">
        <v>47.32</v>
      </c>
      <c r="DJ140" s="228">
        <v>-3.75</v>
      </c>
      <c r="DK140" s="228">
        <v>-3.75</v>
      </c>
      <c r="DL140" s="228">
        <v>58.21</v>
      </c>
      <c r="DM140" s="228">
        <v>58.89</v>
      </c>
      <c r="DN140" s="228">
        <v>-0.68</v>
      </c>
      <c r="DO140" s="228">
        <v>-0.68</v>
      </c>
      <c r="DP140" s="228">
        <v>0.52</v>
      </c>
      <c r="DQ140" s="228">
        <v>0.31</v>
      </c>
      <c r="DR140" s="228">
        <v>0.21</v>
      </c>
      <c r="DS140" s="229">
        <v>0.6774</v>
      </c>
      <c r="DT140" s="231">
        <v>1000</v>
      </c>
      <c r="DU140" s="228">
        <v>900</v>
      </c>
      <c r="DV140" s="228">
        <v>1.73</v>
      </c>
      <c r="DW140" s="228">
        <v>0.32</v>
      </c>
      <c r="DX140" s="228">
        <v>1.41</v>
      </c>
      <c r="DY140" s="229">
        <v>4.4062999999999999</v>
      </c>
      <c r="DZ140" s="229">
        <v>4.58E-2</v>
      </c>
      <c r="EA140" s="230">
        <v>28750</v>
      </c>
      <c r="EB140" s="229">
        <v>-5.7000000000000002E-3</v>
      </c>
      <c r="EC140" s="229">
        <v>4.58E-2</v>
      </c>
      <c r="ED140" s="228">
        <v>-7.35</v>
      </c>
      <c r="EE140" s="229">
        <v>-8.2000000000000007E-3</v>
      </c>
      <c r="EF140" s="230">
        <v>578238</v>
      </c>
      <c r="EG140" s="230">
        <v>995707</v>
      </c>
      <c r="EH140" s="229">
        <v>-0.41930000000000001</v>
      </c>
      <c r="EI140" s="229">
        <v>0.41539999999999999</v>
      </c>
      <c r="EJ140" s="231">
        <v>7804.22</v>
      </c>
      <c r="EK140" s="231">
        <v>10890.68</v>
      </c>
      <c r="EL140" s="231">
        <v>9737.11</v>
      </c>
      <c r="EM140" s="231">
        <v>1276</v>
      </c>
      <c r="EN140" s="231">
        <v>28432.01</v>
      </c>
      <c r="EO140" s="231">
        <v>47919.12</v>
      </c>
      <c r="EP140" s="231">
        <v>-19487.11</v>
      </c>
      <c r="EQ140" s="229">
        <v>-0.40670000000000001</v>
      </c>
      <c r="ER140" s="231">
        <v>2461</v>
      </c>
      <c r="ES140" s="231">
        <v>1130</v>
      </c>
      <c r="ET140" s="231">
        <v>16445</v>
      </c>
      <c r="EU140" s="231">
        <v>26709548</v>
      </c>
      <c r="EV140" s="231">
        <v>20036</v>
      </c>
      <c r="EW140" s="231">
        <v>17254</v>
      </c>
      <c r="EX140" s="231">
        <v>2782</v>
      </c>
      <c r="EY140" s="229">
        <v>0.16120000000000001</v>
      </c>
      <c r="EZ140" s="229">
        <v>8.2900000000000001E-2</v>
      </c>
      <c r="FA140" s="227" t="s">
        <v>555</v>
      </c>
      <c r="FB140" s="161">
        <f>BX140-CB140</f>
        <v>83125</v>
      </c>
    </row>
    <row r="141" spans="1:158" ht="17.25" thickBot="1" x14ac:dyDescent="0.3">
      <c r="A141" s="226">
        <v>46121</v>
      </c>
      <c r="B141" s="227" t="s">
        <v>227</v>
      </c>
      <c r="C141" s="227" t="s">
        <v>263</v>
      </c>
      <c r="D141" s="228">
        <v>3750</v>
      </c>
      <c r="E141" s="228">
        <v>414.55</v>
      </c>
      <c r="F141" s="228">
        <v>402.2</v>
      </c>
      <c r="G141" s="228">
        <v>12.35</v>
      </c>
      <c r="H141" s="229">
        <v>3.0700000000000002E-2</v>
      </c>
      <c r="I141" s="228">
        <v>412.35</v>
      </c>
      <c r="J141" s="228">
        <v>400.15</v>
      </c>
      <c r="K141" s="228">
        <v>12.2</v>
      </c>
      <c r="L141" s="229">
        <v>3.0499999999999999E-2</v>
      </c>
      <c r="M141" s="228">
        <v>414.55</v>
      </c>
      <c r="N141" s="228">
        <v>402.2</v>
      </c>
      <c r="O141" s="228">
        <v>12.35</v>
      </c>
      <c r="P141" s="229">
        <v>3.0700000000000002E-2</v>
      </c>
      <c r="Q141" s="228">
        <v>416.15</v>
      </c>
      <c r="R141" s="228">
        <v>404.25</v>
      </c>
      <c r="S141" s="228">
        <v>11.9</v>
      </c>
      <c r="T141" s="229">
        <v>2.9399999999999999E-2</v>
      </c>
      <c r="U141" s="228">
        <v>417.4</v>
      </c>
      <c r="V141" s="228">
        <v>405.15</v>
      </c>
      <c r="W141" s="228">
        <v>12.25</v>
      </c>
      <c r="X141" s="229">
        <v>3.0200000000000001E-2</v>
      </c>
      <c r="Y141" s="228">
        <v>2.2000000000000002</v>
      </c>
      <c r="Z141" s="228">
        <v>2.0499999999999998</v>
      </c>
      <c r="AA141" s="228">
        <v>0.15</v>
      </c>
      <c r="AB141" s="229">
        <v>5.3E-3</v>
      </c>
      <c r="AC141" s="228">
        <v>2.2000000000000002</v>
      </c>
      <c r="AD141" s="228">
        <v>2.0499999999999998</v>
      </c>
      <c r="AE141" s="228">
        <v>0.15</v>
      </c>
      <c r="AF141" s="229">
        <v>5.3E-3</v>
      </c>
      <c r="AG141" s="228">
        <v>3.8</v>
      </c>
      <c r="AH141" s="228">
        <v>4.0999999999999996</v>
      </c>
      <c r="AI141" s="228">
        <v>-0.3</v>
      </c>
      <c r="AJ141" s="229">
        <v>9.1999999999999998E-3</v>
      </c>
      <c r="AK141" s="228">
        <v>5.05</v>
      </c>
      <c r="AL141" s="228">
        <v>5</v>
      </c>
      <c r="AM141" s="228">
        <v>0.05</v>
      </c>
      <c r="AN141" s="229">
        <v>1.2200000000000001E-2</v>
      </c>
      <c r="AO141" s="228">
        <v>411.52</v>
      </c>
      <c r="AP141" s="228">
        <v>412.77</v>
      </c>
      <c r="AQ141" s="228">
        <v>0</v>
      </c>
      <c r="AR141" s="230">
        <v>21960000</v>
      </c>
      <c r="AS141" s="230">
        <v>25635000</v>
      </c>
      <c r="AT141" s="230">
        <v>-3675000</v>
      </c>
      <c r="AU141" s="229">
        <v>-0.1434</v>
      </c>
      <c r="AV141" s="230">
        <v>20718750</v>
      </c>
      <c r="AW141" s="230">
        <v>24281250</v>
      </c>
      <c r="AX141" s="230">
        <v>-3562500</v>
      </c>
      <c r="AY141" s="229">
        <v>-0.1467</v>
      </c>
      <c r="AZ141" s="230">
        <v>1083750</v>
      </c>
      <c r="BA141" s="230">
        <v>1192500</v>
      </c>
      <c r="BB141" s="230">
        <v>-108750</v>
      </c>
      <c r="BC141" s="229">
        <v>-9.1200000000000003E-2</v>
      </c>
      <c r="BD141" s="230">
        <v>157500</v>
      </c>
      <c r="BE141" s="230">
        <v>161250</v>
      </c>
      <c r="BF141" s="230">
        <v>-3750</v>
      </c>
      <c r="BG141" s="229">
        <v>-2.3300000000000001E-2</v>
      </c>
      <c r="BH141" s="230">
        <v>86730000</v>
      </c>
      <c r="BI141" s="230">
        <v>46920000</v>
      </c>
      <c r="BJ141" s="230">
        <v>39810000</v>
      </c>
      <c r="BK141" s="229">
        <v>0.84850000000000003</v>
      </c>
      <c r="BL141" s="230">
        <v>26932500</v>
      </c>
      <c r="BM141" s="230">
        <v>27427500</v>
      </c>
      <c r="BN141" s="230">
        <v>-495000</v>
      </c>
      <c r="BO141" s="229">
        <v>-1.7999999999999999E-2</v>
      </c>
      <c r="BP141" s="230">
        <v>135622500</v>
      </c>
      <c r="BQ141" s="230">
        <v>99982500</v>
      </c>
      <c r="BR141" s="230">
        <v>35640000</v>
      </c>
      <c r="BS141" s="229">
        <v>0.35649999999999998</v>
      </c>
      <c r="BT141" s="230">
        <v>15331054</v>
      </c>
      <c r="BU141" s="230">
        <v>22203835</v>
      </c>
      <c r="BV141" s="230">
        <v>-6872781</v>
      </c>
      <c r="BW141" s="229">
        <v>-0.3095</v>
      </c>
      <c r="BX141" s="230">
        <v>51307500</v>
      </c>
      <c r="BY141" s="230">
        <v>51243750</v>
      </c>
      <c r="BZ141" s="230">
        <v>63750</v>
      </c>
      <c r="CA141" s="229">
        <v>1.1999999999999999E-3</v>
      </c>
      <c r="CB141" s="230">
        <v>49822500</v>
      </c>
      <c r="CC141" s="230">
        <v>49533750</v>
      </c>
      <c r="CD141" s="230">
        <v>288750</v>
      </c>
      <c r="CE141" s="229">
        <v>5.7999999999999996E-3</v>
      </c>
      <c r="CF141" s="230">
        <v>1335000</v>
      </c>
      <c r="CG141" s="230">
        <v>1533750</v>
      </c>
      <c r="CH141" s="230">
        <v>-198750</v>
      </c>
      <c r="CI141" s="229">
        <v>-0.12959999999999999</v>
      </c>
      <c r="CJ141" s="230">
        <v>150000</v>
      </c>
      <c r="CK141" s="230">
        <v>176250</v>
      </c>
      <c r="CL141" s="230">
        <v>-26250</v>
      </c>
      <c r="CM141" s="229">
        <v>-0.1489</v>
      </c>
      <c r="CN141" s="230">
        <v>35175000</v>
      </c>
      <c r="CO141" s="230">
        <v>28818750</v>
      </c>
      <c r="CP141" s="230">
        <v>6356250</v>
      </c>
      <c r="CQ141" s="229">
        <v>0.22059999999999999</v>
      </c>
      <c r="CR141" s="230">
        <v>28747500</v>
      </c>
      <c r="CS141" s="230">
        <v>27783750</v>
      </c>
      <c r="CT141" s="230">
        <v>963750</v>
      </c>
      <c r="CU141" s="229">
        <v>3.4700000000000002E-2</v>
      </c>
      <c r="CV141" s="230">
        <v>115230000</v>
      </c>
      <c r="CW141" s="230">
        <v>107846250</v>
      </c>
      <c r="CX141" s="230">
        <v>7383750</v>
      </c>
      <c r="CY141" s="229">
        <v>6.8500000000000005E-2</v>
      </c>
      <c r="CZ141" s="228">
        <v>45.31</v>
      </c>
      <c r="DA141" s="228">
        <v>44.98</v>
      </c>
      <c r="DB141" s="228">
        <v>0.33</v>
      </c>
      <c r="DC141" s="228">
        <v>0.33</v>
      </c>
      <c r="DD141" s="228">
        <v>52.17</v>
      </c>
      <c r="DE141" s="228">
        <v>52.14</v>
      </c>
      <c r="DF141" s="228">
        <v>-6.86</v>
      </c>
      <c r="DG141" s="228">
        <v>0.03</v>
      </c>
      <c r="DH141" s="228">
        <v>44.91</v>
      </c>
      <c r="DI141" s="228">
        <v>44.75</v>
      </c>
      <c r="DJ141" s="228">
        <v>0.16</v>
      </c>
      <c r="DK141" s="228">
        <v>0.16</v>
      </c>
      <c r="DL141" s="228">
        <v>46.61</v>
      </c>
      <c r="DM141" s="228">
        <v>45.39</v>
      </c>
      <c r="DN141" s="228">
        <v>1.22</v>
      </c>
      <c r="DO141" s="228">
        <v>1.22</v>
      </c>
      <c r="DP141" s="228">
        <v>0.82</v>
      </c>
      <c r="DQ141" s="228">
        <v>0.96</v>
      </c>
      <c r="DR141" s="228">
        <v>-0.14000000000000001</v>
      </c>
      <c r="DS141" s="229">
        <v>-0.14580000000000001</v>
      </c>
      <c r="DT141" s="228">
        <v>470</v>
      </c>
      <c r="DU141" s="228">
        <v>410</v>
      </c>
      <c r="DV141" s="228">
        <v>0.31</v>
      </c>
      <c r="DW141" s="228">
        <v>0.57999999999999996</v>
      </c>
      <c r="DX141" s="228">
        <v>-0.27</v>
      </c>
      <c r="DY141" s="229">
        <v>-0.46550000000000002</v>
      </c>
      <c r="DZ141" s="229">
        <v>2.8899999999999999E-2</v>
      </c>
      <c r="EA141" s="230">
        <v>1710000</v>
      </c>
      <c r="EB141" s="229">
        <v>3.8999999999999998E-3</v>
      </c>
      <c r="EC141" s="229">
        <v>2.8899999999999999E-2</v>
      </c>
      <c r="ED141" s="228">
        <v>1.25</v>
      </c>
      <c r="EE141" s="229">
        <v>3.0000000000000001E-3</v>
      </c>
      <c r="EF141" s="230">
        <v>5601527</v>
      </c>
      <c r="EG141" s="230">
        <v>9278159</v>
      </c>
      <c r="EH141" s="229">
        <v>-0.39629999999999999</v>
      </c>
      <c r="EI141" s="229">
        <v>0.3654</v>
      </c>
      <c r="EJ141" s="231">
        <v>389534.13</v>
      </c>
      <c r="EK141" s="231">
        <v>107526.2</v>
      </c>
      <c r="EL141" s="231">
        <v>90386.3</v>
      </c>
      <c r="EM141" s="231">
        <v>5625</v>
      </c>
      <c r="EN141" s="231">
        <v>587446.63</v>
      </c>
      <c r="EO141" s="231">
        <v>417486.69</v>
      </c>
      <c r="EP141" s="231">
        <v>169959.94</v>
      </c>
      <c r="EQ141" s="229">
        <v>0.40710000000000002</v>
      </c>
      <c r="ER141" s="231">
        <v>149658</v>
      </c>
      <c r="ES141" s="231">
        <v>108337</v>
      </c>
      <c r="ET141" s="231">
        <v>212721</v>
      </c>
      <c r="EU141" s="231">
        <v>134225816</v>
      </c>
      <c r="EV141" s="231">
        <v>470716</v>
      </c>
      <c r="EW141" s="231">
        <v>429528</v>
      </c>
      <c r="EX141" s="231">
        <v>41188</v>
      </c>
      <c r="EY141" s="229">
        <v>9.5899999999999999E-2</v>
      </c>
      <c r="EZ141" s="229">
        <v>0.85850000000000004</v>
      </c>
      <c r="FA141" s="227" t="s">
        <v>555</v>
      </c>
      <c r="FB141" s="161">
        <f>BX220-CB220</f>
        <v>152100</v>
      </c>
    </row>
    <row r="142" spans="1:158" ht="17.25" thickBot="1" x14ac:dyDescent="0.3">
      <c r="A142" s="226">
        <v>46121</v>
      </c>
      <c r="B142" s="227" t="s">
        <v>614</v>
      </c>
      <c r="C142" s="227" t="s">
        <v>264</v>
      </c>
      <c r="D142" s="228">
        <v>375</v>
      </c>
      <c r="E142" s="231">
        <v>1003.25</v>
      </c>
      <c r="F142" s="231">
        <v>1032.1500000000001</v>
      </c>
      <c r="G142" s="228">
        <v>-28.9</v>
      </c>
      <c r="H142" s="229">
        <v>-2.8000000000000001E-2</v>
      </c>
      <c r="I142" s="231">
        <v>1002.4</v>
      </c>
      <c r="J142" s="231">
        <v>1032.7</v>
      </c>
      <c r="K142" s="228">
        <v>-30.3</v>
      </c>
      <c r="L142" s="229">
        <v>-2.93E-2</v>
      </c>
      <c r="M142" s="231">
        <v>1003.25</v>
      </c>
      <c r="N142" s="231">
        <v>1032.1500000000001</v>
      </c>
      <c r="O142" s="228">
        <v>-28.9</v>
      </c>
      <c r="P142" s="229">
        <v>-2.8000000000000001E-2</v>
      </c>
      <c r="Q142" s="231">
        <v>1001.75</v>
      </c>
      <c r="R142" s="231">
        <v>1031.3499999999999</v>
      </c>
      <c r="S142" s="228">
        <v>-29.6</v>
      </c>
      <c r="T142" s="229">
        <v>-2.87E-2</v>
      </c>
      <c r="U142" s="231">
        <v>1006.65</v>
      </c>
      <c r="V142" s="231">
        <v>1032.3499999999999</v>
      </c>
      <c r="W142" s="228">
        <v>-25.7</v>
      </c>
      <c r="X142" s="229">
        <v>-2.4899999999999999E-2</v>
      </c>
      <c r="Y142" s="228">
        <v>0.85</v>
      </c>
      <c r="Z142" s="228">
        <v>-0.55000000000000004</v>
      </c>
      <c r="AA142" s="228">
        <v>1.4</v>
      </c>
      <c r="AB142" s="229">
        <v>8.0000000000000004E-4</v>
      </c>
      <c r="AC142" s="228">
        <v>0.85</v>
      </c>
      <c r="AD142" s="228">
        <v>-0.55000000000000004</v>
      </c>
      <c r="AE142" s="228">
        <v>1.4</v>
      </c>
      <c r="AF142" s="229">
        <v>8.0000000000000004E-4</v>
      </c>
      <c r="AG142" s="228">
        <v>-0.65</v>
      </c>
      <c r="AH142" s="228">
        <v>-1.35</v>
      </c>
      <c r="AI142" s="228">
        <v>0.7</v>
      </c>
      <c r="AJ142" s="229">
        <v>-5.9999999999999995E-4</v>
      </c>
      <c r="AK142" s="228">
        <v>4.25</v>
      </c>
      <c r="AL142" s="228">
        <v>-0.35</v>
      </c>
      <c r="AM142" s="228">
        <v>4.5999999999999996</v>
      </c>
      <c r="AN142" s="229">
        <v>4.1999999999999997E-3</v>
      </c>
      <c r="AO142" s="231">
        <v>1001.7</v>
      </c>
      <c r="AP142" s="228">
        <v>996.67</v>
      </c>
      <c r="AQ142" s="228">
        <v>0</v>
      </c>
      <c r="AR142" s="230">
        <v>3078375</v>
      </c>
      <c r="AS142" s="230">
        <v>1035375</v>
      </c>
      <c r="AT142" s="230">
        <v>2043000</v>
      </c>
      <c r="AU142" s="229">
        <v>1.9732000000000001</v>
      </c>
      <c r="AV142" s="230">
        <v>2869875</v>
      </c>
      <c r="AW142" s="230">
        <v>995250</v>
      </c>
      <c r="AX142" s="230">
        <v>1874625</v>
      </c>
      <c r="AY142" s="229">
        <v>1.8835999999999999</v>
      </c>
      <c r="AZ142" s="230">
        <v>192000</v>
      </c>
      <c r="BA142" s="230">
        <v>34875</v>
      </c>
      <c r="BB142" s="230">
        <v>157125</v>
      </c>
      <c r="BC142" s="229">
        <v>4.5053999999999998</v>
      </c>
      <c r="BD142" s="230">
        <v>16500</v>
      </c>
      <c r="BE142" s="230">
        <v>5250</v>
      </c>
      <c r="BF142" s="230">
        <v>11250</v>
      </c>
      <c r="BG142" s="229">
        <v>2.1429</v>
      </c>
      <c r="BH142" s="230">
        <v>5500125</v>
      </c>
      <c r="BI142" s="230">
        <v>1884375</v>
      </c>
      <c r="BJ142" s="230">
        <v>3615750</v>
      </c>
      <c r="BK142" s="229">
        <v>1.9188000000000001</v>
      </c>
      <c r="BL142" s="230">
        <v>4329375</v>
      </c>
      <c r="BM142" s="230">
        <v>766125</v>
      </c>
      <c r="BN142" s="230">
        <v>3563250</v>
      </c>
      <c r="BO142" s="229">
        <v>4.6509999999999998</v>
      </c>
      <c r="BP142" s="230">
        <v>12907875</v>
      </c>
      <c r="BQ142" s="230">
        <v>3685875</v>
      </c>
      <c r="BR142" s="230">
        <v>9222000</v>
      </c>
      <c r="BS142" s="229">
        <v>2.5019999999999998</v>
      </c>
      <c r="BT142" s="230">
        <v>3899858</v>
      </c>
      <c r="BU142" s="230">
        <v>1786355</v>
      </c>
      <c r="BV142" s="230">
        <v>2113503</v>
      </c>
      <c r="BW142" s="229">
        <v>1.1831</v>
      </c>
      <c r="BX142" s="230">
        <v>10071375</v>
      </c>
      <c r="BY142" s="230">
        <v>9534375</v>
      </c>
      <c r="BZ142" s="230">
        <v>537000</v>
      </c>
      <c r="CA142" s="229">
        <v>5.6300000000000003E-2</v>
      </c>
      <c r="CB142" s="230">
        <v>9890250</v>
      </c>
      <c r="CC142" s="230">
        <v>9408000</v>
      </c>
      <c r="CD142" s="230">
        <v>482250</v>
      </c>
      <c r="CE142" s="229">
        <v>5.1299999999999998E-2</v>
      </c>
      <c r="CF142" s="230">
        <v>163125</v>
      </c>
      <c r="CG142" s="230">
        <v>120750</v>
      </c>
      <c r="CH142" s="230">
        <v>42375</v>
      </c>
      <c r="CI142" s="229">
        <v>0.35089999999999999</v>
      </c>
      <c r="CJ142" s="230">
        <v>18000</v>
      </c>
      <c r="CK142" s="230">
        <v>5625</v>
      </c>
      <c r="CL142" s="230">
        <v>12375</v>
      </c>
      <c r="CM142" s="229">
        <v>2.2000000000000002</v>
      </c>
      <c r="CN142" s="230">
        <v>2190375</v>
      </c>
      <c r="CO142" s="230">
        <v>1957125</v>
      </c>
      <c r="CP142" s="230">
        <v>233250</v>
      </c>
      <c r="CQ142" s="229">
        <v>0.1192</v>
      </c>
      <c r="CR142" s="230">
        <v>1102500</v>
      </c>
      <c r="CS142" s="230">
        <v>893250</v>
      </c>
      <c r="CT142" s="230">
        <v>209250</v>
      </c>
      <c r="CU142" s="229">
        <v>0.23430000000000001</v>
      </c>
      <c r="CV142" s="230">
        <v>13364250</v>
      </c>
      <c r="CW142" s="230">
        <v>12384750</v>
      </c>
      <c r="CX142" s="230">
        <v>979500</v>
      </c>
      <c r="CY142" s="229">
        <v>7.9100000000000004E-2</v>
      </c>
      <c r="CZ142" s="228">
        <v>34.020000000000003</v>
      </c>
      <c r="DA142" s="228">
        <v>36.19</v>
      </c>
      <c r="DB142" s="228">
        <v>-2.17</v>
      </c>
      <c r="DC142" s="228">
        <v>-2.17</v>
      </c>
      <c r="DD142" s="228">
        <v>36.68</v>
      </c>
      <c r="DE142" s="228">
        <v>36.57</v>
      </c>
      <c r="DF142" s="228">
        <v>-2.66</v>
      </c>
      <c r="DG142" s="228">
        <v>0.11</v>
      </c>
      <c r="DH142" s="228">
        <v>33.450000000000003</v>
      </c>
      <c r="DI142" s="228">
        <v>35.51</v>
      </c>
      <c r="DJ142" s="228">
        <v>-2.06</v>
      </c>
      <c r="DK142" s="228">
        <v>-2.06</v>
      </c>
      <c r="DL142" s="228">
        <v>34.74</v>
      </c>
      <c r="DM142" s="228">
        <v>37.869999999999997</v>
      </c>
      <c r="DN142" s="228">
        <v>-3.13</v>
      </c>
      <c r="DO142" s="228">
        <v>-3.13</v>
      </c>
      <c r="DP142" s="228">
        <v>0.5</v>
      </c>
      <c r="DQ142" s="228">
        <v>0.46</v>
      </c>
      <c r="DR142" s="228">
        <v>0.04</v>
      </c>
      <c r="DS142" s="229">
        <v>8.6999999999999994E-2</v>
      </c>
      <c r="DT142" s="231">
        <v>1020</v>
      </c>
      <c r="DU142" s="231">
        <v>1000</v>
      </c>
      <c r="DV142" s="228">
        <v>0.79</v>
      </c>
      <c r="DW142" s="228">
        <v>0.41</v>
      </c>
      <c r="DX142" s="228">
        <v>0.38</v>
      </c>
      <c r="DY142" s="229">
        <v>0.92679999999999996</v>
      </c>
      <c r="DZ142" s="229">
        <v>1.7999999999999999E-2</v>
      </c>
      <c r="EA142" s="230">
        <v>126375</v>
      </c>
      <c r="EB142" s="229">
        <v>-1.5E-3</v>
      </c>
      <c r="EC142" s="229">
        <v>1.7999999999999999E-2</v>
      </c>
      <c r="ED142" s="228">
        <v>-5.03</v>
      </c>
      <c r="EE142" s="229">
        <v>-5.0000000000000001E-3</v>
      </c>
      <c r="EF142" s="230">
        <v>1664931</v>
      </c>
      <c r="EG142" s="230">
        <v>1070384</v>
      </c>
      <c r="EH142" s="229">
        <v>0.55549999999999999</v>
      </c>
      <c r="EI142" s="229">
        <v>0.4269</v>
      </c>
      <c r="EJ142" s="231">
        <v>58140.46</v>
      </c>
      <c r="EK142" s="231">
        <v>43681.46</v>
      </c>
      <c r="EL142" s="231">
        <v>30826.41</v>
      </c>
      <c r="EM142" s="231">
        <v>3620</v>
      </c>
      <c r="EN142" s="231">
        <v>132648.32999999999</v>
      </c>
      <c r="EO142" s="231">
        <v>38907.050000000003</v>
      </c>
      <c r="EP142" s="231">
        <v>93741.28</v>
      </c>
      <c r="EQ142" s="229">
        <v>2.4094000000000002</v>
      </c>
      <c r="ER142" s="231">
        <v>22887</v>
      </c>
      <c r="ES142" s="231">
        <v>10721</v>
      </c>
      <c r="ET142" s="231">
        <v>101039</v>
      </c>
      <c r="EU142" s="231">
        <v>60562281</v>
      </c>
      <c r="EV142" s="231">
        <v>134648</v>
      </c>
      <c r="EW142" s="231">
        <v>127675</v>
      </c>
      <c r="EX142" s="231">
        <v>6973</v>
      </c>
      <c r="EY142" s="229">
        <v>5.4600000000000003E-2</v>
      </c>
      <c r="EZ142" s="229">
        <v>0.22070000000000001</v>
      </c>
      <c r="FA142" s="227" t="s">
        <v>566</v>
      </c>
      <c r="FB142" s="161">
        <f t="shared" ref="FB142:FB161" si="3">BX221-CB221</f>
        <v>0</v>
      </c>
    </row>
    <row r="143" spans="1:158" ht="17.25" thickBot="1" x14ac:dyDescent="0.3">
      <c r="A143" s="226">
        <v>46121</v>
      </c>
      <c r="B143" s="227" t="s">
        <v>206</v>
      </c>
      <c r="C143" s="227" t="s">
        <v>550</v>
      </c>
      <c r="D143" s="228">
        <v>6500</v>
      </c>
      <c r="E143" s="228">
        <v>88.25</v>
      </c>
      <c r="F143" s="228">
        <v>89.18</v>
      </c>
      <c r="G143" s="228">
        <v>-0.93</v>
      </c>
      <c r="H143" s="229">
        <v>-1.04E-2</v>
      </c>
      <c r="I143" s="228">
        <v>87.83</v>
      </c>
      <c r="J143" s="228">
        <v>88.73</v>
      </c>
      <c r="K143" s="228">
        <v>-0.9</v>
      </c>
      <c r="L143" s="229">
        <v>-1.01E-2</v>
      </c>
      <c r="M143" s="228">
        <v>88.25</v>
      </c>
      <c r="N143" s="228">
        <v>89.18</v>
      </c>
      <c r="O143" s="228">
        <v>-0.93</v>
      </c>
      <c r="P143" s="229">
        <v>-1.04E-2</v>
      </c>
      <c r="Q143" s="228">
        <v>88.68</v>
      </c>
      <c r="R143" s="228">
        <v>89.64</v>
      </c>
      <c r="S143" s="228">
        <v>-0.96</v>
      </c>
      <c r="T143" s="229">
        <v>-1.0699999999999999E-2</v>
      </c>
      <c r="U143" s="228">
        <v>89.31</v>
      </c>
      <c r="V143" s="228">
        <v>90.4</v>
      </c>
      <c r="W143" s="228">
        <v>-1.0900000000000001</v>
      </c>
      <c r="X143" s="229">
        <v>-1.21E-2</v>
      </c>
      <c r="Y143" s="228">
        <v>0.42</v>
      </c>
      <c r="Z143" s="228">
        <v>0.45</v>
      </c>
      <c r="AA143" s="228">
        <v>-0.03</v>
      </c>
      <c r="AB143" s="229">
        <v>4.7999999999999996E-3</v>
      </c>
      <c r="AC143" s="228">
        <v>0.42</v>
      </c>
      <c r="AD143" s="228">
        <v>0.45</v>
      </c>
      <c r="AE143" s="228">
        <v>-0.03</v>
      </c>
      <c r="AF143" s="229">
        <v>4.7999999999999996E-3</v>
      </c>
      <c r="AG143" s="228">
        <v>0.85</v>
      </c>
      <c r="AH143" s="228">
        <v>0.91</v>
      </c>
      <c r="AI143" s="228">
        <v>-0.06</v>
      </c>
      <c r="AJ143" s="229">
        <v>9.7000000000000003E-3</v>
      </c>
      <c r="AK143" s="228">
        <v>1.48</v>
      </c>
      <c r="AL143" s="228">
        <v>1.67</v>
      </c>
      <c r="AM143" s="228">
        <v>-0.19</v>
      </c>
      <c r="AN143" s="229">
        <v>1.6899999999999998E-2</v>
      </c>
      <c r="AO143" s="228">
        <v>88.34</v>
      </c>
      <c r="AP143" s="228">
        <v>88.38</v>
      </c>
      <c r="AQ143" s="228">
        <v>0</v>
      </c>
      <c r="AR143" s="230">
        <v>9529000</v>
      </c>
      <c r="AS143" s="230">
        <v>14014000</v>
      </c>
      <c r="AT143" s="230">
        <v>-4485000</v>
      </c>
      <c r="AU143" s="229">
        <v>-0.32</v>
      </c>
      <c r="AV143" s="230">
        <v>7767500</v>
      </c>
      <c r="AW143" s="230">
        <v>12662000</v>
      </c>
      <c r="AX143" s="230">
        <v>-4894500</v>
      </c>
      <c r="AY143" s="229">
        <v>-0.3866</v>
      </c>
      <c r="AZ143" s="230">
        <v>1657500</v>
      </c>
      <c r="BA143" s="230">
        <v>1215500</v>
      </c>
      <c r="BB143" s="230">
        <v>442000</v>
      </c>
      <c r="BC143" s="229">
        <v>0.36359999999999998</v>
      </c>
      <c r="BD143" s="230">
        <v>104000</v>
      </c>
      <c r="BE143" s="230">
        <v>136500</v>
      </c>
      <c r="BF143" s="230">
        <v>-32500</v>
      </c>
      <c r="BG143" s="229">
        <v>-0.23810000000000001</v>
      </c>
      <c r="BH143" s="230">
        <v>11388000</v>
      </c>
      <c r="BI143" s="230">
        <v>21242000</v>
      </c>
      <c r="BJ143" s="230">
        <v>-9854000</v>
      </c>
      <c r="BK143" s="229">
        <v>-0.46389999999999998</v>
      </c>
      <c r="BL143" s="230">
        <v>5219500</v>
      </c>
      <c r="BM143" s="230">
        <v>9490000</v>
      </c>
      <c r="BN143" s="230">
        <v>-4270500</v>
      </c>
      <c r="BO143" s="229">
        <v>-0.45</v>
      </c>
      <c r="BP143" s="230">
        <v>26136500</v>
      </c>
      <c r="BQ143" s="230">
        <v>44746000</v>
      </c>
      <c r="BR143" s="230">
        <v>-18609500</v>
      </c>
      <c r="BS143" s="229">
        <v>-0.41589999999999999</v>
      </c>
      <c r="BT143" s="230">
        <v>11823601</v>
      </c>
      <c r="BU143" s="230">
        <v>13688003</v>
      </c>
      <c r="BV143" s="230">
        <v>-1864402</v>
      </c>
      <c r="BW143" s="229">
        <v>-0.13619999999999999</v>
      </c>
      <c r="BX143" s="230">
        <v>78318500</v>
      </c>
      <c r="BY143" s="230">
        <v>78468000</v>
      </c>
      <c r="BZ143" s="230">
        <v>-149500</v>
      </c>
      <c r="CA143" s="229">
        <v>-1.9E-3</v>
      </c>
      <c r="CB143" s="230">
        <v>75627500</v>
      </c>
      <c r="CC143" s="230">
        <v>75751000</v>
      </c>
      <c r="CD143" s="230">
        <v>-123500</v>
      </c>
      <c r="CE143" s="229">
        <v>-1.6000000000000001E-3</v>
      </c>
      <c r="CF143" s="230">
        <v>2483000</v>
      </c>
      <c r="CG143" s="230">
        <v>2554500</v>
      </c>
      <c r="CH143" s="230">
        <v>-71500</v>
      </c>
      <c r="CI143" s="229">
        <v>-2.8000000000000001E-2</v>
      </c>
      <c r="CJ143" s="230">
        <v>208000</v>
      </c>
      <c r="CK143" s="230">
        <v>162500</v>
      </c>
      <c r="CL143" s="230">
        <v>45500</v>
      </c>
      <c r="CM143" s="229">
        <v>0.28000000000000003</v>
      </c>
      <c r="CN143" s="230">
        <v>15301000</v>
      </c>
      <c r="CO143" s="230">
        <v>13858000</v>
      </c>
      <c r="CP143" s="230">
        <v>1443000</v>
      </c>
      <c r="CQ143" s="229">
        <v>0.1041</v>
      </c>
      <c r="CR143" s="230">
        <v>12733500</v>
      </c>
      <c r="CS143" s="230">
        <v>12317500</v>
      </c>
      <c r="CT143" s="230">
        <v>416000</v>
      </c>
      <c r="CU143" s="229">
        <v>3.3799999999999997E-2</v>
      </c>
      <c r="CV143" s="230">
        <v>106353000</v>
      </c>
      <c r="CW143" s="230">
        <v>104643500</v>
      </c>
      <c r="CX143" s="230">
        <v>1709500</v>
      </c>
      <c r="CY143" s="229">
        <v>1.6299999999999999E-2</v>
      </c>
      <c r="CZ143" s="228">
        <v>45.74</v>
      </c>
      <c r="DA143" s="228">
        <v>46.39</v>
      </c>
      <c r="DB143" s="228">
        <v>-0.65</v>
      </c>
      <c r="DC143" s="228">
        <v>-0.65</v>
      </c>
      <c r="DD143" s="228">
        <v>52.24</v>
      </c>
      <c r="DE143" s="228">
        <v>52.35</v>
      </c>
      <c r="DF143" s="228">
        <v>-6.5</v>
      </c>
      <c r="DG143" s="228">
        <v>-0.11</v>
      </c>
      <c r="DH143" s="228">
        <v>44.57</v>
      </c>
      <c r="DI143" s="228">
        <v>44.78</v>
      </c>
      <c r="DJ143" s="228">
        <v>-0.21</v>
      </c>
      <c r="DK143" s="228">
        <v>-0.21</v>
      </c>
      <c r="DL143" s="228">
        <v>48.3</v>
      </c>
      <c r="DM143" s="228">
        <v>50.01</v>
      </c>
      <c r="DN143" s="228">
        <v>-1.71</v>
      </c>
      <c r="DO143" s="228">
        <v>-1.71</v>
      </c>
      <c r="DP143" s="228">
        <v>0.83</v>
      </c>
      <c r="DQ143" s="228">
        <v>0.89</v>
      </c>
      <c r="DR143" s="228">
        <v>-0.06</v>
      </c>
      <c r="DS143" s="229">
        <v>-6.7400000000000002E-2</v>
      </c>
      <c r="DT143" s="228">
        <v>90</v>
      </c>
      <c r="DU143" s="228">
        <v>85</v>
      </c>
      <c r="DV143" s="228">
        <v>0.46</v>
      </c>
      <c r="DW143" s="228">
        <v>0.45</v>
      </c>
      <c r="DX143" s="228">
        <v>0.01</v>
      </c>
      <c r="DY143" s="229">
        <v>2.2200000000000001E-2</v>
      </c>
      <c r="DZ143" s="229">
        <v>3.44E-2</v>
      </c>
      <c r="EA143" s="230">
        <v>2717000</v>
      </c>
      <c r="EB143" s="229">
        <v>4.8999999999999998E-3</v>
      </c>
      <c r="EC143" s="229">
        <v>3.44E-2</v>
      </c>
      <c r="ED143" s="228">
        <v>0.04</v>
      </c>
      <c r="EE143" s="229">
        <v>5.0000000000000001E-4</v>
      </c>
      <c r="EF143" s="230">
        <v>2897496</v>
      </c>
      <c r="EG143" s="230">
        <v>4709860</v>
      </c>
      <c r="EH143" s="229">
        <v>-0.38479999999999998</v>
      </c>
      <c r="EI143" s="229">
        <v>0.24510000000000001</v>
      </c>
      <c r="EJ143" s="231">
        <v>10790.36</v>
      </c>
      <c r="EK143" s="231">
        <v>4465.46</v>
      </c>
      <c r="EL143" s="231">
        <v>8419.4500000000007</v>
      </c>
      <c r="EM143" s="231">
        <v>1645</v>
      </c>
      <c r="EN143" s="231">
        <v>23675.27</v>
      </c>
      <c r="EO143" s="231">
        <v>40691.910000000003</v>
      </c>
      <c r="EP143" s="231">
        <v>-17016.64</v>
      </c>
      <c r="EQ143" s="229">
        <v>-0.41820000000000002</v>
      </c>
      <c r="ER143" s="231">
        <v>13745</v>
      </c>
      <c r="ES143" s="231">
        <v>10686</v>
      </c>
      <c r="ET143" s="231">
        <v>69129</v>
      </c>
      <c r="EU143" s="231">
        <v>154894704</v>
      </c>
      <c r="EV143" s="231">
        <v>93560</v>
      </c>
      <c r="EW143" s="231">
        <v>92718</v>
      </c>
      <c r="EX143" s="228">
        <v>842</v>
      </c>
      <c r="EY143" s="229">
        <v>9.1000000000000004E-3</v>
      </c>
      <c r="EZ143" s="229">
        <v>0.68659999999999999</v>
      </c>
      <c r="FA143" s="227" t="s">
        <v>567</v>
      </c>
      <c r="FB143" s="161">
        <f t="shared" si="3"/>
        <v>0</v>
      </c>
    </row>
    <row r="144" spans="1:158" ht="17.25" thickBot="1" x14ac:dyDescent="0.3">
      <c r="A144" s="226">
        <v>46121</v>
      </c>
      <c r="B144" s="227" t="s">
        <v>168</v>
      </c>
      <c r="C144" s="227" t="s">
        <v>265</v>
      </c>
      <c r="D144" s="228">
        <v>500</v>
      </c>
      <c r="E144" s="231">
        <v>1231.0999999999999</v>
      </c>
      <c r="F144" s="231">
        <v>1217.3</v>
      </c>
      <c r="G144" s="228">
        <v>13.8</v>
      </c>
      <c r="H144" s="229">
        <v>1.1299999999999999E-2</v>
      </c>
      <c r="I144" s="231">
        <v>1228.7</v>
      </c>
      <c r="J144" s="231">
        <v>1213.7</v>
      </c>
      <c r="K144" s="228">
        <v>15</v>
      </c>
      <c r="L144" s="229">
        <v>1.24E-2</v>
      </c>
      <c r="M144" s="231">
        <v>1231.0999999999999</v>
      </c>
      <c r="N144" s="231">
        <v>1217.3</v>
      </c>
      <c r="O144" s="228">
        <v>13.8</v>
      </c>
      <c r="P144" s="229">
        <v>1.1299999999999999E-2</v>
      </c>
      <c r="Q144" s="231">
        <v>1237.3</v>
      </c>
      <c r="R144" s="231">
        <v>1225.4000000000001</v>
      </c>
      <c r="S144" s="228">
        <v>11.9</v>
      </c>
      <c r="T144" s="229">
        <v>9.7000000000000003E-3</v>
      </c>
      <c r="U144" s="231">
        <v>1245.4000000000001</v>
      </c>
      <c r="V144" s="231">
        <v>1233</v>
      </c>
      <c r="W144" s="228">
        <v>12.4</v>
      </c>
      <c r="X144" s="229">
        <v>1.01E-2</v>
      </c>
      <c r="Y144" s="228">
        <v>2.4</v>
      </c>
      <c r="Z144" s="228">
        <v>3.6</v>
      </c>
      <c r="AA144" s="228">
        <v>-1.2</v>
      </c>
      <c r="AB144" s="229">
        <v>2E-3</v>
      </c>
      <c r="AC144" s="228">
        <v>2.4</v>
      </c>
      <c r="AD144" s="228">
        <v>3.6</v>
      </c>
      <c r="AE144" s="228">
        <v>-1.2</v>
      </c>
      <c r="AF144" s="229">
        <v>2E-3</v>
      </c>
      <c r="AG144" s="228">
        <v>8.6</v>
      </c>
      <c r="AH144" s="228">
        <v>11.7</v>
      </c>
      <c r="AI144" s="228">
        <v>-3.1</v>
      </c>
      <c r="AJ144" s="229">
        <v>7.0000000000000001E-3</v>
      </c>
      <c r="AK144" s="228">
        <v>16.7</v>
      </c>
      <c r="AL144" s="228">
        <v>19.3</v>
      </c>
      <c r="AM144" s="228">
        <v>-2.6</v>
      </c>
      <c r="AN144" s="229">
        <v>1.3599999999999999E-2</v>
      </c>
      <c r="AO144" s="231">
        <v>1225.94</v>
      </c>
      <c r="AP144" s="231">
        <v>1231.72</v>
      </c>
      <c r="AQ144" s="228">
        <v>0</v>
      </c>
      <c r="AR144" s="230">
        <v>1544000</v>
      </c>
      <c r="AS144" s="230">
        <v>1998500</v>
      </c>
      <c r="AT144" s="230">
        <v>-454500</v>
      </c>
      <c r="AU144" s="229">
        <v>-0.22739999999999999</v>
      </c>
      <c r="AV144" s="230">
        <v>1436000</v>
      </c>
      <c r="AW144" s="230">
        <v>1794000</v>
      </c>
      <c r="AX144" s="230">
        <v>-358000</v>
      </c>
      <c r="AY144" s="229">
        <v>-0.1996</v>
      </c>
      <c r="AZ144" s="230">
        <v>93500</v>
      </c>
      <c r="BA144" s="230">
        <v>173000</v>
      </c>
      <c r="BB144" s="230">
        <v>-79500</v>
      </c>
      <c r="BC144" s="229">
        <v>-0.45950000000000002</v>
      </c>
      <c r="BD144" s="230">
        <v>14500</v>
      </c>
      <c r="BE144" s="230">
        <v>31500</v>
      </c>
      <c r="BF144" s="230">
        <v>-17000</v>
      </c>
      <c r="BG144" s="229">
        <v>-0.53969999999999996</v>
      </c>
      <c r="BH144" s="230">
        <v>2113500</v>
      </c>
      <c r="BI144" s="230">
        <v>3752000</v>
      </c>
      <c r="BJ144" s="230">
        <v>-1638500</v>
      </c>
      <c r="BK144" s="229">
        <v>-0.43669999999999998</v>
      </c>
      <c r="BL144" s="230">
        <v>1176500</v>
      </c>
      <c r="BM144" s="230">
        <v>2084500</v>
      </c>
      <c r="BN144" s="230">
        <v>-908000</v>
      </c>
      <c r="BO144" s="229">
        <v>-0.43559999999999999</v>
      </c>
      <c r="BP144" s="230">
        <v>4834000</v>
      </c>
      <c r="BQ144" s="230">
        <v>7835000</v>
      </c>
      <c r="BR144" s="230">
        <v>-3001000</v>
      </c>
      <c r="BS144" s="229">
        <v>-0.38300000000000001</v>
      </c>
      <c r="BT144" s="230">
        <v>1292770</v>
      </c>
      <c r="BU144" s="230">
        <v>1720881</v>
      </c>
      <c r="BV144" s="230">
        <v>-428111</v>
      </c>
      <c r="BW144" s="229">
        <v>-0.24879999999999999</v>
      </c>
      <c r="BX144" s="230">
        <v>18209500</v>
      </c>
      <c r="BY144" s="230">
        <v>18403500</v>
      </c>
      <c r="BZ144" s="230">
        <v>-194000</v>
      </c>
      <c r="CA144" s="229">
        <v>-1.0500000000000001E-2</v>
      </c>
      <c r="CB144" s="230">
        <v>17688500</v>
      </c>
      <c r="CC144" s="230">
        <v>17888500</v>
      </c>
      <c r="CD144" s="230">
        <v>-200000</v>
      </c>
      <c r="CE144" s="229">
        <v>-1.12E-2</v>
      </c>
      <c r="CF144" s="230">
        <v>436500</v>
      </c>
      <c r="CG144" s="230">
        <v>427000</v>
      </c>
      <c r="CH144" s="230">
        <v>9500</v>
      </c>
      <c r="CI144" s="229">
        <v>2.2200000000000001E-2</v>
      </c>
      <c r="CJ144" s="230">
        <v>84500</v>
      </c>
      <c r="CK144" s="230">
        <v>88000</v>
      </c>
      <c r="CL144" s="230">
        <v>-3500</v>
      </c>
      <c r="CM144" s="229">
        <v>-3.9800000000000002E-2</v>
      </c>
      <c r="CN144" s="230">
        <v>2291000</v>
      </c>
      <c r="CO144" s="230">
        <v>2348000</v>
      </c>
      <c r="CP144" s="230">
        <v>-57000</v>
      </c>
      <c r="CQ144" s="229">
        <v>-2.4299999999999999E-2</v>
      </c>
      <c r="CR144" s="230">
        <v>1664500</v>
      </c>
      <c r="CS144" s="230">
        <v>1661000</v>
      </c>
      <c r="CT144" s="230">
        <v>3500</v>
      </c>
      <c r="CU144" s="229">
        <v>2.0999999999999999E-3</v>
      </c>
      <c r="CV144" s="230">
        <v>22165000</v>
      </c>
      <c r="CW144" s="230">
        <v>22412500</v>
      </c>
      <c r="CX144" s="230">
        <v>-247500</v>
      </c>
      <c r="CY144" s="229">
        <v>-1.0999999999999999E-2</v>
      </c>
      <c r="CZ144" s="228">
        <v>25.47</v>
      </c>
      <c r="DA144" s="228">
        <v>26.41</v>
      </c>
      <c r="DB144" s="228">
        <v>-0.94</v>
      </c>
      <c r="DC144" s="228">
        <v>-0.94</v>
      </c>
      <c r="DD144" s="228">
        <v>23.19</v>
      </c>
      <c r="DE144" s="228">
        <v>23.19</v>
      </c>
      <c r="DF144" s="228">
        <v>2.2799999999999998</v>
      </c>
      <c r="DG144" s="228">
        <v>0</v>
      </c>
      <c r="DH144" s="228">
        <v>24.62</v>
      </c>
      <c r="DI144" s="228">
        <v>25.64</v>
      </c>
      <c r="DJ144" s="228">
        <v>-1.02</v>
      </c>
      <c r="DK144" s="228">
        <v>-1.02</v>
      </c>
      <c r="DL144" s="228">
        <v>27</v>
      </c>
      <c r="DM144" s="228">
        <v>27.8</v>
      </c>
      <c r="DN144" s="228">
        <v>-0.8</v>
      </c>
      <c r="DO144" s="228">
        <v>-0.8</v>
      </c>
      <c r="DP144" s="228">
        <v>0.73</v>
      </c>
      <c r="DQ144" s="228">
        <v>0.71</v>
      </c>
      <c r="DR144" s="228">
        <v>0.02</v>
      </c>
      <c r="DS144" s="229">
        <v>2.8199999999999999E-2</v>
      </c>
      <c r="DT144" s="231">
        <v>1250</v>
      </c>
      <c r="DU144" s="231">
        <v>1200</v>
      </c>
      <c r="DV144" s="228">
        <v>0.56000000000000005</v>
      </c>
      <c r="DW144" s="228">
        <v>0.56000000000000005</v>
      </c>
      <c r="DX144" s="228">
        <v>0</v>
      </c>
      <c r="DY144" s="229">
        <v>0</v>
      </c>
      <c r="DZ144" s="229">
        <v>2.86E-2</v>
      </c>
      <c r="EA144" s="230">
        <v>515000</v>
      </c>
      <c r="EB144" s="229">
        <v>5.0000000000000001E-3</v>
      </c>
      <c r="EC144" s="229">
        <v>2.86E-2</v>
      </c>
      <c r="ED144" s="228">
        <v>5.78</v>
      </c>
      <c r="EE144" s="229">
        <v>4.7000000000000002E-3</v>
      </c>
      <c r="EF144" s="230">
        <v>678883</v>
      </c>
      <c r="EG144" s="230">
        <v>897765</v>
      </c>
      <c r="EH144" s="229">
        <v>-0.24379999999999999</v>
      </c>
      <c r="EI144" s="229">
        <v>0.52510000000000001</v>
      </c>
      <c r="EJ144" s="231">
        <v>26861.53</v>
      </c>
      <c r="EK144" s="231">
        <v>14431.26</v>
      </c>
      <c r="EL144" s="231">
        <v>18936.12</v>
      </c>
      <c r="EM144" s="231">
        <v>3154</v>
      </c>
      <c r="EN144" s="231">
        <v>60228.91</v>
      </c>
      <c r="EO144" s="231">
        <v>97439.61</v>
      </c>
      <c r="EP144" s="231">
        <v>-37210.699999999997</v>
      </c>
      <c r="EQ144" s="229">
        <v>-0.38190000000000002</v>
      </c>
      <c r="ER144" s="231">
        <v>28566</v>
      </c>
      <c r="ES144" s="231">
        <v>19662</v>
      </c>
      <c r="ET144" s="231">
        <v>224216</v>
      </c>
      <c r="EU144" s="231">
        <v>71801274</v>
      </c>
      <c r="EV144" s="231">
        <v>272444</v>
      </c>
      <c r="EW144" s="231">
        <v>272876</v>
      </c>
      <c r="EX144" s="228">
        <v>-432</v>
      </c>
      <c r="EY144" s="229">
        <v>-1.6000000000000001E-3</v>
      </c>
      <c r="EZ144" s="229">
        <v>0.30869999999999997</v>
      </c>
      <c r="FA144" s="227" t="s">
        <v>694</v>
      </c>
      <c r="FB144" s="161">
        <f t="shared" si="3"/>
        <v>0</v>
      </c>
    </row>
    <row r="145" spans="1:158" ht="17.25" thickBot="1" x14ac:dyDescent="0.3">
      <c r="A145" s="226">
        <v>46121</v>
      </c>
      <c r="B145" s="227" t="s">
        <v>161</v>
      </c>
      <c r="C145" s="227" t="s">
        <v>584</v>
      </c>
      <c r="D145" s="228">
        <v>6400</v>
      </c>
      <c r="E145" s="228">
        <v>77.25</v>
      </c>
      <c r="F145" s="228">
        <v>77.13</v>
      </c>
      <c r="G145" s="228">
        <v>0.12</v>
      </c>
      <c r="H145" s="229">
        <v>1.6000000000000001E-3</v>
      </c>
      <c r="I145" s="228">
        <v>77.11</v>
      </c>
      <c r="J145" s="228">
        <v>76.7</v>
      </c>
      <c r="K145" s="228">
        <v>0.41</v>
      </c>
      <c r="L145" s="229">
        <v>5.3E-3</v>
      </c>
      <c r="M145" s="228">
        <v>77.25</v>
      </c>
      <c r="N145" s="228">
        <v>77.13</v>
      </c>
      <c r="O145" s="228">
        <v>0.12</v>
      </c>
      <c r="P145" s="229">
        <v>1.6000000000000001E-3</v>
      </c>
      <c r="Q145" s="228">
        <v>77.59</v>
      </c>
      <c r="R145" s="228">
        <v>77.56</v>
      </c>
      <c r="S145" s="228">
        <v>0.03</v>
      </c>
      <c r="T145" s="229">
        <v>4.0000000000000002E-4</v>
      </c>
      <c r="U145" s="228">
        <v>78.23</v>
      </c>
      <c r="V145" s="228">
        <v>78.14</v>
      </c>
      <c r="W145" s="228">
        <v>0.09</v>
      </c>
      <c r="X145" s="229">
        <v>1.1999999999999999E-3</v>
      </c>
      <c r="Y145" s="228">
        <v>0.14000000000000001</v>
      </c>
      <c r="Z145" s="228">
        <v>0.43</v>
      </c>
      <c r="AA145" s="228">
        <v>-0.28999999999999998</v>
      </c>
      <c r="AB145" s="229">
        <v>1.8E-3</v>
      </c>
      <c r="AC145" s="228">
        <v>0.14000000000000001</v>
      </c>
      <c r="AD145" s="228">
        <v>0.43</v>
      </c>
      <c r="AE145" s="228">
        <v>-0.28999999999999998</v>
      </c>
      <c r="AF145" s="229">
        <v>1.8E-3</v>
      </c>
      <c r="AG145" s="228">
        <v>0.48</v>
      </c>
      <c r="AH145" s="228">
        <v>0.86</v>
      </c>
      <c r="AI145" s="228">
        <v>-0.38</v>
      </c>
      <c r="AJ145" s="229">
        <v>6.1999999999999998E-3</v>
      </c>
      <c r="AK145" s="228">
        <v>1.1200000000000001</v>
      </c>
      <c r="AL145" s="228">
        <v>1.44</v>
      </c>
      <c r="AM145" s="228">
        <v>-0.32</v>
      </c>
      <c r="AN145" s="229">
        <v>1.4500000000000001E-2</v>
      </c>
      <c r="AO145" s="228">
        <v>77.569999999999993</v>
      </c>
      <c r="AP145" s="228">
        <v>78.099999999999994</v>
      </c>
      <c r="AQ145" s="228">
        <v>0</v>
      </c>
      <c r="AR145" s="230">
        <v>22188800</v>
      </c>
      <c r="AS145" s="230">
        <v>12307200</v>
      </c>
      <c r="AT145" s="230">
        <v>9881600</v>
      </c>
      <c r="AU145" s="229">
        <v>0.80289999999999995</v>
      </c>
      <c r="AV145" s="230">
        <v>19846400</v>
      </c>
      <c r="AW145" s="230">
        <v>11200000</v>
      </c>
      <c r="AX145" s="230">
        <v>8646400</v>
      </c>
      <c r="AY145" s="229">
        <v>0.77200000000000002</v>
      </c>
      <c r="AZ145" s="230">
        <v>2073600</v>
      </c>
      <c r="BA145" s="230">
        <v>947200</v>
      </c>
      <c r="BB145" s="230">
        <v>1126400</v>
      </c>
      <c r="BC145" s="229">
        <v>1.1892</v>
      </c>
      <c r="BD145" s="230">
        <v>268800</v>
      </c>
      <c r="BE145" s="230">
        <v>160000</v>
      </c>
      <c r="BF145" s="230">
        <v>108800</v>
      </c>
      <c r="BG145" s="229">
        <v>0.68</v>
      </c>
      <c r="BH145" s="230">
        <v>66201600</v>
      </c>
      <c r="BI145" s="230">
        <v>27475200</v>
      </c>
      <c r="BJ145" s="230">
        <v>38726400</v>
      </c>
      <c r="BK145" s="229">
        <v>1.4095</v>
      </c>
      <c r="BL145" s="230">
        <v>17728000</v>
      </c>
      <c r="BM145" s="230">
        <v>12249600</v>
      </c>
      <c r="BN145" s="230">
        <v>5478400</v>
      </c>
      <c r="BO145" s="229">
        <v>0.44719999999999999</v>
      </c>
      <c r="BP145" s="230">
        <v>106118400</v>
      </c>
      <c r="BQ145" s="230">
        <v>52032000</v>
      </c>
      <c r="BR145" s="230">
        <v>54086400</v>
      </c>
      <c r="BS145" s="229">
        <v>1.0395000000000001</v>
      </c>
      <c r="BT145" s="230">
        <v>32669338</v>
      </c>
      <c r="BU145" s="230">
        <v>13235263</v>
      </c>
      <c r="BV145" s="230">
        <v>19434075</v>
      </c>
      <c r="BW145" s="229">
        <v>1.4683999999999999</v>
      </c>
      <c r="BX145" s="230">
        <v>71859200</v>
      </c>
      <c r="BY145" s="230">
        <v>69241600</v>
      </c>
      <c r="BZ145" s="230">
        <v>2617600</v>
      </c>
      <c r="CA145" s="229">
        <v>3.78E-2</v>
      </c>
      <c r="CB145" s="230">
        <v>68819200</v>
      </c>
      <c r="CC145" s="230">
        <v>66867200</v>
      </c>
      <c r="CD145" s="230">
        <v>1952000</v>
      </c>
      <c r="CE145" s="229">
        <v>2.92E-2</v>
      </c>
      <c r="CF145" s="230">
        <v>2598400</v>
      </c>
      <c r="CG145" s="230">
        <v>2105600</v>
      </c>
      <c r="CH145" s="230">
        <v>492800</v>
      </c>
      <c r="CI145" s="229">
        <v>0.23400000000000001</v>
      </c>
      <c r="CJ145" s="230">
        <v>441600</v>
      </c>
      <c r="CK145" s="230">
        <v>268800</v>
      </c>
      <c r="CL145" s="230">
        <v>172800</v>
      </c>
      <c r="CM145" s="229">
        <v>0.64290000000000003</v>
      </c>
      <c r="CN145" s="230">
        <v>42342400</v>
      </c>
      <c r="CO145" s="230">
        <v>29286400</v>
      </c>
      <c r="CP145" s="230">
        <v>13056000</v>
      </c>
      <c r="CQ145" s="229">
        <v>0.44579999999999997</v>
      </c>
      <c r="CR145" s="230">
        <v>24806400</v>
      </c>
      <c r="CS145" s="230">
        <v>19718400</v>
      </c>
      <c r="CT145" s="230">
        <v>5088000</v>
      </c>
      <c r="CU145" s="229">
        <v>0.25800000000000001</v>
      </c>
      <c r="CV145" s="230">
        <v>139008000</v>
      </c>
      <c r="CW145" s="230">
        <v>118246400</v>
      </c>
      <c r="CX145" s="230">
        <v>20761600</v>
      </c>
      <c r="CY145" s="229">
        <v>0.17560000000000001</v>
      </c>
      <c r="CZ145" s="228">
        <v>34.14</v>
      </c>
      <c r="DA145" s="228">
        <v>34.630000000000003</v>
      </c>
      <c r="DB145" s="228">
        <v>-0.49</v>
      </c>
      <c r="DC145" s="228">
        <v>-0.49</v>
      </c>
      <c r="DD145" s="228">
        <v>34.93</v>
      </c>
      <c r="DE145" s="228">
        <v>35.020000000000003</v>
      </c>
      <c r="DF145" s="228">
        <v>-0.79</v>
      </c>
      <c r="DG145" s="228">
        <v>-0.09</v>
      </c>
      <c r="DH145" s="228">
        <v>34.25</v>
      </c>
      <c r="DI145" s="228">
        <v>34.03</v>
      </c>
      <c r="DJ145" s="228">
        <v>0.22</v>
      </c>
      <c r="DK145" s="228">
        <v>0.22</v>
      </c>
      <c r="DL145" s="228">
        <v>33.75</v>
      </c>
      <c r="DM145" s="228">
        <v>35.97</v>
      </c>
      <c r="DN145" s="228">
        <v>-2.2200000000000002</v>
      </c>
      <c r="DO145" s="228">
        <v>-2.2200000000000002</v>
      </c>
      <c r="DP145" s="228">
        <v>0.59</v>
      </c>
      <c r="DQ145" s="228">
        <v>0.67</v>
      </c>
      <c r="DR145" s="228">
        <v>-0.08</v>
      </c>
      <c r="DS145" s="229">
        <v>-0.11940000000000001</v>
      </c>
      <c r="DT145" s="228">
        <v>80</v>
      </c>
      <c r="DU145" s="228">
        <v>77</v>
      </c>
      <c r="DV145" s="228">
        <v>0.27</v>
      </c>
      <c r="DW145" s="228">
        <v>0.45</v>
      </c>
      <c r="DX145" s="228">
        <v>-0.18</v>
      </c>
      <c r="DY145" s="229">
        <v>-0.4</v>
      </c>
      <c r="DZ145" s="229">
        <v>4.2299999999999997E-2</v>
      </c>
      <c r="EA145" s="230">
        <v>2374400</v>
      </c>
      <c r="EB145" s="229">
        <v>4.4000000000000003E-3</v>
      </c>
      <c r="EC145" s="229">
        <v>4.2299999999999997E-2</v>
      </c>
      <c r="ED145" s="228">
        <v>0.53</v>
      </c>
      <c r="EE145" s="229">
        <v>6.7999999999999996E-3</v>
      </c>
      <c r="EF145" s="230">
        <v>9674449</v>
      </c>
      <c r="EG145" s="230">
        <v>6069473</v>
      </c>
      <c r="EH145" s="229">
        <v>0.59399999999999997</v>
      </c>
      <c r="EI145" s="229">
        <v>0.29609999999999997</v>
      </c>
      <c r="EJ145" s="231">
        <v>54322.11</v>
      </c>
      <c r="EK145" s="231">
        <v>13654.96</v>
      </c>
      <c r="EL145" s="231">
        <v>17225.849999999999</v>
      </c>
      <c r="EM145" s="231">
        <v>1458</v>
      </c>
      <c r="EN145" s="231">
        <v>85202.92</v>
      </c>
      <c r="EO145" s="231">
        <v>41025.68</v>
      </c>
      <c r="EP145" s="231">
        <v>44177.24</v>
      </c>
      <c r="EQ145" s="229">
        <v>1.0768</v>
      </c>
      <c r="ER145" s="231">
        <v>34255</v>
      </c>
      <c r="ES145" s="231">
        <v>18201</v>
      </c>
      <c r="ET145" s="231">
        <v>55524</v>
      </c>
      <c r="EU145" s="231">
        <v>491233252</v>
      </c>
      <c r="EV145" s="231">
        <v>107980</v>
      </c>
      <c r="EW145" s="231">
        <v>91348</v>
      </c>
      <c r="EX145" s="231">
        <v>16632</v>
      </c>
      <c r="EY145" s="229">
        <v>0.18210000000000001</v>
      </c>
      <c r="EZ145" s="229">
        <v>0.28299999999999997</v>
      </c>
      <c r="FA145" s="227" t="s">
        <v>555</v>
      </c>
      <c r="FB145" s="161">
        <f t="shared" si="3"/>
        <v>0</v>
      </c>
    </row>
    <row r="146" spans="1:158" ht="17.25" thickBot="1" x14ac:dyDescent="0.3">
      <c r="A146" s="226">
        <v>46121</v>
      </c>
      <c r="B146" s="227" t="s">
        <v>181</v>
      </c>
      <c r="C146" s="227" t="s">
        <v>266</v>
      </c>
      <c r="D146" s="228">
        <v>65</v>
      </c>
      <c r="E146" s="231">
        <v>23861.3</v>
      </c>
      <c r="F146" s="231">
        <v>24057.8</v>
      </c>
      <c r="G146" s="228">
        <v>-196.5</v>
      </c>
      <c r="H146" s="229">
        <v>-8.2000000000000007E-3</v>
      </c>
      <c r="I146" s="231">
        <v>23775.1</v>
      </c>
      <c r="J146" s="231">
        <v>23997.35</v>
      </c>
      <c r="K146" s="228">
        <v>-222.25</v>
      </c>
      <c r="L146" s="229">
        <v>-9.2999999999999992E-3</v>
      </c>
      <c r="M146" s="231">
        <v>23861.3</v>
      </c>
      <c r="N146" s="231">
        <v>24057.8</v>
      </c>
      <c r="O146" s="228">
        <v>-196.5</v>
      </c>
      <c r="P146" s="229">
        <v>-8.2000000000000007E-3</v>
      </c>
      <c r="Q146" s="231">
        <v>23989.1</v>
      </c>
      <c r="R146" s="231">
        <v>24182.5</v>
      </c>
      <c r="S146" s="228">
        <v>-193.4</v>
      </c>
      <c r="T146" s="229">
        <v>-8.0000000000000002E-3</v>
      </c>
      <c r="U146" s="231">
        <v>24152.7</v>
      </c>
      <c r="V146" s="231">
        <v>24332.400000000001</v>
      </c>
      <c r="W146" s="228">
        <v>-179.7</v>
      </c>
      <c r="X146" s="229">
        <v>-7.4000000000000003E-3</v>
      </c>
      <c r="Y146" s="228">
        <v>86.2</v>
      </c>
      <c r="Z146" s="228">
        <v>60.45</v>
      </c>
      <c r="AA146" s="228">
        <v>25.75</v>
      </c>
      <c r="AB146" s="229">
        <v>3.5999999999999999E-3</v>
      </c>
      <c r="AC146" s="228">
        <v>86.2</v>
      </c>
      <c r="AD146" s="228">
        <v>60.45</v>
      </c>
      <c r="AE146" s="228">
        <v>25.75</v>
      </c>
      <c r="AF146" s="229">
        <v>3.5999999999999999E-3</v>
      </c>
      <c r="AG146" s="228">
        <v>214</v>
      </c>
      <c r="AH146" s="228">
        <v>185.15</v>
      </c>
      <c r="AI146" s="228">
        <v>28.85</v>
      </c>
      <c r="AJ146" s="229">
        <v>8.9999999999999993E-3</v>
      </c>
      <c r="AK146" s="228">
        <v>377.6</v>
      </c>
      <c r="AL146" s="228">
        <v>335.05</v>
      </c>
      <c r="AM146" s="228">
        <v>42.55</v>
      </c>
      <c r="AN146" s="229">
        <v>1.5900000000000001E-2</v>
      </c>
      <c r="AO146" s="231">
        <v>23892.59</v>
      </c>
      <c r="AP146" s="231">
        <v>24014.2</v>
      </c>
      <c r="AQ146" s="228">
        <v>0</v>
      </c>
      <c r="AR146" s="230">
        <v>6556810</v>
      </c>
      <c r="AS146" s="230">
        <v>9191780</v>
      </c>
      <c r="AT146" s="230">
        <v>-2634970</v>
      </c>
      <c r="AU146" s="229">
        <v>-0.28670000000000001</v>
      </c>
      <c r="AV146" s="230">
        <v>5737680</v>
      </c>
      <c r="AW146" s="230">
        <v>8003840</v>
      </c>
      <c r="AX146" s="230">
        <v>-2266160</v>
      </c>
      <c r="AY146" s="229">
        <v>-0.28310000000000002</v>
      </c>
      <c r="AZ146" s="230">
        <v>605995</v>
      </c>
      <c r="BA146" s="230">
        <v>892515</v>
      </c>
      <c r="BB146" s="230">
        <v>-286520</v>
      </c>
      <c r="BC146" s="229">
        <v>-0.32100000000000001</v>
      </c>
      <c r="BD146" s="230">
        <v>213135</v>
      </c>
      <c r="BE146" s="230">
        <v>295425</v>
      </c>
      <c r="BF146" s="230">
        <v>-82290</v>
      </c>
      <c r="BG146" s="229">
        <v>-0.27850000000000003</v>
      </c>
      <c r="BH146" s="230">
        <v>1548235260</v>
      </c>
      <c r="BI146" s="230">
        <v>1628380650</v>
      </c>
      <c r="BJ146" s="230">
        <v>-80145390</v>
      </c>
      <c r="BK146" s="229">
        <v>-4.9200000000000001E-2</v>
      </c>
      <c r="BL146" s="230">
        <v>1605715540</v>
      </c>
      <c r="BM146" s="230">
        <v>1472412760</v>
      </c>
      <c r="BN146" s="230">
        <v>133302780</v>
      </c>
      <c r="BO146" s="229">
        <v>9.0499999999999997E-2</v>
      </c>
      <c r="BP146" s="230">
        <v>3160507610</v>
      </c>
      <c r="BQ146" s="230">
        <v>3109985190</v>
      </c>
      <c r="BR146" s="230">
        <v>50522420</v>
      </c>
      <c r="BS146" s="229">
        <v>1.6199999999999999E-2</v>
      </c>
      <c r="BT146" s="228">
        <v>0</v>
      </c>
      <c r="BU146" s="228">
        <v>0</v>
      </c>
      <c r="BV146" s="228">
        <v>0</v>
      </c>
      <c r="BW146" s="229">
        <v>0</v>
      </c>
      <c r="BX146" s="230">
        <v>22720035</v>
      </c>
      <c r="BY146" s="230">
        <v>23000900</v>
      </c>
      <c r="BZ146" s="230">
        <v>-280865</v>
      </c>
      <c r="CA146" s="229">
        <v>-1.2200000000000001E-2</v>
      </c>
      <c r="CB146" s="230">
        <v>19774820</v>
      </c>
      <c r="CC146" s="230">
        <v>20142655</v>
      </c>
      <c r="CD146" s="230">
        <v>-367835</v>
      </c>
      <c r="CE146" s="229">
        <v>-1.83E-2</v>
      </c>
      <c r="CF146" s="230">
        <v>2163655</v>
      </c>
      <c r="CG146" s="230">
        <v>2097225</v>
      </c>
      <c r="CH146" s="230">
        <v>66430</v>
      </c>
      <c r="CI146" s="229">
        <v>3.1699999999999999E-2</v>
      </c>
      <c r="CJ146" s="230">
        <v>781560</v>
      </c>
      <c r="CK146" s="230">
        <v>761020</v>
      </c>
      <c r="CL146" s="230">
        <v>20540</v>
      </c>
      <c r="CM146" s="229">
        <v>2.7E-2</v>
      </c>
      <c r="CN146" s="230">
        <v>213651855</v>
      </c>
      <c r="CO146" s="230">
        <v>170631610</v>
      </c>
      <c r="CP146" s="230">
        <v>43020245</v>
      </c>
      <c r="CQ146" s="229">
        <v>0.25209999999999999</v>
      </c>
      <c r="CR146" s="230">
        <v>207890550</v>
      </c>
      <c r="CS146" s="230">
        <v>192281925</v>
      </c>
      <c r="CT146" s="230">
        <v>15608625</v>
      </c>
      <c r="CU146" s="229">
        <v>8.1199999999999994E-2</v>
      </c>
      <c r="CV146" s="230">
        <v>444262440</v>
      </c>
      <c r="CW146" s="230">
        <v>385914435</v>
      </c>
      <c r="CX146" s="230">
        <v>58348005</v>
      </c>
      <c r="CY146" s="229">
        <v>0.1512</v>
      </c>
      <c r="CZ146" s="228">
        <v>20.25</v>
      </c>
      <c r="DA146" s="228">
        <v>20.23</v>
      </c>
      <c r="DB146" s="228">
        <v>0.02</v>
      </c>
      <c r="DC146" s="228">
        <v>0.02</v>
      </c>
      <c r="DD146" s="228">
        <v>17.66</v>
      </c>
      <c r="DE146" s="228">
        <v>17.670000000000002</v>
      </c>
      <c r="DF146" s="228">
        <v>2.59</v>
      </c>
      <c r="DG146" s="228">
        <v>-0.01</v>
      </c>
      <c r="DH146" s="228">
        <v>18.25</v>
      </c>
      <c r="DI146" s="228">
        <v>17.86</v>
      </c>
      <c r="DJ146" s="228">
        <v>0.39</v>
      </c>
      <c r="DK146" s="228">
        <v>0.39</v>
      </c>
      <c r="DL146" s="228">
        <v>22.46</v>
      </c>
      <c r="DM146" s="228">
        <v>22.65</v>
      </c>
      <c r="DN146" s="228">
        <v>-0.19</v>
      </c>
      <c r="DO146" s="228">
        <v>-0.19</v>
      </c>
      <c r="DP146" s="228">
        <v>0.97</v>
      </c>
      <c r="DQ146" s="228">
        <v>1.1299999999999999</v>
      </c>
      <c r="DR146" s="228">
        <v>-0.16</v>
      </c>
      <c r="DS146" s="229">
        <v>-0.1416</v>
      </c>
      <c r="DT146" s="231">
        <v>25000</v>
      </c>
      <c r="DU146" s="231">
        <v>23000</v>
      </c>
      <c r="DV146" s="228">
        <v>1.04</v>
      </c>
      <c r="DW146" s="228">
        <v>0.9</v>
      </c>
      <c r="DX146" s="228">
        <v>0.14000000000000001</v>
      </c>
      <c r="DY146" s="229">
        <v>0.15559999999999999</v>
      </c>
      <c r="DZ146" s="229">
        <v>0.12959999999999999</v>
      </c>
      <c r="EA146" s="230">
        <v>2858245</v>
      </c>
      <c r="EB146" s="229">
        <v>5.4000000000000003E-3</v>
      </c>
      <c r="EC146" s="229">
        <v>0.12959999999999999</v>
      </c>
      <c r="ED146" s="228">
        <v>121.61</v>
      </c>
      <c r="EE146" s="229">
        <v>5.1000000000000004E-3</v>
      </c>
      <c r="EF146" s="228">
        <v>0</v>
      </c>
      <c r="EG146" s="228">
        <v>0</v>
      </c>
      <c r="EH146" s="229">
        <v>0</v>
      </c>
      <c r="EI146" s="229">
        <v>0</v>
      </c>
      <c r="EJ146" s="231">
        <v>378514821.05000001</v>
      </c>
      <c r="EK146" s="231">
        <v>375646424.12</v>
      </c>
      <c r="EL146" s="231">
        <v>1567938.05</v>
      </c>
      <c r="EM146" s="231">
        <v>139236</v>
      </c>
      <c r="EN146" s="231">
        <v>755729183.22000003</v>
      </c>
      <c r="EO146" s="231">
        <v>741382179.37</v>
      </c>
      <c r="EP146" s="231">
        <v>14347003.85</v>
      </c>
      <c r="EQ146" s="229">
        <v>1.9400000000000001E-2</v>
      </c>
      <c r="ER146" s="231">
        <v>52787587</v>
      </c>
      <c r="ES146" s="231">
        <v>47652849</v>
      </c>
      <c r="ET146" s="231">
        <v>5426338</v>
      </c>
      <c r="EU146" s="228">
        <v>0</v>
      </c>
      <c r="EV146" s="231">
        <v>105866774</v>
      </c>
      <c r="EW146" s="231">
        <v>91777225</v>
      </c>
      <c r="EX146" s="231">
        <v>14089549</v>
      </c>
      <c r="EY146" s="229">
        <v>0.1535</v>
      </c>
      <c r="EZ146" s="229">
        <v>0</v>
      </c>
      <c r="FA146" s="227" t="s">
        <v>567</v>
      </c>
      <c r="FB146" s="161">
        <f t="shared" si="3"/>
        <v>0</v>
      </c>
    </row>
    <row r="147" spans="1:158" ht="17.25" thickBot="1" x14ac:dyDescent="0.3">
      <c r="A147" s="226">
        <v>46121</v>
      </c>
      <c r="B147" s="227" t="s">
        <v>181</v>
      </c>
      <c r="C147" s="227" t="s">
        <v>565</v>
      </c>
      <c r="D147" s="228">
        <v>25</v>
      </c>
      <c r="E147" s="231">
        <v>66395.399999999994</v>
      </c>
      <c r="F147" s="231">
        <v>66403.8</v>
      </c>
      <c r="G147" s="228">
        <v>-8.4</v>
      </c>
      <c r="H147" s="229">
        <v>-1E-4</v>
      </c>
      <c r="I147" s="231">
        <v>66268.649999999994</v>
      </c>
      <c r="J147" s="231">
        <v>66145.3</v>
      </c>
      <c r="K147" s="228">
        <v>123.35</v>
      </c>
      <c r="L147" s="229">
        <v>1.9E-3</v>
      </c>
      <c r="M147" s="231">
        <v>66395.399999999994</v>
      </c>
      <c r="N147" s="231">
        <v>66403.8</v>
      </c>
      <c r="O147" s="228">
        <v>-8.4</v>
      </c>
      <c r="P147" s="229">
        <v>-1E-4</v>
      </c>
      <c r="Q147" s="231">
        <v>66651.199999999997</v>
      </c>
      <c r="R147" s="231">
        <v>66748</v>
      </c>
      <c r="S147" s="228">
        <v>-96.8</v>
      </c>
      <c r="T147" s="229">
        <v>-1.5E-3</v>
      </c>
      <c r="U147" s="228">
        <v>0</v>
      </c>
      <c r="V147" s="228">
        <v>0</v>
      </c>
      <c r="W147" s="228">
        <v>0</v>
      </c>
      <c r="X147" s="229">
        <v>0</v>
      </c>
      <c r="Y147" s="228">
        <v>126.75</v>
      </c>
      <c r="Z147" s="228">
        <v>258.5</v>
      </c>
      <c r="AA147" s="228">
        <v>-131.75</v>
      </c>
      <c r="AB147" s="229">
        <v>1.9E-3</v>
      </c>
      <c r="AC147" s="228">
        <v>126.75</v>
      </c>
      <c r="AD147" s="228">
        <v>258.5</v>
      </c>
      <c r="AE147" s="228">
        <v>-131.75</v>
      </c>
      <c r="AF147" s="229">
        <v>1.9E-3</v>
      </c>
      <c r="AG147" s="228">
        <v>382.55</v>
      </c>
      <c r="AH147" s="228">
        <v>602.70000000000005</v>
      </c>
      <c r="AI147" s="228">
        <v>-220.15</v>
      </c>
      <c r="AJ147" s="229">
        <v>5.7999999999999996E-3</v>
      </c>
      <c r="AK147" s="228">
        <v>0</v>
      </c>
      <c r="AL147" s="228">
        <v>0</v>
      </c>
      <c r="AM147" s="228">
        <v>0</v>
      </c>
      <c r="AN147" s="229">
        <v>0</v>
      </c>
      <c r="AO147" s="231">
        <v>66377.77</v>
      </c>
      <c r="AP147" s="231">
        <v>66662.22</v>
      </c>
      <c r="AQ147" s="228">
        <v>0</v>
      </c>
      <c r="AR147" s="230">
        <v>9400</v>
      </c>
      <c r="AS147" s="230">
        <v>8975</v>
      </c>
      <c r="AT147" s="228">
        <v>425</v>
      </c>
      <c r="AU147" s="229">
        <v>4.7399999999999998E-2</v>
      </c>
      <c r="AV147" s="230">
        <v>8725</v>
      </c>
      <c r="AW147" s="230">
        <v>7450</v>
      </c>
      <c r="AX147" s="230">
        <v>1275</v>
      </c>
      <c r="AY147" s="229">
        <v>0.1711</v>
      </c>
      <c r="AZ147" s="228">
        <v>675</v>
      </c>
      <c r="BA147" s="230">
        <v>1525</v>
      </c>
      <c r="BB147" s="228">
        <v>-850</v>
      </c>
      <c r="BC147" s="229">
        <v>-0.55740000000000001</v>
      </c>
      <c r="BD147" s="228">
        <v>0</v>
      </c>
      <c r="BE147" s="228">
        <v>0</v>
      </c>
      <c r="BF147" s="228">
        <v>0</v>
      </c>
      <c r="BG147" s="229">
        <v>0</v>
      </c>
      <c r="BH147" s="230">
        <v>1725</v>
      </c>
      <c r="BI147" s="230">
        <v>1725</v>
      </c>
      <c r="BJ147" s="228">
        <v>0</v>
      </c>
      <c r="BK147" s="229">
        <v>0</v>
      </c>
      <c r="BL147" s="230">
        <v>1300</v>
      </c>
      <c r="BM147" s="230">
        <v>1325</v>
      </c>
      <c r="BN147" s="228">
        <v>-25</v>
      </c>
      <c r="BO147" s="229">
        <v>-1.89E-2</v>
      </c>
      <c r="BP147" s="230">
        <v>12425</v>
      </c>
      <c r="BQ147" s="230">
        <v>12025</v>
      </c>
      <c r="BR147" s="228">
        <v>400</v>
      </c>
      <c r="BS147" s="229">
        <v>3.3300000000000003E-2</v>
      </c>
      <c r="BT147" s="228">
        <v>0</v>
      </c>
      <c r="BU147" s="228">
        <v>0</v>
      </c>
      <c r="BV147" s="228">
        <v>0</v>
      </c>
      <c r="BW147" s="229">
        <v>0</v>
      </c>
      <c r="BX147" s="230">
        <v>18525</v>
      </c>
      <c r="BY147" s="230">
        <v>18425</v>
      </c>
      <c r="BZ147" s="228">
        <v>100</v>
      </c>
      <c r="CA147" s="229">
        <v>5.4000000000000003E-3</v>
      </c>
      <c r="CB147" s="230">
        <v>17075</v>
      </c>
      <c r="CC147" s="230">
        <v>16900</v>
      </c>
      <c r="CD147" s="228">
        <v>175</v>
      </c>
      <c r="CE147" s="229">
        <v>1.04E-2</v>
      </c>
      <c r="CF147" s="230">
        <v>1450</v>
      </c>
      <c r="CG147" s="230">
        <v>1525</v>
      </c>
      <c r="CH147" s="228">
        <v>-75</v>
      </c>
      <c r="CI147" s="229">
        <v>-4.9200000000000001E-2</v>
      </c>
      <c r="CJ147" s="228">
        <v>0</v>
      </c>
      <c r="CK147" s="228">
        <v>0</v>
      </c>
      <c r="CL147" s="228">
        <v>0</v>
      </c>
      <c r="CM147" s="229">
        <v>0</v>
      </c>
      <c r="CN147" s="230">
        <v>2425</v>
      </c>
      <c r="CO147" s="230">
        <v>2225</v>
      </c>
      <c r="CP147" s="228">
        <v>200</v>
      </c>
      <c r="CQ147" s="229">
        <v>8.9899999999999994E-2</v>
      </c>
      <c r="CR147" s="230">
        <v>2800</v>
      </c>
      <c r="CS147" s="230">
        <v>2425</v>
      </c>
      <c r="CT147" s="228">
        <v>375</v>
      </c>
      <c r="CU147" s="229">
        <v>0.15459999999999999</v>
      </c>
      <c r="CV147" s="230">
        <v>23750</v>
      </c>
      <c r="CW147" s="230">
        <v>23075</v>
      </c>
      <c r="CX147" s="228">
        <v>675</v>
      </c>
      <c r="CY147" s="229">
        <v>2.93E-2</v>
      </c>
      <c r="CZ147" s="228">
        <v>21.26</v>
      </c>
      <c r="DA147" s="228">
        <v>25.18</v>
      </c>
      <c r="DB147" s="228">
        <v>-3.92</v>
      </c>
      <c r="DC147" s="228">
        <v>-3.92</v>
      </c>
      <c r="DD147" s="228">
        <v>23.09</v>
      </c>
      <c r="DE147" s="228">
        <v>23.15</v>
      </c>
      <c r="DF147" s="228">
        <v>-1.83</v>
      </c>
      <c r="DG147" s="228">
        <v>-0.06</v>
      </c>
      <c r="DH147" s="228">
        <v>20.95</v>
      </c>
      <c r="DI147" s="228">
        <v>23.52</v>
      </c>
      <c r="DJ147" s="228">
        <v>-2.57</v>
      </c>
      <c r="DK147" s="228">
        <v>-2.57</v>
      </c>
      <c r="DL147" s="228">
        <v>21.68</v>
      </c>
      <c r="DM147" s="228">
        <v>27.35</v>
      </c>
      <c r="DN147" s="228">
        <v>-5.67</v>
      </c>
      <c r="DO147" s="228">
        <v>-5.67</v>
      </c>
      <c r="DP147" s="228">
        <v>1.1499999999999999</v>
      </c>
      <c r="DQ147" s="228">
        <v>1.0900000000000001</v>
      </c>
      <c r="DR147" s="228">
        <v>0.06</v>
      </c>
      <c r="DS147" s="229">
        <v>5.5E-2</v>
      </c>
      <c r="DT147" s="231">
        <v>65000</v>
      </c>
      <c r="DU147" s="231">
        <v>60200</v>
      </c>
      <c r="DV147" s="228">
        <v>0.75</v>
      </c>
      <c r="DW147" s="228">
        <v>0.77</v>
      </c>
      <c r="DX147" s="228">
        <v>-0.02</v>
      </c>
      <c r="DY147" s="229">
        <v>-2.5999999999999999E-2</v>
      </c>
      <c r="DZ147" s="229">
        <v>7.8299999999999995E-2</v>
      </c>
      <c r="EA147" s="230">
        <v>1525</v>
      </c>
      <c r="EB147" s="229">
        <v>3.8999999999999998E-3</v>
      </c>
      <c r="EC147" s="229">
        <v>7.8299999999999995E-2</v>
      </c>
      <c r="ED147" s="228">
        <v>284.45</v>
      </c>
      <c r="EE147" s="229">
        <v>4.3E-3</v>
      </c>
      <c r="EF147" s="228">
        <v>0</v>
      </c>
      <c r="EG147" s="228">
        <v>0</v>
      </c>
      <c r="EH147" s="229">
        <v>0</v>
      </c>
      <c r="EI147" s="229">
        <v>0</v>
      </c>
      <c r="EJ147" s="231">
        <v>1171.8499999999999</v>
      </c>
      <c r="EK147" s="228">
        <v>859.61</v>
      </c>
      <c r="EL147" s="231">
        <v>6241.43</v>
      </c>
      <c r="EM147" s="228">
        <v>0</v>
      </c>
      <c r="EN147" s="231">
        <v>8272.89</v>
      </c>
      <c r="EO147" s="231">
        <v>7916.43</v>
      </c>
      <c r="EP147" s="228">
        <v>356.46</v>
      </c>
      <c r="EQ147" s="229">
        <v>4.4999999999999998E-2</v>
      </c>
      <c r="ER147" s="231">
        <v>1574</v>
      </c>
      <c r="ES147" s="231">
        <v>1728</v>
      </c>
      <c r="ET147" s="231">
        <v>12303</v>
      </c>
      <c r="EU147" s="228">
        <v>0</v>
      </c>
      <c r="EV147" s="231">
        <v>15605</v>
      </c>
      <c r="EW147" s="231">
        <v>15159</v>
      </c>
      <c r="EX147" s="228">
        <v>446</v>
      </c>
      <c r="EY147" s="229">
        <v>2.9399999999999999E-2</v>
      </c>
      <c r="EZ147" s="229">
        <v>0</v>
      </c>
      <c r="FA147" s="227" t="s">
        <v>566</v>
      </c>
      <c r="FB147" s="161">
        <f t="shared" si="3"/>
        <v>0</v>
      </c>
    </row>
    <row r="148" spans="1:158" ht="17.25" thickBot="1" x14ac:dyDescent="0.3">
      <c r="A148" s="226">
        <v>46121</v>
      </c>
      <c r="B148" s="227" t="s">
        <v>227</v>
      </c>
      <c r="C148" s="227" t="s">
        <v>267</v>
      </c>
      <c r="D148" s="228">
        <v>6750</v>
      </c>
      <c r="E148" s="228">
        <v>84.96</v>
      </c>
      <c r="F148" s="228">
        <v>83.36</v>
      </c>
      <c r="G148" s="228">
        <v>1.6</v>
      </c>
      <c r="H148" s="229">
        <v>1.9199999999999998E-2</v>
      </c>
      <c r="I148" s="228">
        <v>84.44</v>
      </c>
      <c r="J148" s="228">
        <v>82.91</v>
      </c>
      <c r="K148" s="228">
        <v>1.53</v>
      </c>
      <c r="L148" s="229">
        <v>1.8499999999999999E-2</v>
      </c>
      <c r="M148" s="228">
        <v>84.96</v>
      </c>
      <c r="N148" s="228">
        <v>83.36</v>
      </c>
      <c r="O148" s="228">
        <v>1.6</v>
      </c>
      <c r="P148" s="229">
        <v>1.9199999999999998E-2</v>
      </c>
      <c r="Q148" s="228">
        <v>85.29</v>
      </c>
      <c r="R148" s="228">
        <v>83.86</v>
      </c>
      <c r="S148" s="228">
        <v>1.43</v>
      </c>
      <c r="T148" s="229">
        <v>1.7100000000000001E-2</v>
      </c>
      <c r="U148" s="228">
        <v>85.9</v>
      </c>
      <c r="V148" s="228">
        <v>84.29</v>
      </c>
      <c r="W148" s="228">
        <v>1.61</v>
      </c>
      <c r="X148" s="229">
        <v>1.9099999999999999E-2</v>
      </c>
      <c r="Y148" s="228">
        <v>0.52</v>
      </c>
      <c r="Z148" s="228">
        <v>0.45</v>
      </c>
      <c r="AA148" s="228">
        <v>7.0000000000000007E-2</v>
      </c>
      <c r="AB148" s="229">
        <v>6.1999999999999998E-3</v>
      </c>
      <c r="AC148" s="228">
        <v>0.52</v>
      </c>
      <c r="AD148" s="228">
        <v>0.45</v>
      </c>
      <c r="AE148" s="228">
        <v>7.0000000000000007E-2</v>
      </c>
      <c r="AF148" s="229">
        <v>6.1999999999999998E-3</v>
      </c>
      <c r="AG148" s="228">
        <v>0.85</v>
      </c>
      <c r="AH148" s="228">
        <v>0.95</v>
      </c>
      <c r="AI148" s="228">
        <v>-0.1</v>
      </c>
      <c r="AJ148" s="229">
        <v>1.01E-2</v>
      </c>
      <c r="AK148" s="228">
        <v>1.46</v>
      </c>
      <c r="AL148" s="228">
        <v>1.38</v>
      </c>
      <c r="AM148" s="228">
        <v>0.08</v>
      </c>
      <c r="AN148" s="229">
        <v>1.7299999999999999E-2</v>
      </c>
      <c r="AO148" s="228">
        <v>84.69</v>
      </c>
      <c r="AP148" s="228">
        <v>85.08</v>
      </c>
      <c r="AQ148" s="228">
        <v>0</v>
      </c>
      <c r="AR148" s="230">
        <v>30948750</v>
      </c>
      <c r="AS148" s="230">
        <v>31671000</v>
      </c>
      <c r="AT148" s="230">
        <v>-722250</v>
      </c>
      <c r="AU148" s="229">
        <v>-2.2800000000000001E-2</v>
      </c>
      <c r="AV148" s="230">
        <v>27783000</v>
      </c>
      <c r="AW148" s="230">
        <v>28026000</v>
      </c>
      <c r="AX148" s="230">
        <v>-243000</v>
      </c>
      <c r="AY148" s="229">
        <v>-8.6999999999999994E-3</v>
      </c>
      <c r="AZ148" s="230">
        <v>2916000</v>
      </c>
      <c r="BA148" s="230">
        <v>3219750</v>
      </c>
      <c r="BB148" s="230">
        <v>-303750</v>
      </c>
      <c r="BC148" s="229">
        <v>-9.4299999999999995E-2</v>
      </c>
      <c r="BD148" s="230">
        <v>249750</v>
      </c>
      <c r="BE148" s="230">
        <v>425250</v>
      </c>
      <c r="BF148" s="230">
        <v>-175500</v>
      </c>
      <c r="BG148" s="229">
        <v>-0.41270000000000001</v>
      </c>
      <c r="BH148" s="230">
        <v>100595250</v>
      </c>
      <c r="BI148" s="230">
        <v>62268750</v>
      </c>
      <c r="BJ148" s="230">
        <v>38326500</v>
      </c>
      <c r="BK148" s="229">
        <v>0.61550000000000005</v>
      </c>
      <c r="BL148" s="230">
        <v>36740250</v>
      </c>
      <c r="BM148" s="230">
        <v>29916000</v>
      </c>
      <c r="BN148" s="230">
        <v>6824250</v>
      </c>
      <c r="BO148" s="229">
        <v>0.2281</v>
      </c>
      <c r="BP148" s="230">
        <v>168284250</v>
      </c>
      <c r="BQ148" s="230">
        <v>123855750</v>
      </c>
      <c r="BR148" s="230">
        <v>44428500</v>
      </c>
      <c r="BS148" s="229">
        <v>0.35870000000000002</v>
      </c>
      <c r="BT148" s="230">
        <v>27522585</v>
      </c>
      <c r="BU148" s="230">
        <v>25386922</v>
      </c>
      <c r="BV148" s="230">
        <v>2135663</v>
      </c>
      <c r="BW148" s="229">
        <v>8.4099999999999994E-2</v>
      </c>
      <c r="BX148" s="230">
        <v>331506000</v>
      </c>
      <c r="BY148" s="230">
        <v>328677750</v>
      </c>
      <c r="BZ148" s="230">
        <v>2828250</v>
      </c>
      <c r="CA148" s="229">
        <v>8.6E-3</v>
      </c>
      <c r="CB148" s="230">
        <v>324155250</v>
      </c>
      <c r="CC148" s="230">
        <v>322683750</v>
      </c>
      <c r="CD148" s="230">
        <v>1471500</v>
      </c>
      <c r="CE148" s="229">
        <v>4.5999999999999999E-3</v>
      </c>
      <c r="CF148" s="230">
        <v>6682500</v>
      </c>
      <c r="CG148" s="230">
        <v>5447250</v>
      </c>
      <c r="CH148" s="230">
        <v>1235250</v>
      </c>
      <c r="CI148" s="229">
        <v>0.2268</v>
      </c>
      <c r="CJ148" s="230">
        <v>668250</v>
      </c>
      <c r="CK148" s="230">
        <v>546750</v>
      </c>
      <c r="CL148" s="230">
        <v>121500</v>
      </c>
      <c r="CM148" s="229">
        <v>0.22220000000000001</v>
      </c>
      <c r="CN148" s="230">
        <v>67081500</v>
      </c>
      <c r="CO148" s="230">
        <v>62343000</v>
      </c>
      <c r="CP148" s="230">
        <v>4738500</v>
      </c>
      <c r="CQ148" s="229">
        <v>7.5999999999999998E-2</v>
      </c>
      <c r="CR148" s="230">
        <v>41215500</v>
      </c>
      <c r="CS148" s="230">
        <v>37496250</v>
      </c>
      <c r="CT148" s="230">
        <v>3719250</v>
      </c>
      <c r="CU148" s="229">
        <v>9.9199999999999997E-2</v>
      </c>
      <c r="CV148" s="230">
        <v>439803000</v>
      </c>
      <c r="CW148" s="230">
        <v>428517000</v>
      </c>
      <c r="CX148" s="230">
        <v>11286000</v>
      </c>
      <c r="CY148" s="229">
        <v>2.63E-2</v>
      </c>
      <c r="CZ148" s="228">
        <v>33.1</v>
      </c>
      <c r="DA148" s="228">
        <v>33.43</v>
      </c>
      <c r="DB148" s="228">
        <v>-0.33</v>
      </c>
      <c r="DC148" s="228">
        <v>-0.33</v>
      </c>
      <c r="DD148" s="228">
        <v>39.28</v>
      </c>
      <c r="DE148" s="228">
        <v>39.299999999999997</v>
      </c>
      <c r="DF148" s="228">
        <v>-6.18</v>
      </c>
      <c r="DG148" s="228">
        <v>-0.02</v>
      </c>
      <c r="DH148" s="228">
        <v>32.18</v>
      </c>
      <c r="DI148" s="228">
        <v>32.35</v>
      </c>
      <c r="DJ148" s="228">
        <v>-0.17</v>
      </c>
      <c r="DK148" s="228">
        <v>-0.17</v>
      </c>
      <c r="DL148" s="228">
        <v>35.6</v>
      </c>
      <c r="DM148" s="228">
        <v>35.69</v>
      </c>
      <c r="DN148" s="228">
        <v>-0.09</v>
      </c>
      <c r="DO148" s="228">
        <v>-0.09</v>
      </c>
      <c r="DP148" s="228">
        <v>0.61</v>
      </c>
      <c r="DQ148" s="228">
        <v>0.6</v>
      </c>
      <c r="DR148" s="228">
        <v>0.01</v>
      </c>
      <c r="DS148" s="229">
        <v>1.67E-2</v>
      </c>
      <c r="DT148" s="228">
        <v>90</v>
      </c>
      <c r="DU148" s="228">
        <v>80</v>
      </c>
      <c r="DV148" s="228">
        <v>0.37</v>
      </c>
      <c r="DW148" s="228">
        <v>0.48</v>
      </c>
      <c r="DX148" s="228">
        <v>-0.11</v>
      </c>
      <c r="DY148" s="229">
        <v>-0.22919999999999999</v>
      </c>
      <c r="DZ148" s="229">
        <v>2.2200000000000001E-2</v>
      </c>
      <c r="EA148" s="230">
        <v>5994000</v>
      </c>
      <c r="EB148" s="229">
        <v>3.8999999999999998E-3</v>
      </c>
      <c r="EC148" s="229">
        <v>2.2200000000000001E-2</v>
      </c>
      <c r="ED148" s="228">
        <v>0.39</v>
      </c>
      <c r="EE148" s="229">
        <v>4.5999999999999999E-3</v>
      </c>
      <c r="EF148" s="230">
        <v>11304644</v>
      </c>
      <c r="EG148" s="230">
        <v>10491305</v>
      </c>
      <c r="EH148" s="229">
        <v>7.7499999999999999E-2</v>
      </c>
      <c r="EI148" s="229">
        <v>0.41070000000000001</v>
      </c>
      <c r="EJ148" s="231">
        <v>89709.52</v>
      </c>
      <c r="EK148" s="231">
        <v>29972.38</v>
      </c>
      <c r="EL148" s="231">
        <v>26224.49</v>
      </c>
      <c r="EM148" s="231">
        <v>4596</v>
      </c>
      <c r="EN148" s="231">
        <v>145906.39000000001</v>
      </c>
      <c r="EO148" s="231">
        <v>104887.22</v>
      </c>
      <c r="EP148" s="231">
        <v>41019.17</v>
      </c>
      <c r="EQ148" s="229">
        <v>0.3911</v>
      </c>
      <c r="ER148" s="231">
        <v>57797</v>
      </c>
      <c r="ES148" s="231">
        <v>31976</v>
      </c>
      <c r="ET148" s="231">
        <v>281676</v>
      </c>
      <c r="EU148" s="231">
        <v>517037525</v>
      </c>
      <c r="EV148" s="231">
        <v>371449</v>
      </c>
      <c r="EW148" s="231">
        <v>356100</v>
      </c>
      <c r="EX148" s="231">
        <v>15349</v>
      </c>
      <c r="EY148" s="229">
        <v>4.3099999999999999E-2</v>
      </c>
      <c r="EZ148" s="229">
        <v>0.85060000000000002</v>
      </c>
      <c r="FA148" s="227" t="s">
        <v>555</v>
      </c>
      <c r="FB148" s="161">
        <f t="shared" si="3"/>
        <v>0</v>
      </c>
    </row>
    <row r="149" spans="1:158" ht="17.25" thickBot="1" x14ac:dyDescent="0.3">
      <c r="A149" s="226">
        <v>46121</v>
      </c>
      <c r="B149" s="227" t="s">
        <v>161</v>
      </c>
      <c r="C149" s="227" t="s">
        <v>268</v>
      </c>
      <c r="D149" s="228">
        <v>1500</v>
      </c>
      <c r="E149" s="228">
        <v>380.05</v>
      </c>
      <c r="F149" s="228">
        <v>375.9</v>
      </c>
      <c r="G149" s="228">
        <v>4.1500000000000004</v>
      </c>
      <c r="H149" s="229">
        <v>1.0999999999999999E-2</v>
      </c>
      <c r="I149" s="228">
        <v>378.65</v>
      </c>
      <c r="J149" s="228">
        <v>374.15</v>
      </c>
      <c r="K149" s="228">
        <v>4.5</v>
      </c>
      <c r="L149" s="229">
        <v>1.2E-2</v>
      </c>
      <c r="M149" s="228">
        <v>380.05</v>
      </c>
      <c r="N149" s="228">
        <v>375.9</v>
      </c>
      <c r="O149" s="228">
        <v>4.1500000000000004</v>
      </c>
      <c r="P149" s="229">
        <v>1.0999999999999999E-2</v>
      </c>
      <c r="Q149" s="228">
        <v>382.45</v>
      </c>
      <c r="R149" s="228">
        <v>377.95</v>
      </c>
      <c r="S149" s="228">
        <v>4.5</v>
      </c>
      <c r="T149" s="229">
        <v>1.1900000000000001E-2</v>
      </c>
      <c r="U149" s="228">
        <v>384.35</v>
      </c>
      <c r="V149" s="228">
        <v>380.05</v>
      </c>
      <c r="W149" s="228">
        <v>4.3</v>
      </c>
      <c r="X149" s="229">
        <v>1.1299999999999999E-2</v>
      </c>
      <c r="Y149" s="228">
        <v>1.4</v>
      </c>
      <c r="Z149" s="228">
        <v>1.75</v>
      </c>
      <c r="AA149" s="228">
        <v>-0.35</v>
      </c>
      <c r="AB149" s="229">
        <v>3.7000000000000002E-3</v>
      </c>
      <c r="AC149" s="228">
        <v>1.4</v>
      </c>
      <c r="AD149" s="228">
        <v>1.75</v>
      </c>
      <c r="AE149" s="228">
        <v>-0.35</v>
      </c>
      <c r="AF149" s="229">
        <v>3.7000000000000002E-3</v>
      </c>
      <c r="AG149" s="228">
        <v>3.8</v>
      </c>
      <c r="AH149" s="228">
        <v>3.8</v>
      </c>
      <c r="AI149" s="228">
        <v>0</v>
      </c>
      <c r="AJ149" s="229">
        <v>0.01</v>
      </c>
      <c r="AK149" s="228">
        <v>5.7</v>
      </c>
      <c r="AL149" s="228">
        <v>5.9</v>
      </c>
      <c r="AM149" s="228">
        <v>-0.2</v>
      </c>
      <c r="AN149" s="229">
        <v>1.5100000000000001E-2</v>
      </c>
      <c r="AO149" s="228">
        <v>381.54</v>
      </c>
      <c r="AP149" s="228">
        <v>383.95</v>
      </c>
      <c r="AQ149" s="228">
        <v>0</v>
      </c>
      <c r="AR149" s="230">
        <v>11985000</v>
      </c>
      <c r="AS149" s="230">
        <v>14688000</v>
      </c>
      <c r="AT149" s="230">
        <v>-2703000</v>
      </c>
      <c r="AU149" s="229">
        <v>-0.184</v>
      </c>
      <c r="AV149" s="230">
        <v>11182500</v>
      </c>
      <c r="AW149" s="230">
        <v>13234500</v>
      </c>
      <c r="AX149" s="230">
        <v>-2052000</v>
      </c>
      <c r="AY149" s="229">
        <v>-0.155</v>
      </c>
      <c r="AZ149" s="230">
        <v>721500</v>
      </c>
      <c r="BA149" s="230">
        <v>1278000</v>
      </c>
      <c r="BB149" s="230">
        <v>-556500</v>
      </c>
      <c r="BC149" s="229">
        <v>-0.43540000000000001</v>
      </c>
      <c r="BD149" s="230">
        <v>81000</v>
      </c>
      <c r="BE149" s="230">
        <v>175500</v>
      </c>
      <c r="BF149" s="230">
        <v>-94500</v>
      </c>
      <c r="BG149" s="229">
        <v>-0.53849999999999998</v>
      </c>
      <c r="BH149" s="230">
        <v>103302000</v>
      </c>
      <c r="BI149" s="230">
        <v>50262000</v>
      </c>
      <c r="BJ149" s="230">
        <v>53040000</v>
      </c>
      <c r="BK149" s="229">
        <v>1.0552999999999999</v>
      </c>
      <c r="BL149" s="230">
        <v>32445000</v>
      </c>
      <c r="BM149" s="230">
        <v>17878500</v>
      </c>
      <c r="BN149" s="230">
        <v>14566500</v>
      </c>
      <c r="BO149" s="229">
        <v>0.81469999999999998</v>
      </c>
      <c r="BP149" s="230">
        <v>147732000</v>
      </c>
      <c r="BQ149" s="230">
        <v>82828500</v>
      </c>
      <c r="BR149" s="230">
        <v>64903500</v>
      </c>
      <c r="BS149" s="229">
        <v>0.78359999999999996</v>
      </c>
      <c r="BT149" s="230">
        <v>20079165</v>
      </c>
      <c r="BU149" s="230">
        <v>21647657</v>
      </c>
      <c r="BV149" s="230">
        <v>-1568492</v>
      </c>
      <c r="BW149" s="229">
        <v>-7.2499999999999995E-2</v>
      </c>
      <c r="BX149" s="230">
        <v>87567000</v>
      </c>
      <c r="BY149" s="230">
        <v>86233500</v>
      </c>
      <c r="BZ149" s="230">
        <v>1333500</v>
      </c>
      <c r="CA149" s="229">
        <v>1.55E-2</v>
      </c>
      <c r="CB149" s="230">
        <v>77679000</v>
      </c>
      <c r="CC149" s="230">
        <v>76506000</v>
      </c>
      <c r="CD149" s="230">
        <v>1173000</v>
      </c>
      <c r="CE149" s="229">
        <v>1.5299999999999999E-2</v>
      </c>
      <c r="CF149" s="230">
        <v>8125500</v>
      </c>
      <c r="CG149" s="230">
        <v>7984500</v>
      </c>
      <c r="CH149" s="230">
        <v>141000</v>
      </c>
      <c r="CI149" s="229">
        <v>1.77E-2</v>
      </c>
      <c r="CJ149" s="230">
        <v>1762500</v>
      </c>
      <c r="CK149" s="230">
        <v>1743000</v>
      </c>
      <c r="CL149" s="230">
        <v>19500</v>
      </c>
      <c r="CM149" s="229">
        <v>1.12E-2</v>
      </c>
      <c r="CN149" s="230">
        <v>36079500</v>
      </c>
      <c r="CO149" s="230">
        <v>30117000</v>
      </c>
      <c r="CP149" s="230">
        <v>5962500</v>
      </c>
      <c r="CQ149" s="229">
        <v>0.19800000000000001</v>
      </c>
      <c r="CR149" s="230">
        <v>17544000</v>
      </c>
      <c r="CS149" s="230">
        <v>15880500</v>
      </c>
      <c r="CT149" s="230">
        <v>1663500</v>
      </c>
      <c r="CU149" s="229">
        <v>0.1048</v>
      </c>
      <c r="CV149" s="230">
        <v>141190500</v>
      </c>
      <c r="CW149" s="230">
        <v>132231000</v>
      </c>
      <c r="CX149" s="230">
        <v>8959500</v>
      </c>
      <c r="CY149" s="229">
        <v>6.7799999999999999E-2</v>
      </c>
      <c r="CZ149" s="228">
        <v>22.24</v>
      </c>
      <c r="DA149" s="228">
        <v>22.74</v>
      </c>
      <c r="DB149" s="228">
        <v>-0.5</v>
      </c>
      <c r="DC149" s="228">
        <v>-0.5</v>
      </c>
      <c r="DD149" s="228">
        <v>27.57</v>
      </c>
      <c r="DE149" s="228">
        <v>27.59</v>
      </c>
      <c r="DF149" s="228">
        <v>-5.33</v>
      </c>
      <c r="DG149" s="228">
        <v>-0.02</v>
      </c>
      <c r="DH149" s="228">
        <v>21.84</v>
      </c>
      <c r="DI149" s="228">
        <v>22.28</v>
      </c>
      <c r="DJ149" s="228">
        <v>-0.44</v>
      </c>
      <c r="DK149" s="228">
        <v>-0.44</v>
      </c>
      <c r="DL149" s="228">
        <v>23.5</v>
      </c>
      <c r="DM149" s="228">
        <v>24.05</v>
      </c>
      <c r="DN149" s="228">
        <v>-0.55000000000000004</v>
      </c>
      <c r="DO149" s="228">
        <v>-0.55000000000000004</v>
      </c>
      <c r="DP149" s="228">
        <v>0.49</v>
      </c>
      <c r="DQ149" s="228">
        <v>0.53</v>
      </c>
      <c r="DR149" s="228">
        <v>-0.04</v>
      </c>
      <c r="DS149" s="229">
        <v>-7.5499999999999998E-2</v>
      </c>
      <c r="DT149" s="228">
        <v>400</v>
      </c>
      <c r="DU149" s="228">
        <v>380</v>
      </c>
      <c r="DV149" s="228">
        <v>0.31</v>
      </c>
      <c r="DW149" s="228">
        <v>0.36</v>
      </c>
      <c r="DX149" s="228">
        <v>-0.05</v>
      </c>
      <c r="DY149" s="229">
        <v>-0.1389</v>
      </c>
      <c r="DZ149" s="229">
        <v>0.1129</v>
      </c>
      <c r="EA149" s="230">
        <v>9727500</v>
      </c>
      <c r="EB149" s="229">
        <v>6.3E-3</v>
      </c>
      <c r="EC149" s="229">
        <v>0.1129</v>
      </c>
      <c r="ED149" s="228">
        <v>2.41</v>
      </c>
      <c r="EE149" s="229">
        <v>6.3E-3</v>
      </c>
      <c r="EF149" s="230">
        <v>10195397</v>
      </c>
      <c r="EG149" s="230">
        <v>13693062</v>
      </c>
      <c r="EH149" s="229">
        <v>-0.25540000000000002</v>
      </c>
      <c r="EI149" s="229">
        <v>0.50780000000000003</v>
      </c>
      <c r="EJ149" s="231">
        <v>407768.39</v>
      </c>
      <c r="EK149" s="231">
        <v>121852.15</v>
      </c>
      <c r="EL149" s="231">
        <v>45748.34</v>
      </c>
      <c r="EM149" s="231">
        <v>9144</v>
      </c>
      <c r="EN149" s="231">
        <v>575368.88</v>
      </c>
      <c r="EO149" s="231">
        <v>316602.15999999997</v>
      </c>
      <c r="EP149" s="231">
        <v>258766.72</v>
      </c>
      <c r="EQ149" s="229">
        <v>0.81730000000000003</v>
      </c>
      <c r="ER149" s="231">
        <v>138994</v>
      </c>
      <c r="ES149" s="231">
        <v>63467</v>
      </c>
      <c r="ET149" s="231">
        <v>333069</v>
      </c>
      <c r="EU149" s="231">
        <v>550512361</v>
      </c>
      <c r="EV149" s="231">
        <v>535530</v>
      </c>
      <c r="EW149" s="231">
        <v>497291</v>
      </c>
      <c r="EX149" s="231">
        <v>38239</v>
      </c>
      <c r="EY149" s="229">
        <v>7.6899999999999996E-2</v>
      </c>
      <c r="EZ149" s="229">
        <v>0.25650000000000001</v>
      </c>
      <c r="FA149" s="227" t="s">
        <v>555</v>
      </c>
      <c r="FB149" s="161">
        <f t="shared" si="3"/>
        <v>0</v>
      </c>
    </row>
    <row r="150" spans="1:158" ht="17.25" thickBot="1" x14ac:dyDescent="0.3">
      <c r="A150" s="226">
        <v>46121</v>
      </c>
      <c r="B150" s="227" t="s">
        <v>175</v>
      </c>
      <c r="C150" s="227" t="s">
        <v>683</v>
      </c>
      <c r="D150" s="228">
        <v>500</v>
      </c>
      <c r="E150" s="231">
        <v>1301.0999999999999</v>
      </c>
      <c r="F150" s="231">
        <v>1286.3</v>
      </c>
      <c r="G150" s="228">
        <v>14.8</v>
      </c>
      <c r="H150" s="229">
        <v>1.15E-2</v>
      </c>
      <c r="I150" s="231">
        <v>1294.8</v>
      </c>
      <c r="J150" s="231">
        <v>1281</v>
      </c>
      <c r="K150" s="228">
        <v>13.8</v>
      </c>
      <c r="L150" s="229">
        <v>1.0800000000000001E-2</v>
      </c>
      <c r="M150" s="231">
        <v>1301.0999999999999</v>
      </c>
      <c r="N150" s="231">
        <v>1286.3</v>
      </c>
      <c r="O150" s="228">
        <v>14.8</v>
      </c>
      <c r="P150" s="229">
        <v>1.15E-2</v>
      </c>
      <c r="Q150" s="231">
        <v>1299.3</v>
      </c>
      <c r="R150" s="231">
        <v>1283.9000000000001</v>
      </c>
      <c r="S150" s="228">
        <v>15.4</v>
      </c>
      <c r="T150" s="229">
        <v>1.2E-2</v>
      </c>
      <c r="U150" s="231">
        <v>1302.8</v>
      </c>
      <c r="V150" s="231">
        <v>1162</v>
      </c>
      <c r="W150" s="228">
        <v>140.80000000000001</v>
      </c>
      <c r="X150" s="229">
        <v>0.1212</v>
      </c>
      <c r="Y150" s="228">
        <v>6.3</v>
      </c>
      <c r="Z150" s="228">
        <v>5.3</v>
      </c>
      <c r="AA150" s="228">
        <v>1</v>
      </c>
      <c r="AB150" s="229">
        <v>4.8999999999999998E-3</v>
      </c>
      <c r="AC150" s="228">
        <v>6.3</v>
      </c>
      <c r="AD150" s="228">
        <v>5.3</v>
      </c>
      <c r="AE150" s="228">
        <v>1</v>
      </c>
      <c r="AF150" s="229">
        <v>4.8999999999999998E-3</v>
      </c>
      <c r="AG150" s="228">
        <v>4.5</v>
      </c>
      <c r="AH150" s="228">
        <v>2.9</v>
      </c>
      <c r="AI150" s="228">
        <v>1.6</v>
      </c>
      <c r="AJ150" s="229">
        <v>3.5000000000000001E-3</v>
      </c>
      <c r="AK150" s="228">
        <v>8</v>
      </c>
      <c r="AL150" s="228">
        <v>-119</v>
      </c>
      <c r="AM150" s="228">
        <v>127</v>
      </c>
      <c r="AN150" s="229">
        <v>6.1999999999999998E-3</v>
      </c>
      <c r="AO150" s="231">
        <v>1301.1099999999999</v>
      </c>
      <c r="AP150" s="231">
        <v>1299.52</v>
      </c>
      <c r="AQ150" s="228">
        <v>0</v>
      </c>
      <c r="AR150" s="230">
        <v>444500</v>
      </c>
      <c r="AS150" s="230">
        <v>875500</v>
      </c>
      <c r="AT150" s="230">
        <v>-431000</v>
      </c>
      <c r="AU150" s="229">
        <v>-0.49230000000000002</v>
      </c>
      <c r="AV150" s="230">
        <v>426000</v>
      </c>
      <c r="AW150" s="230">
        <v>850000</v>
      </c>
      <c r="AX150" s="230">
        <v>-424000</v>
      </c>
      <c r="AY150" s="229">
        <v>-0.49880000000000002</v>
      </c>
      <c r="AZ150" s="230">
        <v>16500</v>
      </c>
      <c r="BA150" s="230">
        <v>25000</v>
      </c>
      <c r="BB150" s="230">
        <v>-8500</v>
      </c>
      <c r="BC150" s="229">
        <v>-0.34</v>
      </c>
      <c r="BD150" s="230">
        <v>2000</v>
      </c>
      <c r="BE150" s="228">
        <v>500</v>
      </c>
      <c r="BF150" s="230">
        <v>1500</v>
      </c>
      <c r="BG150" s="229">
        <v>3</v>
      </c>
      <c r="BH150" s="230">
        <v>941000</v>
      </c>
      <c r="BI150" s="230">
        <v>1756500</v>
      </c>
      <c r="BJ150" s="230">
        <v>-815500</v>
      </c>
      <c r="BK150" s="229">
        <v>-0.46429999999999999</v>
      </c>
      <c r="BL150" s="230">
        <v>614000</v>
      </c>
      <c r="BM150" s="230">
        <v>534500</v>
      </c>
      <c r="BN150" s="230">
        <v>79500</v>
      </c>
      <c r="BO150" s="229">
        <v>0.1487</v>
      </c>
      <c r="BP150" s="230">
        <v>1999500</v>
      </c>
      <c r="BQ150" s="230">
        <v>3166500</v>
      </c>
      <c r="BR150" s="230">
        <v>-1167000</v>
      </c>
      <c r="BS150" s="229">
        <v>-0.36849999999999999</v>
      </c>
      <c r="BT150" s="230">
        <v>337325</v>
      </c>
      <c r="BU150" s="230">
        <v>700741</v>
      </c>
      <c r="BV150" s="230">
        <v>-363416</v>
      </c>
      <c r="BW150" s="229">
        <v>-0.51859999999999995</v>
      </c>
      <c r="BX150" s="230">
        <v>2003000</v>
      </c>
      <c r="BY150" s="230">
        <v>2005000</v>
      </c>
      <c r="BZ150" s="230">
        <v>-2000</v>
      </c>
      <c r="CA150" s="229">
        <v>-1E-3</v>
      </c>
      <c r="CB150" s="230">
        <v>1940500</v>
      </c>
      <c r="CC150" s="230">
        <v>1948500</v>
      </c>
      <c r="CD150" s="230">
        <v>-8000</v>
      </c>
      <c r="CE150" s="229">
        <v>-4.1000000000000003E-3</v>
      </c>
      <c r="CF150" s="230">
        <v>50000</v>
      </c>
      <c r="CG150" s="230">
        <v>45000</v>
      </c>
      <c r="CH150" s="230">
        <v>5000</v>
      </c>
      <c r="CI150" s="229">
        <v>0.1111</v>
      </c>
      <c r="CJ150" s="230">
        <v>12500</v>
      </c>
      <c r="CK150" s="230">
        <v>11500</v>
      </c>
      <c r="CL150" s="230">
        <v>1000</v>
      </c>
      <c r="CM150" s="229">
        <v>8.6999999999999994E-2</v>
      </c>
      <c r="CN150" s="230">
        <v>746500</v>
      </c>
      <c r="CO150" s="230">
        <v>612500</v>
      </c>
      <c r="CP150" s="230">
        <v>134000</v>
      </c>
      <c r="CQ150" s="229">
        <v>0.21879999999999999</v>
      </c>
      <c r="CR150" s="230">
        <v>555500</v>
      </c>
      <c r="CS150" s="230">
        <v>512000</v>
      </c>
      <c r="CT150" s="230">
        <v>43500</v>
      </c>
      <c r="CU150" s="229">
        <v>8.5000000000000006E-2</v>
      </c>
      <c r="CV150" s="230">
        <v>3305000</v>
      </c>
      <c r="CW150" s="230">
        <v>3129500</v>
      </c>
      <c r="CX150" s="230">
        <v>175500</v>
      </c>
      <c r="CY150" s="229">
        <v>5.6099999999999997E-2</v>
      </c>
      <c r="CZ150" s="228">
        <v>46.98</v>
      </c>
      <c r="DA150" s="228">
        <v>44.06</v>
      </c>
      <c r="DB150" s="228">
        <v>2.92</v>
      </c>
      <c r="DC150" s="228">
        <v>2.92</v>
      </c>
      <c r="DD150" s="228">
        <v>51.27</v>
      </c>
      <c r="DE150" s="228">
        <v>51.37</v>
      </c>
      <c r="DF150" s="228">
        <v>-4.29</v>
      </c>
      <c r="DG150" s="228">
        <v>-0.1</v>
      </c>
      <c r="DH150" s="228">
        <v>39.450000000000003</v>
      </c>
      <c r="DI150" s="228">
        <v>41.27</v>
      </c>
      <c r="DJ150" s="228">
        <v>-1.82</v>
      </c>
      <c r="DK150" s="228">
        <v>-1.82</v>
      </c>
      <c r="DL150" s="228">
        <v>58.52</v>
      </c>
      <c r="DM150" s="228">
        <v>53.23</v>
      </c>
      <c r="DN150" s="228">
        <v>5.29</v>
      </c>
      <c r="DO150" s="228">
        <v>5.29</v>
      </c>
      <c r="DP150" s="228">
        <v>0.74</v>
      </c>
      <c r="DQ150" s="228">
        <v>0.84</v>
      </c>
      <c r="DR150" s="228">
        <v>-0.1</v>
      </c>
      <c r="DS150" s="229">
        <v>-0.11899999999999999</v>
      </c>
      <c r="DT150" s="231">
        <v>1300</v>
      </c>
      <c r="DU150" s="231">
        <v>1100</v>
      </c>
      <c r="DV150" s="228">
        <v>0.65</v>
      </c>
      <c r="DW150" s="228">
        <v>0.3</v>
      </c>
      <c r="DX150" s="228">
        <v>0.35</v>
      </c>
      <c r="DY150" s="229">
        <v>1.1667000000000001</v>
      </c>
      <c r="DZ150" s="229">
        <v>3.1199999999999999E-2</v>
      </c>
      <c r="EA150" s="230">
        <v>56500</v>
      </c>
      <c r="EB150" s="229">
        <v>-1.4E-3</v>
      </c>
      <c r="EC150" s="229">
        <v>3.1199999999999999E-2</v>
      </c>
      <c r="ED150" s="228">
        <v>-1.59</v>
      </c>
      <c r="EE150" s="229">
        <v>-1.1999999999999999E-3</v>
      </c>
      <c r="EF150" s="230">
        <v>104213</v>
      </c>
      <c r="EG150" s="230">
        <v>273009</v>
      </c>
      <c r="EH150" s="229">
        <v>-0.61829999999999996</v>
      </c>
      <c r="EI150" s="229">
        <v>0.30890000000000001</v>
      </c>
      <c r="EJ150" s="231">
        <v>13320.73</v>
      </c>
      <c r="EK150" s="231">
        <v>6812.75</v>
      </c>
      <c r="EL150" s="231">
        <v>5783.24</v>
      </c>
      <c r="EM150" s="231">
        <v>1205</v>
      </c>
      <c r="EN150" s="231">
        <v>25916.720000000001</v>
      </c>
      <c r="EO150" s="231">
        <v>41214.239999999998</v>
      </c>
      <c r="EP150" s="231">
        <v>-15297.52</v>
      </c>
      <c r="EQ150" s="229">
        <v>-0.37119999999999997</v>
      </c>
      <c r="ER150" s="231">
        <v>9872</v>
      </c>
      <c r="ES150" s="231">
        <v>6307</v>
      </c>
      <c r="ET150" s="231">
        <v>26060</v>
      </c>
      <c r="EU150" s="231">
        <v>12490416</v>
      </c>
      <c r="EV150" s="231">
        <v>42240</v>
      </c>
      <c r="EW150" s="231">
        <v>39308</v>
      </c>
      <c r="EX150" s="231">
        <v>2932</v>
      </c>
      <c r="EY150" s="229">
        <v>7.46E-2</v>
      </c>
      <c r="EZ150" s="229">
        <v>0.2646</v>
      </c>
      <c r="FA150" s="227" t="s">
        <v>694</v>
      </c>
      <c r="FB150" s="161">
        <f t="shared" si="3"/>
        <v>0</v>
      </c>
    </row>
    <row r="151" spans="1:158" ht="17.25" thickBot="1" x14ac:dyDescent="0.3">
      <c r="A151" s="226">
        <v>46121</v>
      </c>
      <c r="B151" s="227" t="s">
        <v>614</v>
      </c>
      <c r="C151" s="227" t="s">
        <v>612</v>
      </c>
      <c r="D151" s="228">
        <v>3125</v>
      </c>
      <c r="E151" s="228">
        <v>255.82</v>
      </c>
      <c r="F151" s="228">
        <v>255.43</v>
      </c>
      <c r="G151" s="228">
        <v>0.39</v>
      </c>
      <c r="H151" s="229">
        <v>1.5E-3</v>
      </c>
      <c r="I151" s="228">
        <v>254.93</v>
      </c>
      <c r="J151" s="228">
        <v>254.07</v>
      </c>
      <c r="K151" s="228">
        <v>0.86</v>
      </c>
      <c r="L151" s="229">
        <v>3.3999999999999998E-3</v>
      </c>
      <c r="M151" s="228">
        <v>255.82</v>
      </c>
      <c r="N151" s="228">
        <v>255.43</v>
      </c>
      <c r="O151" s="228">
        <v>0.39</v>
      </c>
      <c r="P151" s="229">
        <v>1.5E-3</v>
      </c>
      <c r="Q151" s="228">
        <v>257.38</v>
      </c>
      <c r="R151" s="228">
        <v>256.62</v>
      </c>
      <c r="S151" s="228">
        <v>0.76</v>
      </c>
      <c r="T151" s="229">
        <v>3.0000000000000001E-3</v>
      </c>
      <c r="U151" s="228">
        <v>259.64999999999998</v>
      </c>
      <c r="V151" s="228">
        <v>256.27</v>
      </c>
      <c r="W151" s="228">
        <v>3.38</v>
      </c>
      <c r="X151" s="229">
        <v>1.32E-2</v>
      </c>
      <c r="Y151" s="228">
        <v>0.89</v>
      </c>
      <c r="Z151" s="228">
        <v>1.36</v>
      </c>
      <c r="AA151" s="228">
        <v>-0.47</v>
      </c>
      <c r="AB151" s="229">
        <v>3.5000000000000001E-3</v>
      </c>
      <c r="AC151" s="228">
        <v>0.89</v>
      </c>
      <c r="AD151" s="228">
        <v>1.36</v>
      </c>
      <c r="AE151" s="228">
        <v>-0.47</v>
      </c>
      <c r="AF151" s="229">
        <v>3.5000000000000001E-3</v>
      </c>
      <c r="AG151" s="228">
        <v>2.4500000000000002</v>
      </c>
      <c r="AH151" s="228">
        <v>2.5499999999999998</v>
      </c>
      <c r="AI151" s="228">
        <v>-0.1</v>
      </c>
      <c r="AJ151" s="229">
        <v>9.5999999999999992E-3</v>
      </c>
      <c r="AK151" s="228">
        <v>4.72</v>
      </c>
      <c r="AL151" s="228">
        <v>2.2000000000000002</v>
      </c>
      <c r="AM151" s="228">
        <v>2.52</v>
      </c>
      <c r="AN151" s="229">
        <v>1.8499999999999999E-2</v>
      </c>
      <c r="AO151" s="228">
        <v>256.74</v>
      </c>
      <c r="AP151" s="228">
        <v>258.20999999999998</v>
      </c>
      <c r="AQ151" s="228">
        <v>0</v>
      </c>
      <c r="AR151" s="230">
        <v>5781250</v>
      </c>
      <c r="AS151" s="230">
        <v>7706250</v>
      </c>
      <c r="AT151" s="230">
        <v>-1925000</v>
      </c>
      <c r="AU151" s="229">
        <v>-0.24979999999999999</v>
      </c>
      <c r="AV151" s="230">
        <v>5490625</v>
      </c>
      <c r="AW151" s="230">
        <v>7259375</v>
      </c>
      <c r="AX151" s="230">
        <v>-1768750</v>
      </c>
      <c r="AY151" s="229">
        <v>-0.2437</v>
      </c>
      <c r="AZ151" s="230">
        <v>265625</v>
      </c>
      <c r="BA151" s="230">
        <v>421875</v>
      </c>
      <c r="BB151" s="230">
        <v>-156250</v>
      </c>
      <c r="BC151" s="229">
        <v>-0.37040000000000001</v>
      </c>
      <c r="BD151" s="230">
        <v>25000</v>
      </c>
      <c r="BE151" s="230">
        <v>25000</v>
      </c>
      <c r="BF151" s="228">
        <v>0</v>
      </c>
      <c r="BG151" s="229">
        <v>0</v>
      </c>
      <c r="BH151" s="230">
        <v>10150000</v>
      </c>
      <c r="BI151" s="230">
        <v>13125000</v>
      </c>
      <c r="BJ151" s="230">
        <v>-2975000</v>
      </c>
      <c r="BK151" s="229">
        <v>-0.22670000000000001</v>
      </c>
      <c r="BL151" s="230">
        <v>3621875</v>
      </c>
      <c r="BM151" s="230">
        <v>4203125</v>
      </c>
      <c r="BN151" s="230">
        <v>-581250</v>
      </c>
      <c r="BO151" s="229">
        <v>-0.13830000000000001</v>
      </c>
      <c r="BP151" s="230">
        <v>19553125</v>
      </c>
      <c r="BQ151" s="230">
        <v>25034375</v>
      </c>
      <c r="BR151" s="230">
        <v>-5481250</v>
      </c>
      <c r="BS151" s="229">
        <v>-0.21890000000000001</v>
      </c>
      <c r="BT151" s="230">
        <v>5229826</v>
      </c>
      <c r="BU151" s="230">
        <v>4308391</v>
      </c>
      <c r="BV151" s="230">
        <v>921435</v>
      </c>
      <c r="BW151" s="229">
        <v>0.21390000000000001</v>
      </c>
      <c r="BX151" s="230">
        <v>46071875</v>
      </c>
      <c r="BY151" s="230">
        <v>46856250</v>
      </c>
      <c r="BZ151" s="230">
        <v>-784375</v>
      </c>
      <c r="CA151" s="229">
        <v>-1.67E-2</v>
      </c>
      <c r="CB151" s="230">
        <v>45456250</v>
      </c>
      <c r="CC151" s="230">
        <v>46296875</v>
      </c>
      <c r="CD151" s="230">
        <v>-840625</v>
      </c>
      <c r="CE151" s="229">
        <v>-1.8200000000000001E-2</v>
      </c>
      <c r="CF151" s="230">
        <v>562500</v>
      </c>
      <c r="CG151" s="230">
        <v>509375</v>
      </c>
      <c r="CH151" s="230">
        <v>53125</v>
      </c>
      <c r="CI151" s="229">
        <v>0.1043</v>
      </c>
      <c r="CJ151" s="230">
        <v>53125</v>
      </c>
      <c r="CK151" s="230">
        <v>50000</v>
      </c>
      <c r="CL151" s="230">
        <v>3125</v>
      </c>
      <c r="CM151" s="229">
        <v>6.25E-2</v>
      </c>
      <c r="CN151" s="230">
        <v>7487500</v>
      </c>
      <c r="CO151" s="230">
        <v>6909375</v>
      </c>
      <c r="CP151" s="230">
        <v>578125</v>
      </c>
      <c r="CQ151" s="229">
        <v>8.3699999999999997E-2</v>
      </c>
      <c r="CR151" s="230">
        <v>4425000</v>
      </c>
      <c r="CS151" s="230">
        <v>4250000</v>
      </c>
      <c r="CT151" s="230">
        <v>175000</v>
      </c>
      <c r="CU151" s="229">
        <v>4.1200000000000001E-2</v>
      </c>
      <c r="CV151" s="230">
        <v>57984375</v>
      </c>
      <c r="CW151" s="230">
        <v>58015625</v>
      </c>
      <c r="CX151" s="230">
        <v>-31250</v>
      </c>
      <c r="CY151" s="229">
        <v>-5.0000000000000001E-4</v>
      </c>
      <c r="CZ151" s="228">
        <v>33.32</v>
      </c>
      <c r="DA151" s="228">
        <v>33.979999999999997</v>
      </c>
      <c r="DB151" s="228">
        <v>-0.66</v>
      </c>
      <c r="DC151" s="228">
        <v>-0.66</v>
      </c>
      <c r="DD151" s="228">
        <v>36.1</v>
      </c>
      <c r="DE151" s="228">
        <v>36.19</v>
      </c>
      <c r="DF151" s="228">
        <v>-2.78</v>
      </c>
      <c r="DG151" s="228">
        <v>-0.09</v>
      </c>
      <c r="DH151" s="228">
        <v>32.93</v>
      </c>
      <c r="DI151" s="228">
        <v>33.6</v>
      </c>
      <c r="DJ151" s="228">
        <v>-0.67</v>
      </c>
      <c r="DK151" s="228">
        <v>-0.67</v>
      </c>
      <c r="DL151" s="228">
        <v>34.43</v>
      </c>
      <c r="DM151" s="228">
        <v>35.15</v>
      </c>
      <c r="DN151" s="228">
        <v>-0.72</v>
      </c>
      <c r="DO151" s="228">
        <v>-0.72</v>
      </c>
      <c r="DP151" s="228">
        <v>0.59</v>
      </c>
      <c r="DQ151" s="228">
        <v>0.62</v>
      </c>
      <c r="DR151" s="228">
        <v>-0.03</v>
      </c>
      <c r="DS151" s="229">
        <v>-4.8399999999999999E-2</v>
      </c>
      <c r="DT151" s="228">
        <v>270</v>
      </c>
      <c r="DU151" s="228">
        <v>250</v>
      </c>
      <c r="DV151" s="228">
        <v>0.36</v>
      </c>
      <c r="DW151" s="228">
        <v>0.32</v>
      </c>
      <c r="DX151" s="228">
        <v>0.04</v>
      </c>
      <c r="DY151" s="229">
        <v>0.125</v>
      </c>
      <c r="DZ151" s="229">
        <v>1.34E-2</v>
      </c>
      <c r="EA151" s="230">
        <v>559375</v>
      </c>
      <c r="EB151" s="229">
        <v>6.1000000000000004E-3</v>
      </c>
      <c r="EC151" s="229">
        <v>1.34E-2</v>
      </c>
      <c r="ED151" s="228">
        <v>1.47</v>
      </c>
      <c r="EE151" s="229">
        <v>5.7000000000000002E-3</v>
      </c>
      <c r="EF151" s="230">
        <v>3071728</v>
      </c>
      <c r="EG151" s="230">
        <v>2145956</v>
      </c>
      <c r="EH151" s="229">
        <v>0.43140000000000001</v>
      </c>
      <c r="EI151" s="229">
        <v>0.58730000000000004</v>
      </c>
      <c r="EJ151" s="231">
        <v>27508.54</v>
      </c>
      <c r="EK151" s="231">
        <v>9010.4699999999993</v>
      </c>
      <c r="EL151" s="231">
        <v>14847.19</v>
      </c>
      <c r="EM151" s="231">
        <v>2696</v>
      </c>
      <c r="EN151" s="231">
        <v>51366.2</v>
      </c>
      <c r="EO151" s="231">
        <v>65249.49</v>
      </c>
      <c r="EP151" s="231">
        <v>-13883.29</v>
      </c>
      <c r="EQ151" s="229">
        <v>-0.21279999999999999</v>
      </c>
      <c r="ER151" s="231">
        <v>19716</v>
      </c>
      <c r="ES151" s="231">
        <v>10779</v>
      </c>
      <c r="ET151" s="231">
        <v>117872</v>
      </c>
      <c r="EU151" s="231">
        <v>205669742</v>
      </c>
      <c r="EV151" s="231">
        <v>148367</v>
      </c>
      <c r="EW151" s="231">
        <v>148037</v>
      </c>
      <c r="EX151" s="228">
        <v>330</v>
      </c>
      <c r="EY151" s="229">
        <v>2.2000000000000001E-3</v>
      </c>
      <c r="EZ151" s="229">
        <v>0.28189999999999998</v>
      </c>
      <c r="FA151" s="227" t="s">
        <v>694</v>
      </c>
      <c r="FB151" s="161">
        <f t="shared" si="3"/>
        <v>0</v>
      </c>
    </row>
    <row r="152" spans="1:158" ht="17.25" thickBot="1" x14ac:dyDescent="0.3">
      <c r="A152" s="226">
        <v>46121</v>
      </c>
      <c r="B152" s="227" t="s">
        <v>206</v>
      </c>
      <c r="C152" s="227" t="s">
        <v>528</v>
      </c>
      <c r="D152" s="228">
        <v>350</v>
      </c>
      <c r="E152" s="231">
        <v>1620.7</v>
      </c>
      <c r="F152" s="231">
        <v>1610.6</v>
      </c>
      <c r="G152" s="228">
        <v>10.1</v>
      </c>
      <c r="H152" s="229">
        <v>6.3E-3</v>
      </c>
      <c r="I152" s="231">
        <v>1653.5</v>
      </c>
      <c r="J152" s="231">
        <v>1635.8</v>
      </c>
      <c r="K152" s="228">
        <v>17.7</v>
      </c>
      <c r="L152" s="229">
        <v>1.0800000000000001E-2</v>
      </c>
      <c r="M152" s="231">
        <v>1620.7</v>
      </c>
      <c r="N152" s="231">
        <v>1610.6</v>
      </c>
      <c r="O152" s="228">
        <v>10.1</v>
      </c>
      <c r="P152" s="229">
        <v>6.3E-3</v>
      </c>
      <c r="Q152" s="231">
        <v>1595.8</v>
      </c>
      <c r="R152" s="231">
        <v>1588.7</v>
      </c>
      <c r="S152" s="228">
        <v>7.1</v>
      </c>
      <c r="T152" s="229">
        <v>4.4999999999999997E-3</v>
      </c>
      <c r="U152" s="231">
        <v>1582.2</v>
      </c>
      <c r="V152" s="231">
        <v>1588</v>
      </c>
      <c r="W152" s="228">
        <v>-5.8</v>
      </c>
      <c r="X152" s="229">
        <v>-3.7000000000000002E-3</v>
      </c>
      <c r="Y152" s="228">
        <v>-32.799999999999997</v>
      </c>
      <c r="Z152" s="228">
        <v>-25.2</v>
      </c>
      <c r="AA152" s="228">
        <v>-7.6</v>
      </c>
      <c r="AB152" s="229">
        <v>-1.9800000000000002E-2</v>
      </c>
      <c r="AC152" s="228">
        <v>-32.799999999999997</v>
      </c>
      <c r="AD152" s="228">
        <v>-25.2</v>
      </c>
      <c r="AE152" s="228">
        <v>-7.6</v>
      </c>
      <c r="AF152" s="229">
        <v>-1.9800000000000002E-2</v>
      </c>
      <c r="AG152" s="228">
        <v>-57.7</v>
      </c>
      <c r="AH152" s="228">
        <v>-47.1</v>
      </c>
      <c r="AI152" s="228">
        <v>-10.6</v>
      </c>
      <c r="AJ152" s="229">
        <v>-3.49E-2</v>
      </c>
      <c r="AK152" s="228">
        <v>-71.3</v>
      </c>
      <c r="AL152" s="228">
        <v>-47.8</v>
      </c>
      <c r="AM152" s="228">
        <v>-23.5</v>
      </c>
      <c r="AN152" s="229">
        <v>-4.3099999999999999E-2</v>
      </c>
      <c r="AO152" s="231">
        <v>1623.65</v>
      </c>
      <c r="AP152" s="231">
        <v>1599.92</v>
      </c>
      <c r="AQ152" s="228">
        <v>0</v>
      </c>
      <c r="AR152" s="230">
        <v>1622250</v>
      </c>
      <c r="AS152" s="230">
        <v>921200</v>
      </c>
      <c r="AT152" s="230">
        <v>701050</v>
      </c>
      <c r="AU152" s="229">
        <v>0.76100000000000001</v>
      </c>
      <c r="AV152" s="230">
        <v>1239350</v>
      </c>
      <c r="AW152" s="230">
        <v>841400</v>
      </c>
      <c r="AX152" s="230">
        <v>397950</v>
      </c>
      <c r="AY152" s="229">
        <v>0.47299999999999998</v>
      </c>
      <c r="AZ152" s="230">
        <v>380100</v>
      </c>
      <c r="BA152" s="230">
        <v>78400</v>
      </c>
      <c r="BB152" s="230">
        <v>301700</v>
      </c>
      <c r="BC152" s="229">
        <v>3.8481999999999998</v>
      </c>
      <c r="BD152" s="230">
        <v>2800</v>
      </c>
      <c r="BE152" s="230">
        <v>1400</v>
      </c>
      <c r="BF152" s="230">
        <v>1400</v>
      </c>
      <c r="BG152" s="229">
        <v>1</v>
      </c>
      <c r="BH152" s="230">
        <v>823550</v>
      </c>
      <c r="BI152" s="230">
        <v>1380750</v>
      </c>
      <c r="BJ152" s="230">
        <v>-557200</v>
      </c>
      <c r="BK152" s="229">
        <v>-0.40350000000000003</v>
      </c>
      <c r="BL152" s="230">
        <v>606200</v>
      </c>
      <c r="BM152" s="230">
        <v>586250</v>
      </c>
      <c r="BN152" s="230">
        <v>19950</v>
      </c>
      <c r="BO152" s="229">
        <v>3.4000000000000002E-2</v>
      </c>
      <c r="BP152" s="230">
        <v>3052000</v>
      </c>
      <c r="BQ152" s="230">
        <v>2888200</v>
      </c>
      <c r="BR152" s="230">
        <v>163800</v>
      </c>
      <c r="BS152" s="229">
        <v>5.67E-2</v>
      </c>
      <c r="BT152" s="230">
        <v>1088991</v>
      </c>
      <c r="BU152" s="230">
        <v>984534</v>
      </c>
      <c r="BV152" s="230">
        <v>104457</v>
      </c>
      <c r="BW152" s="229">
        <v>0.1061</v>
      </c>
      <c r="BX152" s="230">
        <v>9212700</v>
      </c>
      <c r="BY152" s="230">
        <v>8516200</v>
      </c>
      <c r="BZ152" s="230">
        <v>696500</v>
      </c>
      <c r="CA152" s="229">
        <v>8.1799999999999998E-2</v>
      </c>
      <c r="CB152" s="230">
        <v>8788850</v>
      </c>
      <c r="CC152" s="230">
        <v>8379350</v>
      </c>
      <c r="CD152" s="230">
        <v>409500</v>
      </c>
      <c r="CE152" s="229">
        <v>4.8899999999999999E-2</v>
      </c>
      <c r="CF152" s="230">
        <v>418600</v>
      </c>
      <c r="CG152" s="230">
        <v>133700</v>
      </c>
      <c r="CH152" s="230">
        <v>284900</v>
      </c>
      <c r="CI152" s="229">
        <v>2.1309</v>
      </c>
      <c r="CJ152" s="230">
        <v>5250</v>
      </c>
      <c r="CK152" s="230">
        <v>3150</v>
      </c>
      <c r="CL152" s="230">
        <v>2100</v>
      </c>
      <c r="CM152" s="229">
        <v>0.66669999999999996</v>
      </c>
      <c r="CN152" s="230">
        <v>941500</v>
      </c>
      <c r="CO152" s="230">
        <v>843150</v>
      </c>
      <c r="CP152" s="230">
        <v>98350</v>
      </c>
      <c r="CQ152" s="229">
        <v>0.1166</v>
      </c>
      <c r="CR152" s="230">
        <v>843150</v>
      </c>
      <c r="CS152" s="230">
        <v>767900</v>
      </c>
      <c r="CT152" s="230">
        <v>75250</v>
      </c>
      <c r="CU152" s="229">
        <v>9.8000000000000004E-2</v>
      </c>
      <c r="CV152" s="230">
        <v>10997350</v>
      </c>
      <c r="CW152" s="230">
        <v>10127250</v>
      </c>
      <c r="CX152" s="230">
        <v>870100</v>
      </c>
      <c r="CY152" s="229">
        <v>8.5900000000000004E-2</v>
      </c>
      <c r="CZ152" s="228">
        <v>35.96</v>
      </c>
      <c r="DA152" s="228">
        <v>38.229999999999997</v>
      </c>
      <c r="DB152" s="228">
        <v>-2.27</v>
      </c>
      <c r="DC152" s="228">
        <v>-2.27</v>
      </c>
      <c r="DD152" s="228">
        <v>37.17</v>
      </c>
      <c r="DE152" s="228">
        <v>37.25</v>
      </c>
      <c r="DF152" s="228">
        <v>-1.21</v>
      </c>
      <c r="DG152" s="228">
        <v>-0.08</v>
      </c>
      <c r="DH152" s="228">
        <v>35.26</v>
      </c>
      <c r="DI152" s="228">
        <v>37.700000000000003</v>
      </c>
      <c r="DJ152" s="228">
        <v>-2.44</v>
      </c>
      <c r="DK152" s="228">
        <v>-2.44</v>
      </c>
      <c r="DL152" s="228">
        <v>36.909999999999997</v>
      </c>
      <c r="DM152" s="228">
        <v>39.479999999999997</v>
      </c>
      <c r="DN152" s="228">
        <v>-2.57</v>
      </c>
      <c r="DO152" s="228">
        <v>-2.57</v>
      </c>
      <c r="DP152" s="228">
        <v>0.9</v>
      </c>
      <c r="DQ152" s="228">
        <v>0.91</v>
      </c>
      <c r="DR152" s="228">
        <v>-0.01</v>
      </c>
      <c r="DS152" s="229">
        <v>-1.0999999999999999E-2</v>
      </c>
      <c r="DT152" s="231">
        <v>1360</v>
      </c>
      <c r="DU152" s="231">
        <v>1520</v>
      </c>
      <c r="DV152" s="228">
        <v>0.74</v>
      </c>
      <c r="DW152" s="228">
        <v>0.42</v>
      </c>
      <c r="DX152" s="228">
        <v>0.32</v>
      </c>
      <c r="DY152" s="229">
        <v>0.76190000000000002</v>
      </c>
      <c r="DZ152" s="229">
        <v>4.5999999999999999E-2</v>
      </c>
      <c r="EA152" s="230">
        <v>136850</v>
      </c>
      <c r="EB152" s="229">
        <v>-1.54E-2</v>
      </c>
      <c r="EC152" s="229">
        <v>4.5999999999999999E-2</v>
      </c>
      <c r="ED152" s="228">
        <v>-23.73</v>
      </c>
      <c r="EE152" s="229">
        <v>-1.46E-2</v>
      </c>
      <c r="EF152" s="230">
        <v>479342</v>
      </c>
      <c r="EG152" s="230">
        <v>470475</v>
      </c>
      <c r="EH152" s="229">
        <v>1.8800000000000001E-2</v>
      </c>
      <c r="EI152" s="229">
        <v>0.44019999999999998</v>
      </c>
      <c r="EJ152" s="231">
        <v>14025.69</v>
      </c>
      <c r="EK152" s="231">
        <v>9785.4699999999993</v>
      </c>
      <c r="EL152" s="231">
        <v>26248.34</v>
      </c>
      <c r="EM152" s="231">
        <v>2468</v>
      </c>
      <c r="EN152" s="231">
        <v>50059.5</v>
      </c>
      <c r="EO152" s="231">
        <v>46820.74</v>
      </c>
      <c r="EP152" s="231">
        <v>3238.76</v>
      </c>
      <c r="EQ152" s="229">
        <v>6.9199999999999998E-2</v>
      </c>
      <c r="ER152" s="231">
        <v>14430</v>
      </c>
      <c r="ES152" s="231">
        <v>12375</v>
      </c>
      <c r="ET152" s="231">
        <v>149204</v>
      </c>
      <c r="EU152" s="231">
        <v>17614093</v>
      </c>
      <c r="EV152" s="231">
        <v>176009</v>
      </c>
      <c r="EW152" s="231">
        <v>161037</v>
      </c>
      <c r="EX152" s="231">
        <v>14972</v>
      </c>
      <c r="EY152" s="229">
        <v>9.2999999999999999E-2</v>
      </c>
      <c r="EZ152" s="229">
        <v>0.62429999999999997</v>
      </c>
      <c r="FA152" s="227" t="s">
        <v>555</v>
      </c>
      <c r="FB152" s="161">
        <f t="shared" si="3"/>
        <v>0</v>
      </c>
    </row>
    <row r="153" spans="1:158" ht="17.25" thickBot="1" x14ac:dyDescent="0.3">
      <c r="A153" s="226">
        <v>46121</v>
      </c>
      <c r="B153" s="227" t="s">
        <v>221</v>
      </c>
      <c r="C153" s="227" t="s">
        <v>518</v>
      </c>
      <c r="D153" s="228">
        <v>75</v>
      </c>
      <c r="E153" s="231">
        <v>7245</v>
      </c>
      <c r="F153" s="231">
        <v>7163.5</v>
      </c>
      <c r="G153" s="228">
        <v>81.5</v>
      </c>
      <c r="H153" s="229">
        <v>1.14E-2</v>
      </c>
      <c r="I153" s="231">
        <v>7217.5</v>
      </c>
      <c r="J153" s="231">
        <v>7180</v>
      </c>
      <c r="K153" s="228">
        <v>37.5</v>
      </c>
      <c r="L153" s="229">
        <v>5.1999999999999998E-3</v>
      </c>
      <c r="M153" s="231">
        <v>7245</v>
      </c>
      <c r="N153" s="231">
        <v>7163.5</v>
      </c>
      <c r="O153" s="228">
        <v>81.5</v>
      </c>
      <c r="P153" s="229">
        <v>1.14E-2</v>
      </c>
      <c r="Q153" s="231">
        <v>7196.5</v>
      </c>
      <c r="R153" s="231">
        <v>7102.5</v>
      </c>
      <c r="S153" s="228">
        <v>94</v>
      </c>
      <c r="T153" s="229">
        <v>1.32E-2</v>
      </c>
      <c r="U153" s="231">
        <v>7188</v>
      </c>
      <c r="V153" s="231">
        <v>7075</v>
      </c>
      <c r="W153" s="228">
        <v>113</v>
      </c>
      <c r="X153" s="229">
        <v>1.6E-2</v>
      </c>
      <c r="Y153" s="228">
        <v>27.5</v>
      </c>
      <c r="Z153" s="228">
        <v>-16.5</v>
      </c>
      <c r="AA153" s="228">
        <v>44</v>
      </c>
      <c r="AB153" s="229">
        <v>3.8E-3</v>
      </c>
      <c r="AC153" s="228">
        <v>27.5</v>
      </c>
      <c r="AD153" s="228">
        <v>-16.5</v>
      </c>
      <c r="AE153" s="228">
        <v>44</v>
      </c>
      <c r="AF153" s="229">
        <v>3.8E-3</v>
      </c>
      <c r="AG153" s="228">
        <v>-21</v>
      </c>
      <c r="AH153" s="228">
        <v>-77.5</v>
      </c>
      <c r="AI153" s="228">
        <v>56.5</v>
      </c>
      <c r="AJ153" s="229">
        <v>-2.8999999999999998E-3</v>
      </c>
      <c r="AK153" s="228">
        <v>-29.5</v>
      </c>
      <c r="AL153" s="228">
        <v>-105</v>
      </c>
      <c r="AM153" s="228">
        <v>75.5</v>
      </c>
      <c r="AN153" s="229">
        <v>-4.1000000000000003E-3</v>
      </c>
      <c r="AO153" s="231">
        <v>7192.96</v>
      </c>
      <c r="AP153" s="231">
        <v>7180.72</v>
      </c>
      <c r="AQ153" s="228">
        <v>0</v>
      </c>
      <c r="AR153" s="230">
        <v>207600</v>
      </c>
      <c r="AS153" s="230">
        <v>329475</v>
      </c>
      <c r="AT153" s="230">
        <v>-121875</v>
      </c>
      <c r="AU153" s="229">
        <v>-0.36990000000000001</v>
      </c>
      <c r="AV153" s="230">
        <v>180900</v>
      </c>
      <c r="AW153" s="230">
        <v>308100</v>
      </c>
      <c r="AX153" s="230">
        <v>-127200</v>
      </c>
      <c r="AY153" s="229">
        <v>-0.41289999999999999</v>
      </c>
      <c r="AZ153" s="230">
        <v>24225</v>
      </c>
      <c r="BA153" s="230">
        <v>18000</v>
      </c>
      <c r="BB153" s="230">
        <v>6225</v>
      </c>
      <c r="BC153" s="229">
        <v>0.3458</v>
      </c>
      <c r="BD153" s="230">
        <v>2475</v>
      </c>
      <c r="BE153" s="230">
        <v>3375</v>
      </c>
      <c r="BF153" s="228">
        <v>-900</v>
      </c>
      <c r="BG153" s="229">
        <v>-0.26669999999999999</v>
      </c>
      <c r="BH153" s="230">
        <v>580125</v>
      </c>
      <c r="BI153" s="230">
        <v>1013475</v>
      </c>
      <c r="BJ153" s="230">
        <v>-433350</v>
      </c>
      <c r="BK153" s="229">
        <v>-0.42759999999999998</v>
      </c>
      <c r="BL153" s="230">
        <v>439575</v>
      </c>
      <c r="BM153" s="230">
        <v>583650</v>
      </c>
      <c r="BN153" s="230">
        <v>-144075</v>
      </c>
      <c r="BO153" s="229">
        <v>-0.24690000000000001</v>
      </c>
      <c r="BP153" s="230">
        <v>1227300</v>
      </c>
      <c r="BQ153" s="230">
        <v>1926600</v>
      </c>
      <c r="BR153" s="230">
        <v>-699300</v>
      </c>
      <c r="BS153" s="229">
        <v>-0.36299999999999999</v>
      </c>
      <c r="BT153" s="230">
        <v>139022</v>
      </c>
      <c r="BU153" s="230">
        <v>179603</v>
      </c>
      <c r="BV153" s="230">
        <v>-40581</v>
      </c>
      <c r="BW153" s="229">
        <v>-0.22589999999999999</v>
      </c>
      <c r="BX153" s="230">
        <v>1499025</v>
      </c>
      <c r="BY153" s="230">
        <v>1507050</v>
      </c>
      <c r="BZ153" s="230">
        <v>-8025</v>
      </c>
      <c r="CA153" s="229">
        <v>-5.3E-3</v>
      </c>
      <c r="CB153" s="230">
        <v>1447800</v>
      </c>
      <c r="CC153" s="230">
        <v>1465350</v>
      </c>
      <c r="CD153" s="230">
        <v>-17550</v>
      </c>
      <c r="CE153" s="229">
        <v>-1.2E-2</v>
      </c>
      <c r="CF153" s="230">
        <v>45075</v>
      </c>
      <c r="CG153" s="230">
        <v>36675</v>
      </c>
      <c r="CH153" s="230">
        <v>8400</v>
      </c>
      <c r="CI153" s="229">
        <v>0.22900000000000001</v>
      </c>
      <c r="CJ153" s="230">
        <v>6150</v>
      </c>
      <c r="CK153" s="230">
        <v>5025</v>
      </c>
      <c r="CL153" s="230">
        <v>1125</v>
      </c>
      <c r="CM153" s="229">
        <v>0.22389999999999999</v>
      </c>
      <c r="CN153" s="230">
        <v>424725</v>
      </c>
      <c r="CO153" s="230">
        <v>442725</v>
      </c>
      <c r="CP153" s="230">
        <v>-18000</v>
      </c>
      <c r="CQ153" s="229">
        <v>-4.07E-2</v>
      </c>
      <c r="CR153" s="230">
        <v>372000</v>
      </c>
      <c r="CS153" s="230">
        <v>313425</v>
      </c>
      <c r="CT153" s="230">
        <v>58575</v>
      </c>
      <c r="CU153" s="229">
        <v>0.18690000000000001</v>
      </c>
      <c r="CV153" s="230">
        <v>2295750</v>
      </c>
      <c r="CW153" s="230">
        <v>2263200</v>
      </c>
      <c r="CX153" s="230">
        <v>32550</v>
      </c>
      <c r="CY153" s="229">
        <v>1.44E-2</v>
      </c>
      <c r="CZ153" s="228">
        <v>41.43</v>
      </c>
      <c r="DA153" s="228">
        <v>39.65</v>
      </c>
      <c r="DB153" s="228">
        <v>1.78</v>
      </c>
      <c r="DC153" s="228">
        <v>1.78</v>
      </c>
      <c r="DD153" s="228">
        <v>39.58</v>
      </c>
      <c r="DE153" s="228">
        <v>39.65</v>
      </c>
      <c r="DF153" s="228">
        <v>1.85</v>
      </c>
      <c r="DG153" s="228">
        <v>-7.0000000000000007E-2</v>
      </c>
      <c r="DH153" s="228">
        <v>37.99</v>
      </c>
      <c r="DI153" s="228">
        <v>37.909999999999997</v>
      </c>
      <c r="DJ153" s="228">
        <v>0.08</v>
      </c>
      <c r="DK153" s="228">
        <v>0.08</v>
      </c>
      <c r="DL153" s="228">
        <v>45.96</v>
      </c>
      <c r="DM153" s="228">
        <v>42.69</v>
      </c>
      <c r="DN153" s="228">
        <v>3.27</v>
      </c>
      <c r="DO153" s="228">
        <v>3.27</v>
      </c>
      <c r="DP153" s="228">
        <v>0.88</v>
      </c>
      <c r="DQ153" s="228">
        <v>0.71</v>
      </c>
      <c r="DR153" s="228">
        <v>0.17</v>
      </c>
      <c r="DS153" s="229">
        <v>0.2394</v>
      </c>
      <c r="DT153" s="231">
        <v>7500</v>
      </c>
      <c r="DU153" s="231">
        <v>7000</v>
      </c>
      <c r="DV153" s="228">
        <v>0.76</v>
      </c>
      <c r="DW153" s="228">
        <v>0.57999999999999996</v>
      </c>
      <c r="DX153" s="228">
        <v>0.18</v>
      </c>
      <c r="DY153" s="229">
        <v>0.31030000000000002</v>
      </c>
      <c r="DZ153" s="229">
        <v>3.4200000000000001E-2</v>
      </c>
      <c r="EA153" s="230">
        <v>41700</v>
      </c>
      <c r="EB153" s="229">
        <v>-6.7000000000000002E-3</v>
      </c>
      <c r="EC153" s="229">
        <v>3.4200000000000001E-2</v>
      </c>
      <c r="ED153" s="228">
        <v>-12.24</v>
      </c>
      <c r="EE153" s="229">
        <v>-1.6999999999999999E-3</v>
      </c>
      <c r="EF153" s="230">
        <v>43654</v>
      </c>
      <c r="EG153" s="230">
        <v>62716</v>
      </c>
      <c r="EH153" s="229">
        <v>-0.3039</v>
      </c>
      <c r="EI153" s="229">
        <v>0.314</v>
      </c>
      <c r="EJ153" s="231">
        <v>44052.4</v>
      </c>
      <c r="EK153" s="231">
        <v>29774.82</v>
      </c>
      <c r="EL153" s="231">
        <v>14928.29</v>
      </c>
      <c r="EM153" s="231">
        <v>3008</v>
      </c>
      <c r="EN153" s="231">
        <v>88755.51</v>
      </c>
      <c r="EO153" s="231">
        <v>140818.04</v>
      </c>
      <c r="EP153" s="231">
        <v>-52062.53</v>
      </c>
      <c r="EQ153" s="229">
        <v>-0.36969999999999997</v>
      </c>
      <c r="ER153" s="231">
        <v>31104</v>
      </c>
      <c r="ES153" s="231">
        <v>25156</v>
      </c>
      <c r="ET153" s="231">
        <v>108579</v>
      </c>
      <c r="EU153" s="231">
        <v>3594855</v>
      </c>
      <c r="EV153" s="231">
        <v>164839</v>
      </c>
      <c r="EW153" s="231">
        <v>161401</v>
      </c>
      <c r="EX153" s="231">
        <v>3438</v>
      </c>
      <c r="EY153" s="229">
        <v>2.1299999999999999E-2</v>
      </c>
      <c r="EZ153" s="229">
        <v>0.63859999999999995</v>
      </c>
      <c r="FA153" s="227" t="s">
        <v>694</v>
      </c>
      <c r="FB153" s="161">
        <f>BX232-CB232</f>
        <v>0</v>
      </c>
    </row>
    <row r="154" spans="1:158" ht="17.25" thickBot="1" x14ac:dyDescent="0.3">
      <c r="A154" s="226">
        <v>46121</v>
      </c>
      <c r="B154" s="227" t="s">
        <v>193</v>
      </c>
      <c r="C154" s="227" t="s">
        <v>586</v>
      </c>
      <c r="D154" s="228">
        <v>1400</v>
      </c>
      <c r="E154" s="228">
        <v>472.8</v>
      </c>
      <c r="F154" s="228">
        <v>461</v>
      </c>
      <c r="G154" s="228">
        <v>11.8</v>
      </c>
      <c r="H154" s="229">
        <v>2.5600000000000001E-2</v>
      </c>
      <c r="I154" s="228">
        <v>470.75</v>
      </c>
      <c r="J154" s="228">
        <v>458.95</v>
      </c>
      <c r="K154" s="228">
        <v>11.8</v>
      </c>
      <c r="L154" s="229">
        <v>2.5700000000000001E-2</v>
      </c>
      <c r="M154" s="228">
        <v>472.8</v>
      </c>
      <c r="N154" s="228">
        <v>461</v>
      </c>
      <c r="O154" s="228">
        <v>11.8</v>
      </c>
      <c r="P154" s="229">
        <v>2.5600000000000001E-2</v>
      </c>
      <c r="Q154" s="228">
        <v>470.95</v>
      </c>
      <c r="R154" s="228">
        <v>460.7</v>
      </c>
      <c r="S154" s="228">
        <v>10.25</v>
      </c>
      <c r="T154" s="229">
        <v>2.2200000000000001E-2</v>
      </c>
      <c r="U154" s="228">
        <v>470.05</v>
      </c>
      <c r="V154" s="228">
        <v>459.35</v>
      </c>
      <c r="W154" s="228">
        <v>10.7</v>
      </c>
      <c r="X154" s="229">
        <v>2.3300000000000001E-2</v>
      </c>
      <c r="Y154" s="228">
        <v>2.0499999999999998</v>
      </c>
      <c r="Z154" s="228">
        <v>2.0499999999999998</v>
      </c>
      <c r="AA154" s="228">
        <v>0</v>
      </c>
      <c r="AB154" s="229">
        <v>4.4000000000000003E-3</v>
      </c>
      <c r="AC154" s="228">
        <v>2.0499999999999998</v>
      </c>
      <c r="AD154" s="228">
        <v>2.0499999999999998</v>
      </c>
      <c r="AE154" s="228">
        <v>0</v>
      </c>
      <c r="AF154" s="229">
        <v>4.4000000000000003E-3</v>
      </c>
      <c r="AG154" s="228">
        <v>0.2</v>
      </c>
      <c r="AH154" s="228">
        <v>1.75</v>
      </c>
      <c r="AI154" s="228">
        <v>-1.55</v>
      </c>
      <c r="AJ154" s="229">
        <v>4.0000000000000002E-4</v>
      </c>
      <c r="AK154" s="228">
        <v>-0.7</v>
      </c>
      <c r="AL154" s="228">
        <v>0.4</v>
      </c>
      <c r="AM154" s="228">
        <v>-1.1000000000000001</v>
      </c>
      <c r="AN154" s="229">
        <v>-1.5E-3</v>
      </c>
      <c r="AO154" s="228">
        <v>466.33</v>
      </c>
      <c r="AP154" s="228">
        <v>464.97</v>
      </c>
      <c r="AQ154" s="228">
        <v>0</v>
      </c>
      <c r="AR154" s="230">
        <v>7865200</v>
      </c>
      <c r="AS154" s="230">
        <v>9478000</v>
      </c>
      <c r="AT154" s="230">
        <v>-1612800</v>
      </c>
      <c r="AU154" s="229">
        <v>-0.17019999999999999</v>
      </c>
      <c r="AV154" s="230">
        <v>7369600</v>
      </c>
      <c r="AW154" s="230">
        <v>8862000</v>
      </c>
      <c r="AX154" s="230">
        <v>-1492400</v>
      </c>
      <c r="AY154" s="229">
        <v>-0.16839999999999999</v>
      </c>
      <c r="AZ154" s="230">
        <v>474600</v>
      </c>
      <c r="BA154" s="230">
        <v>558600</v>
      </c>
      <c r="BB154" s="230">
        <v>-84000</v>
      </c>
      <c r="BC154" s="229">
        <v>-0.15040000000000001</v>
      </c>
      <c r="BD154" s="230">
        <v>21000</v>
      </c>
      <c r="BE154" s="230">
        <v>57400</v>
      </c>
      <c r="BF154" s="230">
        <v>-36400</v>
      </c>
      <c r="BG154" s="229">
        <v>-0.6341</v>
      </c>
      <c r="BH154" s="230">
        <v>17823400</v>
      </c>
      <c r="BI154" s="230">
        <v>21103600</v>
      </c>
      <c r="BJ154" s="230">
        <v>-3280200</v>
      </c>
      <c r="BK154" s="229">
        <v>-0.15540000000000001</v>
      </c>
      <c r="BL154" s="230">
        <v>5038600</v>
      </c>
      <c r="BM154" s="230">
        <v>12440400</v>
      </c>
      <c r="BN154" s="230">
        <v>-7401800</v>
      </c>
      <c r="BO154" s="229">
        <v>-0.59499999999999997</v>
      </c>
      <c r="BP154" s="230">
        <v>30727200</v>
      </c>
      <c r="BQ154" s="230">
        <v>43022000</v>
      </c>
      <c r="BR154" s="230">
        <v>-12294800</v>
      </c>
      <c r="BS154" s="229">
        <v>-0.2858</v>
      </c>
      <c r="BT154" s="230">
        <v>11153415</v>
      </c>
      <c r="BU154" s="230">
        <v>17319786</v>
      </c>
      <c r="BV154" s="230">
        <v>-6166371</v>
      </c>
      <c r="BW154" s="229">
        <v>-0.35599999999999998</v>
      </c>
      <c r="BX154" s="230">
        <v>20860000</v>
      </c>
      <c r="BY154" s="230">
        <v>21303800</v>
      </c>
      <c r="BZ154" s="230">
        <v>-443800</v>
      </c>
      <c r="CA154" s="229">
        <v>-2.0799999999999999E-2</v>
      </c>
      <c r="CB154" s="230">
        <v>20321000</v>
      </c>
      <c r="CC154" s="230">
        <v>20736800</v>
      </c>
      <c r="CD154" s="230">
        <v>-415800</v>
      </c>
      <c r="CE154" s="229">
        <v>-2.01E-2</v>
      </c>
      <c r="CF154" s="230">
        <v>432600</v>
      </c>
      <c r="CG154" s="230">
        <v>452200</v>
      </c>
      <c r="CH154" s="230">
        <v>-19600</v>
      </c>
      <c r="CI154" s="229">
        <v>-4.3299999999999998E-2</v>
      </c>
      <c r="CJ154" s="230">
        <v>106400</v>
      </c>
      <c r="CK154" s="230">
        <v>114800</v>
      </c>
      <c r="CL154" s="230">
        <v>-8400</v>
      </c>
      <c r="CM154" s="229">
        <v>-7.3200000000000001E-2</v>
      </c>
      <c r="CN154" s="230">
        <v>9559200</v>
      </c>
      <c r="CO154" s="230">
        <v>10211600</v>
      </c>
      <c r="CP154" s="230">
        <v>-652400</v>
      </c>
      <c r="CQ154" s="229">
        <v>-6.3899999999999998E-2</v>
      </c>
      <c r="CR154" s="230">
        <v>4484200</v>
      </c>
      <c r="CS154" s="230">
        <v>4394600</v>
      </c>
      <c r="CT154" s="230">
        <v>89600</v>
      </c>
      <c r="CU154" s="229">
        <v>2.0400000000000001E-2</v>
      </c>
      <c r="CV154" s="230">
        <v>34903400</v>
      </c>
      <c r="CW154" s="230">
        <v>35910000</v>
      </c>
      <c r="CX154" s="230">
        <v>-1006600</v>
      </c>
      <c r="CY154" s="229">
        <v>-2.8000000000000001E-2</v>
      </c>
      <c r="CZ154" s="228">
        <v>35.090000000000003</v>
      </c>
      <c r="DA154" s="228">
        <v>36.520000000000003</v>
      </c>
      <c r="DB154" s="228">
        <v>-1.43</v>
      </c>
      <c r="DC154" s="228">
        <v>-1.43</v>
      </c>
      <c r="DD154" s="228">
        <v>41.87</v>
      </c>
      <c r="DE154" s="228">
        <v>41.84</v>
      </c>
      <c r="DF154" s="228">
        <v>-6.78</v>
      </c>
      <c r="DG154" s="228">
        <v>0.03</v>
      </c>
      <c r="DH154" s="228">
        <v>34.83</v>
      </c>
      <c r="DI154" s="228">
        <v>36.75</v>
      </c>
      <c r="DJ154" s="228">
        <v>-1.92</v>
      </c>
      <c r="DK154" s="228">
        <v>-1.92</v>
      </c>
      <c r="DL154" s="228">
        <v>35.979999999999997</v>
      </c>
      <c r="DM154" s="228">
        <v>36.14</v>
      </c>
      <c r="DN154" s="228">
        <v>-0.16</v>
      </c>
      <c r="DO154" s="228">
        <v>-0.16</v>
      </c>
      <c r="DP154" s="228">
        <v>0.47</v>
      </c>
      <c r="DQ154" s="228">
        <v>0.43</v>
      </c>
      <c r="DR154" s="228">
        <v>0.04</v>
      </c>
      <c r="DS154" s="229">
        <v>9.2999999999999999E-2</v>
      </c>
      <c r="DT154" s="228">
        <v>500</v>
      </c>
      <c r="DU154" s="228">
        <v>470</v>
      </c>
      <c r="DV154" s="228">
        <v>0.28000000000000003</v>
      </c>
      <c r="DW154" s="228">
        <v>0.59</v>
      </c>
      <c r="DX154" s="228">
        <v>-0.31</v>
      </c>
      <c r="DY154" s="229">
        <v>-0.52539999999999998</v>
      </c>
      <c r="DZ154" s="229">
        <v>2.58E-2</v>
      </c>
      <c r="EA154" s="230">
        <v>567000</v>
      </c>
      <c r="EB154" s="229">
        <v>-3.8999999999999998E-3</v>
      </c>
      <c r="EC154" s="229">
        <v>2.58E-2</v>
      </c>
      <c r="ED154" s="228">
        <v>-1.36</v>
      </c>
      <c r="EE154" s="229">
        <v>-2.8999999999999998E-3</v>
      </c>
      <c r="EF154" s="230">
        <v>5453737</v>
      </c>
      <c r="EG154" s="230">
        <v>9382772</v>
      </c>
      <c r="EH154" s="229">
        <v>-0.41870000000000002</v>
      </c>
      <c r="EI154" s="229">
        <v>0.48899999999999999</v>
      </c>
      <c r="EJ154" s="231">
        <v>88131.01</v>
      </c>
      <c r="EK154" s="231">
        <v>23411.21</v>
      </c>
      <c r="EL154" s="231">
        <v>36670.86</v>
      </c>
      <c r="EM154" s="231">
        <v>3896</v>
      </c>
      <c r="EN154" s="231">
        <v>148213.07999999999</v>
      </c>
      <c r="EO154" s="231">
        <v>208075.2</v>
      </c>
      <c r="EP154" s="231">
        <v>-59862.12</v>
      </c>
      <c r="EQ154" s="229">
        <v>-0.28770000000000001</v>
      </c>
      <c r="ER154" s="231">
        <v>48170</v>
      </c>
      <c r="ES154" s="231">
        <v>20650</v>
      </c>
      <c r="ET154" s="231">
        <v>98615</v>
      </c>
      <c r="EU154" s="231">
        <v>105756420</v>
      </c>
      <c r="EV154" s="231">
        <v>167435</v>
      </c>
      <c r="EW154" s="231">
        <v>169890</v>
      </c>
      <c r="EX154" s="231">
        <v>-2455</v>
      </c>
      <c r="EY154" s="229">
        <v>-1.4500000000000001E-2</v>
      </c>
      <c r="EZ154" s="229">
        <v>0.33</v>
      </c>
      <c r="FA154" s="227" t="s">
        <v>694</v>
      </c>
      <c r="FB154" s="161">
        <f t="shared" si="3"/>
        <v>0</v>
      </c>
    </row>
    <row r="155" spans="1:158" ht="17.25" thickBot="1" x14ac:dyDescent="0.3">
      <c r="A155" s="226">
        <v>46121</v>
      </c>
      <c r="B155" s="227" t="s">
        <v>193</v>
      </c>
      <c r="C155" s="227" t="s">
        <v>269</v>
      </c>
      <c r="D155" s="228">
        <v>2250</v>
      </c>
      <c r="E155" s="228">
        <v>289.89999999999998</v>
      </c>
      <c r="F155" s="228">
        <v>287.05</v>
      </c>
      <c r="G155" s="228">
        <v>2.85</v>
      </c>
      <c r="H155" s="229">
        <v>9.9000000000000008E-3</v>
      </c>
      <c r="I155" s="228">
        <v>288.60000000000002</v>
      </c>
      <c r="J155" s="228">
        <v>285.5</v>
      </c>
      <c r="K155" s="228">
        <v>3.1</v>
      </c>
      <c r="L155" s="229">
        <v>1.09E-2</v>
      </c>
      <c r="M155" s="228">
        <v>289.89999999999998</v>
      </c>
      <c r="N155" s="228">
        <v>287.05</v>
      </c>
      <c r="O155" s="228">
        <v>2.85</v>
      </c>
      <c r="P155" s="229">
        <v>9.9000000000000008E-3</v>
      </c>
      <c r="Q155" s="228">
        <v>291.5</v>
      </c>
      <c r="R155" s="228">
        <v>288.64999999999998</v>
      </c>
      <c r="S155" s="228">
        <v>2.85</v>
      </c>
      <c r="T155" s="229">
        <v>9.9000000000000008E-3</v>
      </c>
      <c r="U155" s="228">
        <v>293.55</v>
      </c>
      <c r="V155" s="228">
        <v>290.14999999999998</v>
      </c>
      <c r="W155" s="228">
        <v>3.4</v>
      </c>
      <c r="X155" s="229">
        <v>1.17E-2</v>
      </c>
      <c r="Y155" s="228">
        <v>1.3</v>
      </c>
      <c r="Z155" s="228">
        <v>1.55</v>
      </c>
      <c r="AA155" s="228">
        <v>-0.25</v>
      </c>
      <c r="AB155" s="229">
        <v>4.4999999999999997E-3</v>
      </c>
      <c r="AC155" s="228">
        <v>1.3</v>
      </c>
      <c r="AD155" s="228">
        <v>1.55</v>
      </c>
      <c r="AE155" s="228">
        <v>-0.25</v>
      </c>
      <c r="AF155" s="229">
        <v>4.4999999999999997E-3</v>
      </c>
      <c r="AG155" s="228">
        <v>2.9</v>
      </c>
      <c r="AH155" s="228">
        <v>3.15</v>
      </c>
      <c r="AI155" s="228">
        <v>-0.25</v>
      </c>
      <c r="AJ155" s="229">
        <v>0.01</v>
      </c>
      <c r="AK155" s="228">
        <v>4.95</v>
      </c>
      <c r="AL155" s="228">
        <v>4.6500000000000004</v>
      </c>
      <c r="AM155" s="228">
        <v>0.3</v>
      </c>
      <c r="AN155" s="229">
        <v>1.72E-2</v>
      </c>
      <c r="AO155" s="228">
        <v>289.44</v>
      </c>
      <c r="AP155" s="228">
        <v>290.69</v>
      </c>
      <c r="AQ155" s="228">
        <v>0</v>
      </c>
      <c r="AR155" s="230">
        <v>9940500</v>
      </c>
      <c r="AS155" s="230">
        <v>35718750</v>
      </c>
      <c r="AT155" s="230">
        <v>-25778250</v>
      </c>
      <c r="AU155" s="229">
        <v>-0.72170000000000001</v>
      </c>
      <c r="AV155" s="230">
        <v>9036000</v>
      </c>
      <c r="AW155" s="230">
        <v>34042500</v>
      </c>
      <c r="AX155" s="230">
        <v>-25006500</v>
      </c>
      <c r="AY155" s="229">
        <v>-0.73460000000000003</v>
      </c>
      <c r="AZ155" s="230">
        <v>814500</v>
      </c>
      <c r="BA155" s="230">
        <v>1410750</v>
      </c>
      <c r="BB155" s="230">
        <v>-596250</v>
      </c>
      <c r="BC155" s="229">
        <v>-0.42259999999999998</v>
      </c>
      <c r="BD155" s="230">
        <v>90000</v>
      </c>
      <c r="BE155" s="230">
        <v>265500</v>
      </c>
      <c r="BF155" s="230">
        <v>-175500</v>
      </c>
      <c r="BG155" s="229">
        <v>-0.66100000000000003</v>
      </c>
      <c r="BH155" s="230">
        <v>66946500</v>
      </c>
      <c r="BI155" s="230">
        <v>120217500</v>
      </c>
      <c r="BJ155" s="230">
        <v>-53271000</v>
      </c>
      <c r="BK155" s="229">
        <v>-0.44309999999999999</v>
      </c>
      <c r="BL155" s="230">
        <v>23953500</v>
      </c>
      <c r="BM155" s="230">
        <v>75910500</v>
      </c>
      <c r="BN155" s="230">
        <v>-51957000</v>
      </c>
      <c r="BO155" s="229">
        <v>-0.6845</v>
      </c>
      <c r="BP155" s="230">
        <v>100840500</v>
      </c>
      <c r="BQ155" s="230">
        <v>231846750</v>
      </c>
      <c r="BR155" s="230">
        <v>-131006250</v>
      </c>
      <c r="BS155" s="229">
        <v>-0.56510000000000005</v>
      </c>
      <c r="BT155" s="230">
        <v>15213183</v>
      </c>
      <c r="BU155" s="230">
        <v>43849736</v>
      </c>
      <c r="BV155" s="230">
        <v>-28636553</v>
      </c>
      <c r="BW155" s="229">
        <v>-0.65310000000000001</v>
      </c>
      <c r="BX155" s="230">
        <v>96448500</v>
      </c>
      <c r="BY155" s="230">
        <v>96482250</v>
      </c>
      <c r="BZ155" s="230">
        <v>-33750</v>
      </c>
      <c r="CA155" s="229">
        <v>-2.9999999999999997E-4</v>
      </c>
      <c r="CB155" s="230">
        <v>94239000</v>
      </c>
      <c r="CC155" s="230">
        <v>94356000</v>
      </c>
      <c r="CD155" s="230">
        <v>-117000</v>
      </c>
      <c r="CE155" s="229">
        <v>-1.1999999999999999E-3</v>
      </c>
      <c r="CF155" s="230">
        <v>1777500</v>
      </c>
      <c r="CG155" s="230">
        <v>1698750</v>
      </c>
      <c r="CH155" s="230">
        <v>78750</v>
      </c>
      <c r="CI155" s="229">
        <v>4.6399999999999997E-2</v>
      </c>
      <c r="CJ155" s="230">
        <v>432000</v>
      </c>
      <c r="CK155" s="230">
        <v>427500</v>
      </c>
      <c r="CL155" s="230">
        <v>4500</v>
      </c>
      <c r="CM155" s="229">
        <v>1.0500000000000001E-2</v>
      </c>
      <c r="CN155" s="230">
        <v>67007250</v>
      </c>
      <c r="CO155" s="230">
        <v>67608000</v>
      </c>
      <c r="CP155" s="230">
        <v>-600750</v>
      </c>
      <c r="CQ155" s="229">
        <v>-8.8999999999999999E-3</v>
      </c>
      <c r="CR155" s="230">
        <v>36092250</v>
      </c>
      <c r="CS155" s="230">
        <v>34499250</v>
      </c>
      <c r="CT155" s="230">
        <v>1593000</v>
      </c>
      <c r="CU155" s="229">
        <v>4.6199999999999998E-2</v>
      </c>
      <c r="CV155" s="230">
        <v>199548000</v>
      </c>
      <c r="CW155" s="230">
        <v>198589500</v>
      </c>
      <c r="CX155" s="230">
        <v>958500</v>
      </c>
      <c r="CY155" s="229">
        <v>4.7999999999999996E-3</v>
      </c>
      <c r="CZ155" s="228">
        <v>29.14</v>
      </c>
      <c r="DA155" s="228">
        <v>29.39</v>
      </c>
      <c r="DB155" s="228">
        <v>-0.25</v>
      </c>
      <c r="DC155" s="228">
        <v>-0.25</v>
      </c>
      <c r="DD155" s="228">
        <v>32.03</v>
      </c>
      <c r="DE155" s="228">
        <v>32.07</v>
      </c>
      <c r="DF155" s="228">
        <v>-2.89</v>
      </c>
      <c r="DG155" s="228">
        <v>-0.04</v>
      </c>
      <c r="DH155" s="228">
        <v>28.77</v>
      </c>
      <c r="DI155" s="228">
        <v>28.62</v>
      </c>
      <c r="DJ155" s="228">
        <v>0.15</v>
      </c>
      <c r="DK155" s="228">
        <v>0.15</v>
      </c>
      <c r="DL155" s="228">
        <v>30.15</v>
      </c>
      <c r="DM155" s="228">
        <v>30.61</v>
      </c>
      <c r="DN155" s="228">
        <v>-0.46</v>
      </c>
      <c r="DO155" s="228">
        <v>-0.46</v>
      </c>
      <c r="DP155" s="228">
        <v>0.54</v>
      </c>
      <c r="DQ155" s="228">
        <v>0.51</v>
      </c>
      <c r="DR155" s="228">
        <v>0.03</v>
      </c>
      <c r="DS155" s="229">
        <v>5.8799999999999998E-2</v>
      </c>
      <c r="DT155" s="228">
        <v>293</v>
      </c>
      <c r="DU155" s="228">
        <v>270</v>
      </c>
      <c r="DV155" s="228">
        <v>0.36</v>
      </c>
      <c r="DW155" s="228">
        <v>0.63</v>
      </c>
      <c r="DX155" s="228">
        <v>-0.27</v>
      </c>
      <c r="DY155" s="229">
        <v>-0.42859999999999998</v>
      </c>
      <c r="DZ155" s="229">
        <v>2.29E-2</v>
      </c>
      <c r="EA155" s="230">
        <v>2126250</v>
      </c>
      <c r="EB155" s="229">
        <v>5.4999999999999997E-3</v>
      </c>
      <c r="EC155" s="229">
        <v>2.29E-2</v>
      </c>
      <c r="ED155" s="228">
        <v>1.25</v>
      </c>
      <c r="EE155" s="229">
        <v>4.3E-3</v>
      </c>
      <c r="EF155" s="230">
        <v>6882327</v>
      </c>
      <c r="EG155" s="230">
        <v>17355922</v>
      </c>
      <c r="EH155" s="229">
        <v>-0.60350000000000004</v>
      </c>
      <c r="EI155" s="229">
        <v>0.45240000000000002</v>
      </c>
      <c r="EJ155" s="231">
        <v>203806.04</v>
      </c>
      <c r="EK155" s="231">
        <v>68015.61</v>
      </c>
      <c r="EL155" s="231">
        <v>28784.44</v>
      </c>
      <c r="EM155" s="231">
        <v>8954</v>
      </c>
      <c r="EN155" s="231">
        <v>300606.09000000003</v>
      </c>
      <c r="EO155" s="231">
        <v>673546.21</v>
      </c>
      <c r="EP155" s="231">
        <v>-372940.12</v>
      </c>
      <c r="EQ155" s="229">
        <v>-0.55369999999999997</v>
      </c>
      <c r="ER155" s="231">
        <v>198801</v>
      </c>
      <c r="ES155" s="231">
        <v>98396</v>
      </c>
      <c r="ET155" s="231">
        <v>279648</v>
      </c>
      <c r="EU155" s="231">
        <v>711370982</v>
      </c>
      <c r="EV155" s="231">
        <v>576845</v>
      </c>
      <c r="EW155" s="231">
        <v>571743</v>
      </c>
      <c r="EX155" s="231">
        <v>5102</v>
      </c>
      <c r="EY155" s="229">
        <v>8.8999999999999999E-3</v>
      </c>
      <c r="EZ155" s="229">
        <v>0.28050000000000003</v>
      </c>
      <c r="FA155" s="227" t="s">
        <v>694</v>
      </c>
      <c r="FB155" s="161">
        <f t="shared" si="3"/>
        <v>0</v>
      </c>
    </row>
    <row r="156" spans="1:158" ht="17.25" thickBot="1" x14ac:dyDescent="0.3">
      <c r="A156" s="226">
        <v>46121</v>
      </c>
      <c r="B156" s="227" t="s">
        <v>197</v>
      </c>
      <c r="C156" s="227" t="s">
        <v>270</v>
      </c>
      <c r="D156" s="228">
        <v>15</v>
      </c>
      <c r="E156" s="231">
        <v>35970</v>
      </c>
      <c r="F156" s="231">
        <v>35485</v>
      </c>
      <c r="G156" s="228">
        <v>485</v>
      </c>
      <c r="H156" s="229">
        <v>1.37E-2</v>
      </c>
      <c r="I156" s="231">
        <v>35950</v>
      </c>
      <c r="J156" s="231">
        <v>35325</v>
      </c>
      <c r="K156" s="228">
        <v>625</v>
      </c>
      <c r="L156" s="229">
        <v>1.77E-2</v>
      </c>
      <c r="M156" s="231">
        <v>35970</v>
      </c>
      <c r="N156" s="231">
        <v>35485</v>
      </c>
      <c r="O156" s="228">
        <v>485</v>
      </c>
      <c r="P156" s="229">
        <v>1.37E-2</v>
      </c>
      <c r="Q156" s="231">
        <v>35705</v>
      </c>
      <c r="R156" s="231">
        <v>35370</v>
      </c>
      <c r="S156" s="228">
        <v>335</v>
      </c>
      <c r="T156" s="229">
        <v>9.4999999999999998E-3</v>
      </c>
      <c r="U156" s="231">
        <v>35650</v>
      </c>
      <c r="V156" s="231">
        <v>35185</v>
      </c>
      <c r="W156" s="228">
        <v>465</v>
      </c>
      <c r="X156" s="229">
        <v>1.32E-2</v>
      </c>
      <c r="Y156" s="228">
        <v>20</v>
      </c>
      <c r="Z156" s="228">
        <v>160</v>
      </c>
      <c r="AA156" s="228">
        <v>-140</v>
      </c>
      <c r="AB156" s="229">
        <v>5.9999999999999995E-4</v>
      </c>
      <c r="AC156" s="228">
        <v>20</v>
      </c>
      <c r="AD156" s="228">
        <v>160</v>
      </c>
      <c r="AE156" s="228">
        <v>-140</v>
      </c>
      <c r="AF156" s="229">
        <v>5.9999999999999995E-4</v>
      </c>
      <c r="AG156" s="228">
        <v>-245</v>
      </c>
      <c r="AH156" s="228">
        <v>45</v>
      </c>
      <c r="AI156" s="228">
        <v>-290</v>
      </c>
      <c r="AJ156" s="229">
        <v>-6.7999999999999996E-3</v>
      </c>
      <c r="AK156" s="228">
        <v>-300</v>
      </c>
      <c r="AL156" s="228">
        <v>-140</v>
      </c>
      <c r="AM156" s="228">
        <v>-160</v>
      </c>
      <c r="AN156" s="229">
        <v>-8.3000000000000001E-3</v>
      </c>
      <c r="AO156" s="231">
        <v>35952.17</v>
      </c>
      <c r="AP156" s="231">
        <v>35721.86</v>
      </c>
      <c r="AQ156" s="228">
        <v>0</v>
      </c>
      <c r="AR156" s="230">
        <v>50985</v>
      </c>
      <c r="AS156" s="230">
        <v>27705</v>
      </c>
      <c r="AT156" s="230">
        <v>23280</v>
      </c>
      <c r="AU156" s="229">
        <v>0.84030000000000005</v>
      </c>
      <c r="AV156" s="230">
        <v>48945</v>
      </c>
      <c r="AW156" s="230">
        <v>26130</v>
      </c>
      <c r="AX156" s="230">
        <v>22815</v>
      </c>
      <c r="AY156" s="229">
        <v>0.87309999999999999</v>
      </c>
      <c r="AZ156" s="230">
        <v>1830</v>
      </c>
      <c r="BA156" s="230">
        <v>1215</v>
      </c>
      <c r="BB156" s="228">
        <v>615</v>
      </c>
      <c r="BC156" s="229">
        <v>0.50619999999999998</v>
      </c>
      <c r="BD156" s="228">
        <v>210</v>
      </c>
      <c r="BE156" s="228">
        <v>360</v>
      </c>
      <c r="BF156" s="228">
        <v>-150</v>
      </c>
      <c r="BG156" s="229">
        <v>-0.41670000000000001</v>
      </c>
      <c r="BH156" s="230">
        <v>63795</v>
      </c>
      <c r="BI156" s="230">
        <v>64860</v>
      </c>
      <c r="BJ156" s="230">
        <v>-1065</v>
      </c>
      <c r="BK156" s="229">
        <v>-1.6400000000000001E-2</v>
      </c>
      <c r="BL156" s="230">
        <v>40950</v>
      </c>
      <c r="BM156" s="230">
        <v>35820</v>
      </c>
      <c r="BN156" s="230">
        <v>5130</v>
      </c>
      <c r="BO156" s="229">
        <v>0.14319999999999999</v>
      </c>
      <c r="BP156" s="230">
        <v>155730</v>
      </c>
      <c r="BQ156" s="230">
        <v>128385</v>
      </c>
      <c r="BR156" s="230">
        <v>27345</v>
      </c>
      <c r="BS156" s="229">
        <v>0.21299999999999999</v>
      </c>
      <c r="BT156" s="230">
        <v>27217</v>
      </c>
      <c r="BU156" s="230">
        <v>18749</v>
      </c>
      <c r="BV156" s="230">
        <v>8468</v>
      </c>
      <c r="BW156" s="229">
        <v>0.45169999999999999</v>
      </c>
      <c r="BX156" s="230">
        <v>363465</v>
      </c>
      <c r="BY156" s="230">
        <v>358530</v>
      </c>
      <c r="BZ156" s="230">
        <v>4935</v>
      </c>
      <c r="CA156" s="229">
        <v>1.38E-2</v>
      </c>
      <c r="CB156" s="230">
        <v>357540</v>
      </c>
      <c r="CC156" s="230">
        <v>352680</v>
      </c>
      <c r="CD156" s="230">
        <v>4860</v>
      </c>
      <c r="CE156" s="229">
        <v>1.38E-2</v>
      </c>
      <c r="CF156" s="230">
        <v>5265</v>
      </c>
      <c r="CG156" s="230">
        <v>5160</v>
      </c>
      <c r="CH156" s="228">
        <v>105</v>
      </c>
      <c r="CI156" s="229">
        <v>2.0299999999999999E-2</v>
      </c>
      <c r="CJ156" s="228">
        <v>660</v>
      </c>
      <c r="CK156" s="228">
        <v>690</v>
      </c>
      <c r="CL156" s="228">
        <v>-30</v>
      </c>
      <c r="CM156" s="229">
        <v>-4.3499999999999997E-2</v>
      </c>
      <c r="CN156" s="230">
        <v>59865</v>
      </c>
      <c r="CO156" s="230">
        <v>58065</v>
      </c>
      <c r="CP156" s="230">
        <v>1800</v>
      </c>
      <c r="CQ156" s="229">
        <v>3.1E-2</v>
      </c>
      <c r="CR156" s="230">
        <v>53430</v>
      </c>
      <c r="CS156" s="230">
        <v>47610</v>
      </c>
      <c r="CT156" s="230">
        <v>5820</v>
      </c>
      <c r="CU156" s="229">
        <v>0.1222</v>
      </c>
      <c r="CV156" s="230">
        <v>476760</v>
      </c>
      <c r="CW156" s="230">
        <v>464205</v>
      </c>
      <c r="CX156" s="230">
        <v>12555</v>
      </c>
      <c r="CY156" s="229">
        <v>2.7E-2</v>
      </c>
      <c r="CZ156" s="228">
        <v>32.9</v>
      </c>
      <c r="DA156" s="228">
        <v>32.119999999999997</v>
      </c>
      <c r="DB156" s="228">
        <v>0.78</v>
      </c>
      <c r="DC156" s="228">
        <v>0.78</v>
      </c>
      <c r="DD156" s="228">
        <v>28.91</v>
      </c>
      <c r="DE156" s="228">
        <v>28.89</v>
      </c>
      <c r="DF156" s="228">
        <v>3.99</v>
      </c>
      <c r="DG156" s="228">
        <v>0.02</v>
      </c>
      <c r="DH156" s="228">
        <v>32.08</v>
      </c>
      <c r="DI156" s="228">
        <v>31.27</v>
      </c>
      <c r="DJ156" s="228">
        <v>0.81</v>
      </c>
      <c r="DK156" s="228">
        <v>0.81</v>
      </c>
      <c r="DL156" s="228">
        <v>34.17</v>
      </c>
      <c r="DM156" s="228">
        <v>33.659999999999997</v>
      </c>
      <c r="DN156" s="228">
        <v>0.51</v>
      </c>
      <c r="DO156" s="228">
        <v>0.51</v>
      </c>
      <c r="DP156" s="228">
        <v>0.89</v>
      </c>
      <c r="DQ156" s="228">
        <v>0.82</v>
      </c>
      <c r="DR156" s="228">
        <v>7.0000000000000007E-2</v>
      </c>
      <c r="DS156" s="229">
        <v>8.5400000000000004E-2</v>
      </c>
      <c r="DT156" s="231">
        <v>37000</v>
      </c>
      <c r="DU156" s="231">
        <v>33000</v>
      </c>
      <c r="DV156" s="228">
        <v>0.64</v>
      </c>
      <c r="DW156" s="228">
        <v>0.55000000000000004</v>
      </c>
      <c r="DX156" s="228">
        <v>0.09</v>
      </c>
      <c r="DY156" s="229">
        <v>0.1636</v>
      </c>
      <c r="DZ156" s="229">
        <v>1.6299999999999999E-2</v>
      </c>
      <c r="EA156" s="230">
        <v>5850</v>
      </c>
      <c r="EB156" s="229">
        <v>-7.4000000000000003E-3</v>
      </c>
      <c r="EC156" s="229">
        <v>1.6299999999999999E-2</v>
      </c>
      <c r="ED156" s="228">
        <v>-230.31</v>
      </c>
      <c r="EE156" s="229">
        <v>-6.4000000000000003E-3</v>
      </c>
      <c r="EF156" s="230">
        <v>12851</v>
      </c>
      <c r="EG156" s="230">
        <v>8036</v>
      </c>
      <c r="EH156" s="229">
        <v>0.59919999999999995</v>
      </c>
      <c r="EI156" s="229">
        <v>0.47220000000000001</v>
      </c>
      <c r="EJ156" s="231">
        <v>23899.38</v>
      </c>
      <c r="EK156" s="231">
        <v>14136.41</v>
      </c>
      <c r="EL156" s="231">
        <v>18325.189999999999</v>
      </c>
      <c r="EM156" s="231">
        <v>3836</v>
      </c>
      <c r="EN156" s="231">
        <v>56360.98</v>
      </c>
      <c r="EO156" s="231">
        <v>46064.54</v>
      </c>
      <c r="EP156" s="231">
        <v>10296.44</v>
      </c>
      <c r="EQ156" s="229">
        <v>0.2235</v>
      </c>
      <c r="ER156" s="231">
        <v>21120</v>
      </c>
      <c r="ES156" s="231">
        <v>17518</v>
      </c>
      <c r="ET156" s="231">
        <v>130722</v>
      </c>
      <c r="EU156" s="231">
        <v>955549</v>
      </c>
      <c r="EV156" s="231">
        <v>169360</v>
      </c>
      <c r="EW156" s="231">
        <v>163122</v>
      </c>
      <c r="EX156" s="231">
        <v>6238</v>
      </c>
      <c r="EY156" s="229">
        <v>3.8199999999999998E-2</v>
      </c>
      <c r="EZ156" s="229">
        <v>0.49890000000000001</v>
      </c>
      <c r="FA156" s="227" t="s">
        <v>555</v>
      </c>
      <c r="FB156" s="161">
        <f t="shared" si="3"/>
        <v>0</v>
      </c>
    </row>
    <row r="157" spans="1:158" ht="17.25" thickBot="1" x14ac:dyDescent="0.3">
      <c r="A157" s="226">
        <v>46121</v>
      </c>
      <c r="B157" s="227" t="s">
        <v>168</v>
      </c>
      <c r="C157" s="227" t="s">
        <v>664</v>
      </c>
      <c r="D157" s="228">
        <v>900</v>
      </c>
      <c r="E157" s="228">
        <v>459.75</v>
      </c>
      <c r="F157" s="228">
        <v>470.45</v>
      </c>
      <c r="G157" s="228">
        <v>-10.7</v>
      </c>
      <c r="H157" s="229">
        <v>-2.2700000000000001E-2</v>
      </c>
      <c r="I157" s="228">
        <v>459.7</v>
      </c>
      <c r="J157" s="228">
        <v>468.55</v>
      </c>
      <c r="K157" s="228">
        <v>-8.85</v>
      </c>
      <c r="L157" s="229">
        <v>-1.89E-2</v>
      </c>
      <c r="M157" s="228">
        <v>459.75</v>
      </c>
      <c r="N157" s="228">
        <v>470.45</v>
      </c>
      <c r="O157" s="228">
        <v>-10.7</v>
      </c>
      <c r="P157" s="229">
        <v>-2.2700000000000001E-2</v>
      </c>
      <c r="Q157" s="228">
        <v>462.45</v>
      </c>
      <c r="R157" s="228">
        <v>472.75</v>
      </c>
      <c r="S157" s="228">
        <v>-10.3</v>
      </c>
      <c r="T157" s="229">
        <v>-2.18E-2</v>
      </c>
      <c r="U157" s="228">
        <v>464.8</v>
      </c>
      <c r="V157" s="228">
        <v>475.2</v>
      </c>
      <c r="W157" s="228">
        <v>-10.4</v>
      </c>
      <c r="X157" s="229">
        <v>-2.1899999999999999E-2</v>
      </c>
      <c r="Y157" s="228">
        <v>0.05</v>
      </c>
      <c r="Z157" s="228">
        <v>1.9</v>
      </c>
      <c r="AA157" s="228">
        <v>-1.85</v>
      </c>
      <c r="AB157" s="229">
        <v>1E-4</v>
      </c>
      <c r="AC157" s="228">
        <v>0.05</v>
      </c>
      <c r="AD157" s="228">
        <v>1.9</v>
      </c>
      <c r="AE157" s="228">
        <v>-1.85</v>
      </c>
      <c r="AF157" s="229">
        <v>1E-4</v>
      </c>
      <c r="AG157" s="228">
        <v>2.75</v>
      </c>
      <c r="AH157" s="228">
        <v>4.2</v>
      </c>
      <c r="AI157" s="228">
        <v>-1.45</v>
      </c>
      <c r="AJ157" s="229">
        <v>6.0000000000000001E-3</v>
      </c>
      <c r="AK157" s="228">
        <v>5.0999999999999996</v>
      </c>
      <c r="AL157" s="228">
        <v>6.65</v>
      </c>
      <c r="AM157" s="228">
        <v>-1.55</v>
      </c>
      <c r="AN157" s="229">
        <v>1.11E-2</v>
      </c>
      <c r="AO157" s="228">
        <v>461.29</v>
      </c>
      <c r="AP157" s="228">
        <v>464.26</v>
      </c>
      <c r="AQ157" s="228">
        <v>0</v>
      </c>
      <c r="AR157" s="230">
        <v>2902500</v>
      </c>
      <c r="AS157" s="230">
        <v>6069600</v>
      </c>
      <c r="AT157" s="230">
        <v>-3167100</v>
      </c>
      <c r="AU157" s="229">
        <v>-0.52180000000000004</v>
      </c>
      <c r="AV157" s="230">
        <v>2852100</v>
      </c>
      <c r="AW157" s="230">
        <v>5963400</v>
      </c>
      <c r="AX157" s="230">
        <v>-3111300</v>
      </c>
      <c r="AY157" s="229">
        <v>-0.52170000000000005</v>
      </c>
      <c r="AZ157" s="230">
        <v>42300</v>
      </c>
      <c r="BA157" s="230">
        <v>96300</v>
      </c>
      <c r="BB157" s="230">
        <v>-54000</v>
      </c>
      <c r="BC157" s="229">
        <v>-0.56069999999999998</v>
      </c>
      <c r="BD157" s="230">
        <v>8100</v>
      </c>
      <c r="BE157" s="230">
        <v>9900</v>
      </c>
      <c r="BF157" s="230">
        <v>-1800</v>
      </c>
      <c r="BG157" s="229">
        <v>-0.18179999999999999</v>
      </c>
      <c r="BH157" s="230">
        <v>2817900</v>
      </c>
      <c r="BI157" s="230">
        <v>4527000</v>
      </c>
      <c r="BJ157" s="230">
        <v>-1709100</v>
      </c>
      <c r="BK157" s="229">
        <v>-0.3775</v>
      </c>
      <c r="BL157" s="230">
        <v>1806300</v>
      </c>
      <c r="BM157" s="230">
        <v>2362500</v>
      </c>
      <c r="BN157" s="230">
        <v>-556200</v>
      </c>
      <c r="BO157" s="229">
        <v>-0.2354</v>
      </c>
      <c r="BP157" s="230">
        <v>7526700</v>
      </c>
      <c r="BQ157" s="230">
        <v>12959100</v>
      </c>
      <c r="BR157" s="230">
        <v>-5432400</v>
      </c>
      <c r="BS157" s="229">
        <v>-0.41920000000000002</v>
      </c>
      <c r="BT157" s="230">
        <v>1733058</v>
      </c>
      <c r="BU157" s="230">
        <v>6523070</v>
      </c>
      <c r="BV157" s="230">
        <v>-4790012</v>
      </c>
      <c r="BW157" s="229">
        <v>-0.73429999999999995</v>
      </c>
      <c r="BX157" s="230">
        <v>34405200</v>
      </c>
      <c r="BY157" s="230">
        <v>34246800</v>
      </c>
      <c r="BZ157" s="230">
        <v>158400</v>
      </c>
      <c r="CA157" s="229">
        <v>4.5999999999999999E-3</v>
      </c>
      <c r="CB157" s="230">
        <v>34222500</v>
      </c>
      <c r="CC157" s="230">
        <v>34092900</v>
      </c>
      <c r="CD157" s="230">
        <v>129600</v>
      </c>
      <c r="CE157" s="229">
        <v>3.8E-3</v>
      </c>
      <c r="CF157" s="230">
        <v>165600</v>
      </c>
      <c r="CG157" s="230">
        <v>144000</v>
      </c>
      <c r="CH157" s="230">
        <v>21600</v>
      </c>
      <c r="CI157" s="229">
        <v>0.15</v>
      </c>
      <c r="CJ157" s="230">
        <v>17100</v>
      </c>
      <c r="CK157" s="230">
        <v>9900</v>
      </c>
      <c r="CL157" s="230">
        <v>7200</v>
      </c>
      <c r="CM157" s="229">
        <v>0.72729999999999995</v>
      </c>
      <c r="CN157" s="230">
        <v>2872800</v>
      </c>
      <c r="CO157" s="230">
        <v>2602800</v>
      </c>
      <c r="CP157" s="230">
        <v>270000</v>
      </c>
      <c r="CQ157" s="229">
        <v>0.1037</v>
      </c>
      <c r="CR157" s="230">
        <v>2124900</v>
      </c>
      <c r="CS157" s="230">
        <v>2061000</v>
      </c>
      <c r="CT157" s="230">
        <v>63900</v>
      </c>
      <c r="CU157" s="229">
        <v>3.1E-2</v>
      </c>
      <c r="CV157" s="230">
        <v>39402900</v>
      </c>
      <c r="CW157" s="230">
        <v>38910600</v>
      </c>
      <c r="CX157" s="230">
        <v>492300</v>
      </c>
      <c r="CY157" s="229">
        <v>1.2699999999999999E-2</v>
      </c>
      <c r="CZ157" s="228">
        <v>31.4</v>
      </c>
      <c r="DA157" s="228">
        <v>29.49</v>
      </c>
      <c r="DB157" s="228">
        <v>1.91</v>
      </c>
      <c r="DC157" s="228">
        <v>1.91</v>
      </c>
      <c r="DD157" s="228">
        <v>32.450000000000003</v>
      </c>
      <c r="DE157" s="228">
        <v>32.380000000000003</v>
      </c>
      <c r="DF157" s="228">
        <v>-1.05</v>
      </c>
      <c r="DG157" s="228">
        <v>7.0000000000000007E-2</v>
      </c>
      <c r="DH157" s="228">
        <v>30.38</v>
      </c>
      <c r="DI157" s="228">
        <v>28.41</v>
      </c>
      <c r="DJ157" s="228">
        <v>1.97</v>
      </c>
      <c r="DK157" s="228">
        <v>1.97</v>
      </c>
      <c r="DL157" s="228">
        <v>32.99</v>
      </c>
      <c r="DM157" s="228">
        <v>31.54</v>
      </c>
      <c r="DN157" s="228">
        <v>1.45</v>
      </c>
      <c r="DO157" s="228">
        <v>1.45</v>
      </c>
      <c r="DP157" s="228">
        <v>0.74</v>
      </c>
      <c r="DQ157" s="228">
        <v>0.79</v>
      </c>
      <c r="DR157" s="228">
        <v>-0.05</v>
      </c>
      <c r="DS157" s="229">
        <v>-6.3299999999999995E-2</v>
      </c>
      <c r="DT157" s="228">
        <v>500</v>
      </c>
      <c r="DU157" s="228">
        <v>490</v>
      </c>
      <c r="DV157" s="228">
        <v>0.64</v>
      </c>
      <c r="DW157" s="228">
        <v>0.52</v>
      </c>
      <c r="DX157" s="228">
        <v>0.12</v>
      </c>
      <c r="DY157" s="229">
        <v>0.23080000000000001</v>
      </c>
      <c r="DZ157" s="229">
        <v>5.3E-3</v>
      </c>
      <c r="EA157" s="230">
        <v>153900</v>
      </c>
      <c r="EB157" s="229">
        <v>5.8999999999999999E-3</v>
      </c>
      <c r="EC157" s="229">
        <v>5.3E-3</v>
      </c>
      <c r="ED157" s="228">
        <v>2.97</v>
      </c>
      <c r="EE157" s="229">
        <v>6.4000000000000003E-3</v>
      </c>
      <c r="EF157" s="230">
        <v>586329</v>
      </c>
      <c r="EG157" s="230">
        <v>3158537</v>
      </c>
      <c r="EH157" s="229">
        <v>-0.81440000000000001</v>
      </c>
      <c r="EI157" s="229">
        <v>0.33829999999999999</v>
      </c>
      <c r="EJ157" s="231">
        <v>13839.9</v>
      </c>
      <c r="EK157" s="231">
        <v>8310.4599999999991</v>
      </c>
      <c r="EL157" s="231">
        <v>13390.49</v>
      </c>
      <c r="EM157" s="231">
        <v>5840</v>
      </c>
      <c r="EN157" s="231">
        <v>35540.85</v>
      </c>
      <c r="EO157" s="231">
        <v>62823.99</v>
      </c>
      <c r="EP157" s="231">
        <v>-27283.14</v>
      </c>
      <c r="EQ157" s="229">
        <v>-0.43430000000000002</v>
      </c>
      <c r="ER157" s="231">
        <v>14138</v>
      </c>
      <c r="ES157" s="231">
        <v>10351</v>
      </c>
      <c r="ET157" s="231">
        <v>158183</v>
      </c>
      <c r="EU157" s="231">
        <v>51786533</v>
      </c>
      <c r="EV157" s="231">
        <v>182673</v>
      </c>
      <c r="EW157" s="231">
        <v>184046</v>
      </c>
      <c r="EX157" s="231">
        <v>-1373</v>
      </c>
      <c r="EY157" s="229">
        <v>-7.4999999999999997E-3</v>
      </c>
      <c r="EZ157" s="229">
        <v>0.76090000000000002</v>
      </c>
      <c r="FA157" s="227" t="s">
        <v>566</v>
      </c>
      <c r="FB157" s="161">
        <f t="shared" si="3"/>
        <v>0</v>
      </c>
    </row>
    <row r="158" spans="1:158" ht="17.25" thickBot="1" x14ac:dyDescent="0.3">
      <c r="A158" s="226">
        <v>46121</v>
      </c>
      <c r="B158" s="227" t="s">
        <v>614</v>
      </c>
      <c r="C158" s="227" t="s">
        <v>574</v>
      </c>
      <c r="D158" s="228">
        <v>725</v>
      </c>
      <c r="E158" s="231">
        <v>1102.55</v>
      </c>
      <c r="F158" s="231">
        <v>1115.3499999999999</v>
      </c>
      <c r="G158" s="228">
        <v>-12.8</v>
      </c>
      <c r="H158" s="229">
        <v>-1.15E-2</v>
      </c>
      <c r="I158" s="231">
        <v>1097.95</v>
      </c>
      <c r="J158" s="231">
        <v>1112.95</v>
      </c>
      <c r="K158" s="228">
        <v>-15</v>
      </c>
      <c r="L158" s="229">
        <v>-1.35E-2</v>
      </c>
      <c r="M158" s="231">
        <v>1102.55</v>
      </c>
      <c r="N158" s="231">
        <v>1115.3499999999999</v>
      </c>
      <c r="O158" s="228">
        <v>-12.8</v>
      </c>
      <c r="P158" s="229">
        <v>-1.15E-2</v>
      </c>
      <c r="Q158" s="231">
        <v>1108.05</v>
      </c>
      <c r="R158" s="231">
        <v>1122.25</v>
      </c>
      <c r="S158" s="228">
        <v>-14.2</v>
      </c>
      <c r="T158" s="229">
        <v>-1.2699999999999999E-2</v>
      </c>
      <c r="U158" s="231">
        <v>1113.5999999999999</v>
      </c>
      <c r="V158" s="231">
        <v>1127.8</v>
      </c>
      <c r="W158" s="228">
        <v>-14.2</v>
      </c>
      <c r="X158" s="229">
        <v>-1.26E-2</v>
      </c>
      <c r="Y158" s="228">
        <v>4.5999999999999996</v>
      </c>
      <c r="Z158" s="228">
        <v>2.4</v>
      </c>
      <c r="AA158" s="228">
        <v>2.2000000000000002</v>
      </c>
      <c r="AB158" s="229">
        <v>4.1999999999999997E-3</v>
      </c>
      <c r="AC158" s="228">
        <v>4.5999999999999996</v>
      </c>
      <c r="AD158" s="228">
        <v>2.4</v>
      </c>
      <c r="AE158" s="228">
        <v>2.2000000000000002</v>
      </c>
      <c r="AF158" s="229">
        <v>4.1999999999999997E-3</v>
      </c>
      <c r="AG158" s="228">
        <v>10.1</v>
      </c>
      <c r="AH158" s="228">
        <v>9.3000000000000007</v>
      </c>
      <c r="AI158" s="228">
        <v>0.8</v>
      </c>
      <c r="AJ158" s="229">
        <v>9.1999999999999998E-3</v>
      </c>
      <c r="AK158" s="228">
        <v>15.65</v>
      </c>
      <c r="AL158" s="228">
        <v>14.85</v>
      </c>
      <c r="AM158" s="228">
        <v>0.8</v>
      </c>
      <c r="AN158" s="229">
        <v>1.43E-2</v>
      </c>
      <c r="AO158" s="231">
        <v>1112.73</v>
      </c>
      <c r="AP158" s="231">
        <v>1119.83</v>
      </c>
      <c r="AQ158" s="228">
        <v>0</v>
      </c>
      <c r="AR158" s="230">
        <v>4274600</v>
      </c>
      <c r="AS158" s="230">
        <v>5114875</v>
      </c>
      <c r="AT158" s="230">
        <v>-840275</v>
      </c>
      <c r="AU158" s="229">
        <v>-0.1643</v>
      </c>
      <c r="AV158" s="230">
        <v>4105675</v>
      </c>
      <c r="AW158" s="230">
        <v>4954650</v>
      </c>
      <c r="AX158" s="230">
        <v>-848975</v>
      </c>
      <c r="AY158" s="229">
        <v>-0.17130000000000001</v>
      </c>
      <c r="AZ158" s="230">
        <v>162400</v>
      </c>
      <c r="BA158" s="230">
        <v>147900</v>
      </c>
      <c r="BB158" s="230">
        <v>14500</v>
      </c>
      <c r="BC158" s="229">
        <v>9.8000000000000004E-2</v>
      </c>
      <c r="BD158" s="230">
        <v>6525</v>
      </c>
      <c r="BE158" s="230">
        <v>12325</v>
      </c>
      <c r="BF158" s="230">
        <v>-5800</v>
      </c>
      <c r="BG158" s="229">
        <v>-0.47060000000000002</v>
      </c>
      <c r="BH158" s="230">
        <v>11341900</v>
      </c>
      <c r="BI158" s="230">
        <v>14107050</v>
      </c>
      <c r="BJ158" s="230">
        <v>-2765150</v>
      </c>
      <c r="BK158" s="229">
        <v>-0.19600000000000001</v>
      </c>
      <c r="BL158" s="230">
        <v>7191275</v>
      </c>
      <c r="BM158" s="230">
        <v>7632800</v>
      </c>
      <c r="BN158" s="230">
        <v>-441525</v>
      </c>
      <c r="BO158" s="229">
        <v>-5.7799999999999997E-2</v>
      </c>
      <c r="BP158" s="230">
        <v>22807775</v>
      </c>
      <c r="BQ158" s="230">
        <v>26854725</v>
      </c>
      <c r="BR158" s="230">
        <v>-4046950</v>
      </c>
      <c r="BS158" s="229">
        <v>-0.1507</v>
      </c>
      <c r="BT158" s="230">
        <v>4653186</v>
      </c>
      <c r="BU158" s="230">
        <v>4445705</v>
      </c>
      <c r="BV158" s="230">
        <v>207481</v>
      </c>
      <c r="BW158" s="229">
        <v>4.6699999999999998E-2</v>
      </c>
      <c r="BX158" s="230">
        <v>17025175</v>
      </c>
      <c r="BY158" s="230">
        <v>17698700</v>
      </c>
      <c r="BZ158" s="230">
        <v>-673525</v>
      </c>
      <c r="CA158" s="229">
        <v>-3.8100000000000002E-2</v>
      </c>
      <c r="CB158" s="230">
        <v>16368325</v>
      </c>
      <c r="CC158" s="230">
        <v>17086075</v>
      </c>
      <c r="CD158" s="230">
        <v>-717750</v>
      </c>
      <c r="CE158" s="229">
        <v>-4.2000000000000003E-2</v>
      </c>
      <c r="CF158" s="230">
        <v>639450</v>
      </c>
      <c r="CG158" s="230">
        <v>598125</v>
      </c>
      <c r="CH158" s="230">
        <v>41325</v>
      </c>
      <c r="CI158" s="229">
        <v>6.9099999999999995E-2</v>
      </c>
      <c r="CJ158" s="230">
        <v>17400</v>
      </c>
      <c r="CK158" s="230">
        <v>14500</v>
      </c>
      <c r="CL158" s="230">
        <v>2900</v>
      </c>
      <c r="CM158" s="229">
        <v>0.2</v>
      </c>
      <c r="CN158" s="230">
        <v>5782600</v>
      </c>
      <c r="CO158" s="230">
        <v>4373925</v>
      </c>
      <c r="CP158" s="230">
        <v>1408675</v>
      </c>
      <c r="CQ158" s="229">
        <v>0.3221</v>
      </c>
      <c r="CR158" s="230">
        <v>4643625</v>
      </c>
      <c r="CS158" s="230">
        <v>3776525</v>
      </c>
      <c r="CT158" s="230">
        <v>867100</v>
      </c>
      <c r="CU158" s="229">
        <v>0.2296</v>
      </c>
      <c r="CV158" s="230">
        <v>27451400</v>
      </c>
      <c r="CW158" s="230">
        <v>25849150</v>
      </c>
      <c r="CX158" s="230">
        <v>1602250</v>
      </c>
      <c r="CY158" s="229">
        <v>6.2E-2</v>
      </c>
      <c r="CZ158" s="228">
        <v>39.46</v>
      </c>
      <c r="DA158" s="228">
        <v>39.67</v>
      </c>
      <c r="DB158" s="228">
        <v>-0.21</v>
      </c>
      <c r="DC158" s="228">
        <v>-0.21</v>
      </c>
      <c r="DD158" s="228">
        <v>53.13</v>
      </c>
      <c r="DE158" s="228">
        <v>53.24</v>
      </c>
      <c r="DF158" s="228">
        <v>-13.67</v>
      </c>
      <c r="DG158" s="228">
        <v>-0.11</v>
      </c>
      <c r="DH158" s="228">
        <v>38.590000000000003</v>
      </c>
      <c r="DI158" s="228">
        <v>38.200000000000003</v>
      </c>
      <c r="DJ158" s="228">
        <v>0.39</v>
      </c>
      <c r="DK158" s="228">
        <v>0.39</v>
      </c>
      <c r="DL158" s="228">
        <v>40.840000000000003</v>
      </c>
      <c r="DM158" s="228">
        <v>42.37</v>
      </c>
      <c r="DN158" s="228">
        <v>-1.53</v>
      </c>
      <c r="DO158" s="228">
        <v>-1.53</v>
      </c>
      <c r="DP158" s="228">
        <v>0.8</v>
      </c>
      <c r="DQ158" s="228">
        <v>0.86</v>
      </c>
      <c r="DR158" s="228">
        <v>-0.06</v>
      </c>
      <c r="DS158" s="229">
        <v>-6.9800000000000001E-2</v>
      </c>
      <c r="DT158" s="231">
        <v>1100</v>
      </c>
      <c r="DU158" s="231">
        <v>1000</v>
      </c>
      <c r="DV158" s="228">
        <v>0.63</v>
      </c>
      <c r="DW158" s="228">
        <v>0.54</v>
      </c>
      <c r="DX158" s="228">
        <v>0.09</v>
      </c>
      <c r="DY158" s="229">
        <v>0.16669999999999999</v>
      </c>
      <c r="DZ158" s="229">
        <v>3.8600000000000002E-2</v>
      </c>
      <c r="EA158" s="230">
        <v>612625</v>
      </c>
      <c r="EB158" s="229">
        <v>5.0000000000000001E-3</v>
      </c>
      <c r="EC158" s="229">
        <v>3.8600000000000002E-2</v>
      </c>
      <c r="ED158" s="228">
        <v>7.1</v>
      </c>
      <c r="EE158" s="229">
        <v>6.4000000000000003E-3</v>
      </c>
      <c r="EF158" s="230">
        <v>1897146</v>
      </c>
      <c r="EG158" s="230">
        <v>1777437</v>
      </c>
      <c r="EH158" s="229">
        <v>6.7299999999999999E-2</v>
      </c>
      <c r="EI158" s="229">
        <v>0.40770000000000001</v>
      </c>
      <c r="EJ158" s="231">
        <v>132853.20000000001</v>
      </c>
      <c r="EK158" s="231">
        <v>78678.350000000006</v>
      </c>
      <c r="EL158" s="231">
        <v>47577.32</v>
      </c>
      <c r="EM158" s="231">
        <v>4214</v>
      </c>
      <c r="EN158" s="231">
        <v>259108.87</v>
      </c>
      <c r="EO158" s="231">
        <v>298875.21000000002</v>
      </c>
      <c r="EP158" s="231">
        <v>-39766.339999999997</v>
      </c>
      <c r="EQ158" s="229">
        <v>-0.1331</v>
      </c>
      <c r="ER158" s="231">
        <v>64277</v>
      </c>
      <c r="ES158" s="231">
        <v>48241</v>
      </c>
      <c r="ET158" s="231">
        <v>187748</v>
      </c>
      <c r="EU158" s="231">
        <v>95930888</v>
      </c>
      <c r="EV158" s="231">
        <v>300266</v>
      </c>
      <c r="EW158" s="231">
        <v>284021</v>
      </c>
      <c r="EX158" s="231">
        <v>16245</v>
      </c>
      <c r="EY158" s="229">
        <v>5.7200000000000001E-2</v>
      </c>
      <c r="EZ158" s="229">
        <v>0.28620000000000001</v>
      </c>
      <c r="FA158" s="227" t="s">
        <v>567</v>
      </c>
      <c r="FB158" s="161">
        <f t="shared" si="3"/>
        <v>0</v>
      </c>
    </row>
    <row r="159" spans="1:158" ht="17.25" thickBot="1" x14ac:dyDescent="0.3">
      <c r="A159" s="226">
        <v>46121</v>
      </c>
      <c r="B159" s="227" t="s">
        <v>221</v>
      </c>
      <c r="C159" s="227" t="s">
        <v>529</v>
      </c>
      <c r="D159" s="228">
        <v>100</v>
      </c>
      <c r="E159" s="231">
        <v>5468.9</v>
      </c>
      <c r="F159" s="231">
        <v>5363.2</v>
      </c>
      <c r="G159" s="228">
        <v>105.7</v>
      </c>
      <c r="H159" s="229">
        <v>1.9699999999999999E-2</v>
      </c>
      <c r="I159" s="231">
        <v>5471.1</v>
      </c>
      <c r="J159" s="231">
        <v>5373.9</v>
      </c>
      <c r="K159" s="228">
        <v>97.2</v>
      </c>
      <c r="L159" s="229">
        <v>1.8100000000000002E-2</v>
      </c>
      <c r="M159" s="231">
        <v>5468.9</v>
      </c>
      <c r="N159" s="231">
        <v>5363.2</v>
      </c>
      <c r="O159" s="228">
        <v>105.7</v>
      </c>
      <c r="P159" s="229">
        <v>1.9699999999999999E-2</v>
      </c>
      <c r="Q159" s="231">
        <v>5418.9</v>
      </c>
      <c r="R159" s="231">
        <v>5293.9</v>
      </c>
      <c r="S159" s="228">
        <v>125</v>
      </c>
      <c r="T159" s="229">
        <v>2.3599999999999999E-2</v>
      </c>
      <c r="U159" s="231">
        <v>5380</v>
      </c>
      <c r="V159" s="231">
        <v>5269.9</v>
      </c>
      <c r="W159" s="228">
        <v>110.1</v>
      </c>
      <c r="X159" s="229">
        <v>2.0899999999999998E-2</v>
      </c>
      <c r="Y159" s="228">
        <v>-2.2000000000000002</v>
      </c>
      <c r="Z159" s="228">
        <v>-10.7</v>
      </c>
      <c r="AA159" s="228">
        <v>8.5</v>
      </c>
      <c r="AB159" s="229">
        <v>-4.0000000000000002E-4</v>
      </c>
      <c r="AC159" s="228">
        <v>-2.2000000000000002</v>
      </c>
      <c r="AD159" s="228">
        <v>-10.7</v>
      </c>
      <c r="AE159" s="228">
        <v>8.5</v>
      </c>
      <c r="AF159" s="229">
        <v>-4.0000000000000002E-4</v>
      </c>
      <c r="AG159" s="228">
        <v>-52.2</v>
      </c>
      <c r="AH159" s="228">
        <v>-80</v>
      </c>
      <c r="AI159" s="228">
        <v>27.8</v>
      </c>
      <c r="AJ159" s="229">
        <v>-9.4999999999999998E-3</v>
      </c>
      <c r="AK159" s="228">
        <v>-91.1</v>
      </c>
      <c r="AL159" s="228">
        <v>-104</v>
      </c>
      <c r="AM159" s="228">
        <v>12.9</v>
      </c>
      <c r="AN159" s="229">
        <v>-1.67E-2</v>
      </c>
      <c r="AO159" s="231">
        <v>5380.41</v>
      </c>
      <c r="AP159" s="231">
        <v>5346.77</v>
      </c>
      <c r="AQ159" s="228">
        <v>0</v>
      </c>
      <c r="AR159" s="230">
        <v>1058900</v>
      </c>
      <c r="AS159" s="230">
        <v>1153300</v>
      </c>
      <c r="AT159" s="230">
        <v>-94400</v>
      </c>
      <c r="AU159" s="229">
        <v>-8.1900000000000001E-2</v>
      </c>
      <c r="AV159" s="230">
        <v>951100</v>
      </c>
      <c r="AW159" s="230">
        <v>969700</v>
      </c>
      <c r="AX159" s="230">
        <v>-18600</v>
      </c>
      <c r="AY159" s="229">
        <v>-1.9199999999999998E-2</v>
      </c>
      <c r="AZ159" s="230">
        <v>97800</v>
      </c>
      <c r="BA159" s="230">
        <v>170100</v>
      </c>
      <c r="BB159" s="230">
        <v>-72300</v>
      </c>
      <c r="BC159" s="229">
        <v>-0.42499999999999999</v>
      </c>
      <c r="BD159" s="230">
        <v>10000</v>
      </c>
      <c r="BE159" s="230">
        <v>13500</v>
      </c>
      <c r="BF159" s="230">
        <v>-3500</v>
      </c>
      <c r="BG159" s="229">
        <v>-0.25929999999999997</v>
      </c>
      <c r="BH159" s="230">
        <v>1499600</v>
      </c>
      <c r="BI159" s="230">
        <v>1969900</v>
      </c>
      <c r="BJ159" s="230">
        <v>-470300</v>
      </c>
      <c r="BK159" s="229">
        <v>-0.2387</v>
      </c>
      <c r="BL159" s="230">
        <v>902800</v>
      </c>
      <c r="BM159" s="230">
        <v>941200</v>
      </c>
      <c r="BN159" s="230">
        <v>-38400</v>
      </c>
      <c r="BO159" s="229">
        <v>-4.0800000000000003E-2</v>
      </c>
      <c r="BP159" s="230">
        <v>3461300</v>
      </c>
      <c r="BQ159" s="230">
        <v>4064400</v>
      </c>
      <c r="BR159" s="230">
        <v>-603100</v>
      </c>
      <c r="BS159" s="229">
        <v>-0.1484</v>
      </c>
      <c r="BT159" s="230">
        <v>612607</v>
      </c>
      <c r="BU159" s="230">
        <v>943718</v>
      </c>
      <c r="BV159" s="230">
        <v>-331111</v>
      </c>
      <c r="BW159" s="229">
        <v>-0.35089999999999999</v>
      </c>
      <c r="BX159" s="230">
        <v>5610100</v>
      </c>
      <c r="BY159" s="230">
        <v>5620500</v>
      </c>
      <c r="BZ159" s="230">
        <v>-10400</v>
      </c>
      <c r="CA159" s="229">
        <v>-1.9E-3</v>
      </c>
      <c r="CB159" s="230">
        <v>5383400</v>
      </c>
      <c r="CC159" s="230">
        <v>5433900</v>
      </c>
      <c r="CD159" s="230">
        <v>-50500</v>
      </c>
      <c r="CE159" s="229">
        <v>-9.2999999999999992E-3</v>
      </c>
      <c r="CF159" s="230">
        <v>208900</v>
      </c>
      <c r="CG159" s="230">
        <v>168500</v>
      </c>
      <c r="CH159" s="230">
        <v>40400</v>
      </c>
      <c r="CI159" s="229">
        <v>0.23980000000000001</v>
      </c>
      <c r="CJ159" s="230">
        <v>17800</v>
      </c>
      <c r="CK159" s="230">
        <v>18100</v>
      </c>
      <c r="CL159" s="228">
        <v>-300</v>
      </c>
      <c r="CM159" s="229">
        <v>-1.66E-2</v>
      </c>
      <c r="CN159" s="230">
        <v>877500</v>
      </c>
      <c r="CO159" s="230">
        <v>835500</v>
      </c>
      <c r="CP159" s="230">
        <v>42000</v>
      </c>
      <c r="CQ159" s="229">
        <v>5.0299999999999997E-2</v>
      </c>
      <c r="CR159" s="230">
        <v>837500</v>
      </c>
      <c r="CS159" s="230">
        <v>758600</v>
      </c>
      <c r="CT159" s="230">
        <v>78900</v>
      </c>
      <c r="CU159" s="229">
        <v>0.104</v>
      </c>
      <c r="CV159" s="230">
        <v>7325100</v>
      </c>
      <c r="CW159" s="230">
        <v>7214600</v>
      </c>
      <c r="CX159" s="230">
        <v>110500</v>
      </c>
      <c r="CY159" s="229">
        <v>1.5299999999999999E-2</v>
      </c>
      <c r="CZ159" s="228">
        <v>45.68</v>
      </c>
      <c r="DA159" s="228">
        <v>44.61</v>
      </c>
      <c r="DB159" s="228">
        <v>1.07</v>
      </c>
      <c r="DC159" s="228">
        <v>1.07</v>
      </c>
      <c r="DD159" s="228">
        <v>40.450000000000003</v>
      </c>
      <c r="DE159" s="228">
        <v>40.46</v>
      </c>
      <c r="DF159" s="228">
        <v>5.23</v>
      </c>
      <c r="DG159" s="228">
        <v>-0.01</v>
      </c>
      <c r="DH159" s="228">
        <v>43.78</v>
      </c>
      <c r="DI159" s="228">
        <v>43.11</v>
      </c>
      <c r="DJ159" s="228">
        <v>0.67</v>
      </c>
      <c r="DK159" s="228">
        <v>0.67</v>
      </c>
      <c r="DL159" s="228">
        <v>48.84</v>
      </c>
      <c r="DM159" s="228">
        <v>47.75</v>
      </c>
      <c r="DN159" s="228">
        <v>1.0900000000000001</v>
      </c>
      <c r="DO159" s="228">
        <v>1.0900000000000001</v>
      </c>
      <c r="DP159" s="228">
        <v>0.95</v>
      </c>
      <c r="DQ159" s="228">
        <v>0.91</v>
      </c>
      <c r="DR159" s="228">
        <v>0.04</v>
      </c>
      <c r="DS159" s="229">
        <v>4.3999999999999997E-2</v>
      </c>
      <c r="DT159" s="231">
        <v>6000</v>
      </c>
      <c r="DU159" s="231">
        <v>5000</v>
      </c>
      <c r="DV159" s="228">
        <v>0.6</v>
      </c>
      <c r="DW159" s="228">
        <v>0.48</v>
      </c>
      <c r="DX159" s="228">
        <v>0.12</v>
      </c>
      <c r="DY159" s="229">
        <v>0.25</v>
      </c>
      <c r="DZ159" s="229">
        <v>4.0399999999999998E-2</v>
      </c>
      <c r="EA159" s="230">
        <v>186600</v>
      </c>
      <c r="EB159" s="229">
        <v>-9.1000000000000004E-3</v>
      </c>
      <c r="EC159" s="229">
        <v>4.0399999999999998E-2</v>
      </c>
      <c r="ED159" s="228">
        <v>-33.64</v>
      </c>
      <c r="EE159" s="229">
        <v>-6.3E-3</v>
      </c>
      <c r="EF159" s="230">
        <v>217737</v>
      </c>
      <c r="EG159" s="230">
        <v>373928</v>
      </c>
      <c r="EH159" s="229">
        <v>-0.41770000000000002</v>
      </c>
      <c r="EI159" s="229">
        <v>0.35539999999999999</v>
      </c>
      <c r="EJ159" s="231">
        <v>85657.600000000006</v>
      </c>
      <c r="EK159" s="231">
        <v>46891.3</v>
      </c>
      <c r="EL159" s="231">
        <v>56933.73</v>
      </c>
      <c r="EM159" s="231">
        <v>8518</v>
      </c>
      <c r="EN159" s="231">
        <v>189482.63</v>
      </c>
      <c r="EO159" s="231">
        <v>220932.92</v>
      </c>
      <c r="EP159" s="231">
        <v>-31450.29</v>
      </c>
      <c r="EQ159" s="229">
        <v>-0.1424</v>
      </c>
      <c r="ER159" s="231">
        <v>46823</v>
      </c>
      <c r="ES159" s="231">
        <v>41213</v>
      </c>
      <c r="ET159" s="231">
        <v>306690</v>
      </c>
      <c r="EU159" s="231">
        <v>16286398</v>
      </c>
      <c r="EV159" s="231">
        <v>394727</v>
      </c>
      <c r="EW159" s="231">
        <v>382963</v>
      </c>
      <c r="EX159" s="231">
        <v>11764</v>
      </c>
      <c r="EY159" s="229">
        <v>3.0700000000000002E-2</v>
      </c>
      <c r="EZ159" s="229">
        <v>0.44979999999999998</v>
      </c>
      <c r="FA159" s="227" t="s">
        <v>694</v>
      </c>
      <c r="FB159" s="161">
        <f t="shared" si="3"/>
        <v>0</v>
      </c>
    </row>
    <row r="160" spans="1:158" ht="17.25" thickBot="1" x14ac:dyDescent="0.3">
      <c r="A160" s="226">
        <v>46121</v>
      </c>
      <c r="B160" s="227" t="s">
        <v>193</v>
      </c>
      <c r="C160" s="227" t="s">
        <v>272</v>
      </c>
      <c r="D160" s="228">
        <v>1900</v>
      </c>
      <c r="E160" s="228">
        <v>272.05</v>
      </c>
      <c r="F160" s="228">
        <v>270.72000000000003</v>
      </c>
      <c r="G160" s="228">
        <v>1.33</v>
      </c>
      <c r="H160" s="229">
        <v>4.8999999999999998E-3</v>
      </c>
      <c r="I160" s="228">
        <v>271.37</v>
      </c>
      <c r="J160" s="228">
        <v>270.41000000000003</v>
      </c>
      <c r="K160" s="228">
        <v>0.96</v>
      </c>
      <c r="L160" s="229">
        <v>3.5999999999999999E-3</v>
      </c>
      <c r="M160" s="228">
        <v>272.05</v>
      </c>
      <c r="N160" s="228">
        <v>270.72000000000003</v>
      </c>
      <c r="O160" s="228">
        <v>1.33</v>
      </c>
      <c r="P160" s="229">
        <v>4.8999999999999998E-3</v>
      </c>
      <c r="Q160" s="228">
        <v>271.64999999999998</v>
      </c>
      <c r="R160" s="228">
        <v>269.63</v>
      </c>
      <c r="S160" s="228">
        <v>2.02</v>
      </c>
      <c r="T160" s="229">
        <v>7.4999999999999997E-3</v>
      </c>
      <c r="U160" s="228">
        <v>272.39</v>
      </c>
      <c r="V160" s="228">
        <v>270.44</v>
      </c>
      <c r="W160" s="228">
        <v>1.95</v>
      </c>
      <c r="X160" s="229">
        <v>7.1999999999999998E-3</v>
      </c>
      <c r="Y160" s="228">
        <v>0.68</v>
      </c>
      <c r="Z160" s="228">
        <v>0.31</v>
      </c>
      <c r="AA160" s="228">
        <v>0.37</v>
      </c>
      <c r="AB160" s="229">
        <v>2.5000000000000001E-3</v>
      </c>
      <c r="AC160" s="228">
        <v>0.68</v>
      </c>
      <c r="AD160" s="228">
        <v>0.31</v>
      </c>
      <c r="AE160" s="228">
        <v>0.37</v>
      </c>
      <c r="AF160" s="229">
        <v>2.5000000000000001E-3</v>
      </c>
      <c r="AG160" s="228">
        <v>0.28000000000000003</v>
      </c>
      <c r="AH160" s="228">
        <v>-0.78</v>
      </c>
      <c r="AI160" s="228">
        <v>1.06</v>
      </c>
      <c r="AJ160" s="229">
        <v>1E-3</v>
      </c>
      <c r="AK160" s="228">
        <v>1.02</v>
      </c>
      <c r="AL160" s="228">
        <v>0.03</v>
      </c>
      <c r="AM160" s="228">
        <v>0.99</v>
      </c>
      <c r="AN160" s="229">
        <v>3.8E-3</v>
      </c>
      <c r="AO160" s="228">
        <v>269.13</v>
      </c>
      <c r="AP160" s="228">
        <v>269.35000000000002</v>
      </c>
      <c r="AQ160" s="228">
        <v>0</v>
      </c>
      <c r="AR160" s="230">
        <v>9733700</v>
      </c>
      <c r="AS160" s="230">
        <v>12427900</v>
      </c>
      <c r="AT160" s="230">
        <v>-2694200</v>
      </c>
      <c r="AU160" s="229">
        <v>-0.21679999999999999</v>
      </c>
      <c r="AV160" s="230">
        <v>9036400</v>
      </c>
      <c r="AW160" s="230">
        <v>11983300</v>
      </c>
      <c r="AX160" s="230">
        <v>-2946900</v>
      </c>
      <c r="AY160" s="229">
        <v>-0.24590000000000001</v>
      </c>
      <c r="AZ160" s="230">
        <v>661200</v>
      </c>
      <c r="BA160" s="230">
        <v>402800</v>
      </c>
      <c r="BB160" s="230">
        <v>258400</v>
      </c>
      <c r="BC160" s="229">
        <v>0.64149999999999996</v>
      </c>
      <c r="BD160" s="230">
        <v>36100</v>
      </c>
      <c r="BE160" s="230">
        <v>41800</v>
      </c>
      <c r="BF160" s="230">
        <v>-5700</v>
      </c>
      <c r="BG160" s="229">
        <v>-0.13639999999999999</v>
      </c>
      <c r="BH160" s="230">
        <v>31190400</v>
      </c>
      <c r="BI160" s="230">
        <v>17107600</v>
      </c>
      <c r="BJ160" s="230">
        <v>14082800</v>
      </c>
      <c r="BK160" s="229">
        <v>0.82320000000000004</v>
      </c>
      <c r="BL160" s="230">
        <v>7647500</v>
      </c>
      <c r="BM160" s="230">
        <v>9241600</v>
      </c>
      <c r="BN160" s="230">
        <v>-1594100</v>
      </c>
      <c r="BO160" s="229">
        <v>-0.17249999999999999</v>
      </c>
      <c r="BP160" s="230">
        <v>48571600</v>
      </c>
      <c r="BQ160" s="230">
        <v>38777100</v>
      </c>
      <c r="BR160" s="230">
        <v>9794500</v>
      </c>
      <c r="BS160" s="229">
        <v>0.25259999999999999</v>
      </c>
      <c r="BT160" s="230">
        <v>10210441</v>
      </c>
      <c r="BU160" s="230">
        <v>9255799</v>
      </c>
      <c r="BV160" s="230">
        <v>954642</v>
      </c>
      <c r="BW160" s="229">
        <v>0.1031</v>
      </c>
      <c r="BX160" s="230">
        <v>36704200</v>
      </c>
      <c r="BY160" s="230">
        <v>35784600</v>
      </c>
      <c r="BZ160" s="230">
        <v>919600</v>
      </c>
      <c r="CA160" s="229">
        <v>2.5700000000000001E-2</v>
      </c>
      <c r="CB160" s="230">
        <v>35674400</v>
      </c>
      <c r="CC160" s="230">
        <v>34821300</v>
      </c>
      <c r="CD160" s="230">
        <v>853100</v>
      </c>
      <c r="CE160" s="229">
        <v>2.4500000000000001E-2</v>
      </c>
      <c r="CF160" s="230">
        <v>953800</v>
      </c>
      <c r="CG160" s="230">
        <v>904400</v>
      </c>
      <c r="CH160" s="230">
        <v>49400</v>
      </c>
      <c r="CI160" s="229">
        <v>5.4600000000000003E-2</v>
      </c>
      <c r="CJ160" s="230">
        <v>76000</v>
      </c>
      <c r="CK160" s="230">
        <v>58900</v>
      </c>
      <c r="CL160" s="230">
        <v>17100</v>
      </c>
      <c r="CM160" s="229">
        <v>0.2903</v>
      </c>
      <c r="CN160" s="230">
        <v>14295600</v>
      </c>
      <c r="CO160" s="230">
        <v>10860400</v>
      </c>
      <c r="CP160" s="230">
        <v>3435200</v>
      </c>
      <c r="CQ160" s="229">
        <v>0.31630000000000003</v>
      </c>
      <c r="CR160" s="230">
        <v>8823600</v>
      </c>
      <c r="CS160" s="230">
        <v>8092100</v>
      </c>
      <c r="CT160" s="230">
        <v>731500</v>
      </c>
      <c r="CU160" s="229">
        <v>9.0399999999999994E-2</v>
      </c>
      <c r="CV160" s="230">
        <v>59823400</v>
      </c>
      <c r="CW160" s="230">
        <v>54737100</v>
      </c>
      <c r="CX160" s="230">
        <v>5086300</v>
      </c>
      <c r="CY160" s="229">
        <v>9.2899999999999996E-2</v>
      </c>
      <c r="CZ160" s="228">
        <v>42.85</v>
      </c>
      <c r="DA160" s="228">
        <v>43.37</v>
      </c>
      <c r="DB160" s="228">
        <v>-0.52</v>
      </c>
      <c r="DC160" s="228">
        <v>-0.52</v>
      </c>
      <c r="DD160" s="228">
        <v>39.409999999999997</v>
      </c>
      <c r="DE160" s="228">
        <v>39.5</v>
      </c>
      <c r="DF160" s="228">
        <v>3.44</v>
      </c>
      <c r="DG160" s="228">
        <v>-0.09</v>
      </c>
      <c r="DH160" s="228">
        <v>42.27</v>
      </c>
      <c r="DI160" s="228">
        <v>41.49</v>
      </c>
      <c r="DJ160" s="228">
        <v>0.78</v>
      </c>
      <c r="DK160" s="228">
        <v>0.78</v>
      </c>
      <c r="DL160" s="228">
        <v>45.22</v>
      </c>
      <c r="DM160" s="228">
        <v>46.84</v>
      </c>
      <c r="DN160" s="228">
        <v>-1.62</v>
      </c>
      <c r="DO160" s="228">
        <v>-1.62</v>
      </c>
      <c r="DP160" s="228">
        <v>0.62</v>
      </c>
      <c r="DQ160" s="228">
        <v>0.75</v>
      </c>
      <c r="DR160" s="228">
        <v>-0.13</v>
      </c>
      <c r="DS160" s="229">
        <v>-0.17330000000000001</v>
      </c>
      <c r="DT160" s="228">
        <v>300</v>
      </c>
      <c r="DU160" s="228">
        <v>250</v>
      </c>
      <c r="DV160" s="228">
        <v>0.25</v>
      </c>
      <c r="DW160" s="228">
        <v>0.54</v>
      </c>
      <c r="DX160" s="228">
        <v>-0.28999999999999998</v>
      </c>
      <c r="DY160" s="229">
        <v>-0.53700000000000003</v>
      </c>
      <c r="DZ160" s="229">
        <v>2.81E-2</v>
      </c>
      <c r="EA160" s="230">
        <v>963300</v>
      </c>
      <c r="EB160" s="229">
        <v>-1.5E-3</v>
      </c>
      <c r="EC160" s="229">
        <v>2.81E-2</v>
      </c>
      <c r="ED160" s="228">
        <v>0.22</v>
      </c>
      <c r="EE160" s="229">
        <v>8.0000000000000004E-4</v>
      </c>
      <c r="EF160" s="230">
        <v>5051600</v>
      </c>
      <c r="EG160" s="230">
        <v>4441510</v>
      </c>
      <c r="EH160" s="229">
        <v>0.13739999999999999</v>
      </c>
      <c r="EI160" s="229">
        <v>0.49469999999999997</v>
      </c>
      <c r="EJ160" s="231">
        <v>91171.07</v>
      </c>
      <c r="EK160" s="231">
        <v>20025.41</v>
      </c>
      <c r="EL160" s="231">
        <v>26197.4</v>
      </c>
      <c r="EM160" s="231">
        <v>3844</v>
      </c>
      <c r="EN160" s="231">
        <v>137393.88</v>
      </c>
      <c r="EO160" s="231">
        <v>106506.88</v>
      </c>
      <c r="EP160" s="231">
        <v>30887</v>
      </c>
      <c r="EQ160" s="229">
        <v>0.28999999999999998</v>
      </c>
      <c r="ER160" s="231">
        <v>40043</v>
      </c>
      <c r="ES160" s="231">
        <v>22645</v>
      </c>
      <c r="ET160" s="231">
        <v>99850</v>
      </c>
      <c r="EU160" s="231">
        <v>112500013</v>
      </c>
      <c r="EV160" s="231">
        <v>162538</v>
      </c>
      <c r="EW160" s="231">
        <v>147071</v>
      </c>
      <c r="EX160" s="231">
        <v>15467</v>
      </c>
      <c r="EY160" s="229">
        <v>0.1052</v>
      </c>
      <c r="EZ160" s="229">
        <v>0.53180000000000005</v>
      </c>
      <c r="FA160" s="227" t="s">
        <v>555</v>
      </c>
      <c r="FB160" s="161">
        <f t="shared" si="3"/>
        <v>0</v>
      </c>
    </row>
    <row r="161" spans="1:158" ht="17.25" thickBot="1" x14ac:dyDescent="0.3">
      <c r="A161" s="226">
        <v>46121</v>
      </c>
      <c r="B161" s="227" t="s">
        <v>175</v>
      </c>
      <c r="C161" s="227" t="s">
        <v>273</v>
      </c>
      <c r="D161" s="228">
        <v>1300</v>
      </c>
      <c r="E161" s="228">
        <v>429.8</v>
      </c>
      <c r="F161" s="228">
        <v>419.7</v>
      </c>
      <c r="G161" s="228">
        <v>10.1</v>
      </c>
      <c r="H161" s="229">
        <v>2.41E-2</v>
      </c>
      <c r="I161" s="228">
        <v>428.05</v>
      </c>
      <c r="J161" s="228">
        <v>417.65</v>
      </c>
      <c r="K161" s="228">
        <v>10.4</v>
      </c>
      <c r="L161" s="229">
        <v>2.4899999999999999E-2</v>
      </c>
      <c r="M161" s="228">
        <v>429.8</v>
      </c>
      <c r="N161" s="228">
        <v>419.7</v>
      </c>
      <c r="O161" s="228">
        <v>10.1</v>
      </c>
      <c r="P161" s="229">
        <v>2.41E-2</v>
      </c>
      <c r="Q161" s="228">
        <v>432.15</v>
      </c>
      <c r="R161" s="228">
        <v>422.1</v>
      </c>
      <c r="S161" s="228">
        <v>10.050000000000001</v>
      </c>
      <c r="T161" s="229">
        <v>2.3800000000000002E-2</v>
      </c>
      <c r="U161" s="228">
        <v>433.05</v>
      </c>
      <c r="V161" s="228">
        <v>423</v>
      </c>
      <c r="W161" s="228">
        <v>10.050000000000001</v>
      </c>
      <c r="X161" s="229">
        <v>2.3800000000000002E-2</v>
      </c>
      <c r="Y161" s="228">
        <v>1.75</v>
      </c>
      <c r="Z161" s="228">
        <v>2.0499999999999998</v>
      </c>
      <c r="AA161" s="228">
        <v>-0.3</v>
      </c>
      <c r="AB161" s="229">
        <v>4.1000000000000003E-3</v>
      </c>
      <c r="AC161" s="228">
        <v>1.75</v>
      </c>
      <c r="AD161" s="228">
        <v>2.0499999999999998</v>
      </c>
      <c r="AE161" s="228">
        <v>-0.3</v>
      </c>
      <c r="AF161" s="229">
        <v>4.1000000000000003E-3</v>
      </c>
      <c r="AG161" s="228">
        <v>4.0999999999999996</v>
      </c>
      <c r="AH161" s="228">
        <v>4.45</v>
      </c>
      <c r="AI161" s="228">
        <v>-0.35</v>
      </c>
      <c r="AJ161" s="229">
        <v>9.5999999999999992E-3</v>
      </c>
      <c r="AK161" s="228">
        <v>5</v>
      </c>
      <c r="AL161" s="228">
        <v>5.35</v>
      </c>
      <c r="AM161" s="228">
        <v>-0.35</v>
      </c>
      <c r="AN161" s="229">
        <v>1.17E-2</v>
      </c>
      <c r="AO161" s="228">
        <v>428.47</v>
      </c>
      <c r="AP161" s="228">
        <v>431.14</v>
      </c>
      <c r="AQ161" s="228">
        <v>0</v>
      </c>
      <c r="AR161" s="230">
        <v>15086500</v>
      </c>
      <c r="AS161" s="230">
        <v>13390000</v>
      </c>
      <c r="AT161" s="230">
        <v>1696500</v>
      </c>
      <c r="AU161" s="229">
        <v>0.12670000000000001</v>
      </c>
      <c r="AV161" s="230">
        <v>13726700</v>
      </c>
      <c r="AW161" s="230">
        <v>11947000</v>
      </c>
      <c r="AX161" s="230">
        <v>1779700</v>
      </c>
      <c r="AY161" s="229">
        <v>0.14899999999999999</v>
      </c>
      <c r="AZ161" s="230">
        <v>1184300</v>
      </c>
      <c r="BA161" s="230">
        <v>1344200</v>
      </c>
      <c r="BB161" s="230">
        <v>-159900</v>
      </c>
      <c r="BC161" s="229">
        <v>-0.11899999999999999</v>
      </c>
      <c r="BD161" s="230">
        <v>175500</v>
      </c>
      <c r="BE161" s="230">
        <v>98800</v>
      </c>
      <c r="BF161" s="230">
        <v>76700</v>
      </c>
      <c r="BG161" s="229">
        <v>0.77629999999999999</v>
      </c>
      <c r="BH161" s="230">
        <v>50459500</v>
      </c>
      <c r="BI161" s="230">
        <v>25266800</v>
      </c>
      <c r="BJ161" s="230">
        <v>25192700</v>
      </c>
      <c r="BK161" s="229">
        <v>0.99709999999999999</v>
      </c>
      <c r="BL161" s="230">
        <v>24456900</v>
      </c>
      <c r="BM161" s="230">
        <v>14812200</v>
      </c>
      <c r="BN161" s="230">
        <v>9644700</v>
      </c>
      <c r="BO161" s="229">
        <v>0.65110000000000001</v>
      </c>
      <c r="BP161" s="230">
        <v>90002900</v>
      </c>
      <c r="BQ161" s="230">
        <v>53469000</v>
      </c>
      <c r="BR161" s="230">
        <v>36533900</v>
      </c>
      <c r="BS161" s="229">
        <v>0.68330000000000002</v>
      </c>
      <c r="BT161" s="230">
        <v>12365707</v>
      </c>
      <c r="BU161" s="230">
        <v>14959698</v>
      </c>
      <c r="BV161" s="230">
        <v>-2593991</v>
      </c>
      <c r="BW161" s="229">
        <v>-0.1734</v>
      </c>
      <c r="BX161" s="230">
        <v>56355000</v>
      </c>
      <c r="BY161" s="230">
        <v>54736500</v>
      </c>
      <c r="BZ161" s="230">
        <v>1618500</v>
      </c>
      <c r="CA161" s="229">
        <v>2.9600000000000001E-2</v>
      </c>
      <c r="CB161" s="230">
        <v>50373700</v>
      </c>
      <c r="CC161" s="230">
        <v>49172500</v>
      </c>
      <c r="CD161" s="230">
        <v>1201200</v>
      </c>
      <c r="CE161" s="229">
        <v>2.4400000000000002E-2</v>
      </c>
      <c r="CF161" s="230">
        <v>5827900</v>
      </c>
      <c r="CG161" s="230">
        <v>5469100</v>
      </c>
      <c r="CH161" s="230">
        <v>358800</v>
      </c>
      <c r="CI161" s="229">
        <v>6.5600000000000006E-2</v>
      </c>
      <c r="CJ161" s="230">
        <v>153400</v>
      </c>
      <c r="CK161" s="230">
        <v>94900</v>
      </c>
      <c r="CL161" s="230">
        <v>58500</v>
      </c>
      <c r="CM161" s="229">
        <v>0.61639999999999995</v>
      </c>
      <c r="CN161" s="230">
        <v>18990400</v>
      </c>
      <c r="CO161" s="230">
        <v>15759900</v>
      </c>
      <c r="CP161" s="230">
        <v>3230500</v>
      </c>
      <c r="CQ161" s="229">
        <v>0.20499999999999999</v>
      </c>
      <c r="CR161" s="230">
        <v>14167400</v>
      </c>
      <c r="CS161" s="230">
        <v>11872900</v>
      </c>
      <c r="CT161" s="230">
        <v>2294500</v>
      </c>
      <c r="CU161" s="229">
        <v>0.1933</v>
      </c>
      <c r="CV161" s="230">
        <v>89512800</v>
      </c>
      <c r="CW161" s="230">
        <v>82369300</v>
      </c>
      <c r="CX161" s="230">
        <v>7143500</v>
      </c>
      <c r="CY161" s="229">
        <v>8.6699999999999999E-2</v>
      </c>
      <c r="CZ161" s="228">
        <v>35.479999999999997</v>
      </c>
      <c r="DA161" s="228">
        <v>35.04</v>
      </c>
      <c r="DB161" s="228">
        <v>0.44</v>
      </c>
      <c r="DC161" s="228">
        <v>0.44</v>
      </c>
      <c r="DD161" s="228">
        <v>42.44</v>
      </c>
      <c r="DE161" s="228">
        <v>42.43</v>
      </c>
      <c r="DF161" s="228">
        <v>-6.96</v>
      </c>
      <c r="DG161" s="228">
        <v>0.01</v>
      </c>
      <c r="DH161" s="228">
        <v>34.979999999999997</v>
      </c>
      <c r="DI161" s="228">
        <v>34.270000000000003</v>
      </c>
      <c r="DJ161" s="228">
        <v>0.71</v>
      </c>
      <c r="DK161" s="228">
        <v>0.71</v>
      </c>
      <c r="DL161" s="228">
        <v>36.5</v>
      </c>
      <c r="DM161" s="228">
        <v>36.340000000000003</v>
      </c>
      <c r="DN161" s="228">
        <v>0.16</v>
      </c>
      <c r="DO161" s="228">
        <v>0.16</v>
      </c>
      <c r="DP161" s="228">
        <v>0.75</v>
      </c>
      <c r="DQ161" s="228">
        <v>0.75</v>
      </c>
      <c r="DR161" s="228">
        <v>0</v>
      </c>
      <c r="DS161" s="229">
        <v>0</v>
      </c>
      <c r="DT161" s="228">
        <v>400</v>
      </c>
      <c r="DU161" s="228">
        <v>400</v>
      </c>
      <c r="DV161" s="228">
        <v>0.48</v>
      </c>
      <c r="DW161" s="228">
        <v>0.59</v>
      </c>
      <c r="DX161" s="228">
        <v>-0.11</v>
      </c>
      <c r="DY161" s="229">
        <v>-0.18640000000000001</v>
      </c>
      <c r="DZ161" s="229">
        <v>0.1061</v>
      </c>
      <c r="EA161" s="230">
        <v>5564000</v>
      </c>
      <c r="EB161" s="229">
        <v>5.4999999999999997E-3</v>
      </c>
      <c r="EC161" s="229">
        <v>0.1061</v>
      </c>
      <c r="ED161" s="228">
        <v>2.67</v>
      </c>
      <c r="EE161" s="229">
        <v>6.1999999999999998E-3</v>
      </c>
      <c r="EF161" s="230">
        <v>4894524</v>
      </c>
      <c r="EG161" s="230">
        <v>9066932</v>
      </c>
      <c r="EH161" s="229">
        <v>-0.4602</v>
      </c>
      <c r="EI161" s="229">
        <v>0.39579999999999999</v>
      </c>
      <c r="EJ161" s="231">
        <v>225755.03</v>
      </c>
      <c r="EK161" s="231">
        <v>103300.88</v>
      </c>
      <c r="EL161" s="231">
        <v>64677.18</v>
      </c>
      <c r="EM161" s="231">
        <v>6766</v>
      </c>
      <c r="EN161" s="231">
        <v>393733.09</v>
      </c>
      <c r="EO161" s="231">
        <v>228369.87</v>
      </c>
      <c r="EP161" s="231">
        <v>165363.22</v>
      </c>
      <c r="EQ161" s="229">
        <v>0.72409999999999997</v>
      </c>
      <c r="ER161" s="231">
        <v>80865</v>
      </c>
      <c r="ES161" s="231">
        <v>56666</v>
      </c>
      <c r="ET161" s="231">
        <v>242356</v>
      </c>
      <c r="EU161" s="231">
        <v>217835555</v>
      </c>
      <c r="EV161" s="231">
        <v>379887</v>
      </c>
      <c r="EW161" s="231">
        <v>342929</v>
      </c>
      <c r="EX161" s="231">
        <v>36958</v>
      </c>
      <c r="EY161" s="229">
        <v>0.10780000000000001</v>
      </c>
      <c r="EZ161" s="229">
        <v>0.41089999999999999</v>
      </c>
      <c r="FA161" s="227" t="s">
        <v>555</v>
      </c>
      <c r="FB161" s="161">
        <f t="shared" si="3"/>
        <v>0</v>
      </c>
    </row>
    <row r="162" spans="1:158" ht="17.25" thickBot="1" x14ac:dyDescent="0.3">
      <c r="A162" s="226">
        <v>46121</v>
      </c>
      <c r="B162" s="227" t="s">
        <v>184</v>
      </c>
      <c r="C162" s="227" t="s">
        <v>678</v>
      </c>
      <c r="D162" s="228">
        <v>950</v>
      </c>
      <c r="E162" s="228">
        <v>479.85</v>
      </c>
      <c r="F162" s="228">
        <v>482.3</v>
      </c>
      <c r="G162" s="228">
        <v>-2.4500000000000002</v>
      </c>
      <c r="H162" s="229">
        <v>-5.1000000000000004E-3</v>
      </c>
      <c r="I162" s="228">
        <v>479.8</v>
      </c>
      <c r="J162" s="228">
        <v>482.35</v>
      </c>
      <c r="K162" s="228">
        <v>-2.5499999999999998</v>
      </c>
      <c r="L162" s="229">
        <v>-5.3E-3</v>
      </c>
      <c r="M162" s="228">
        <v>479.85</v>
      </c>
      <c r="N162" s="228">
        <v>482.3</v>
      </c>
      <c r="O162" s="228">
        <v>-2.4500000000000002</v>
      </c>
      <c r="P162" s="229">
        <v>-5.1000000000000004E-3</v>
      </c>
      <c r="Q162" s="228">
        <v>470.4</v>
      </c>
      <c r="R162" s="228">
        <v>472.4</v>
      </c>
      <c r="S162" s="228">
        <v>-2</v>
      </c>
      <c r="T162" s="229">
        <v>-4.1999999999999997E-3</v>
      </c>
      <c r="U162" s="228">
        <v>464.15</v>
      </c>
      <c r="V162" s="228">
        <v>467.3</v>
      </c>
      <c r="W162" s="228">
        <v>-3.15</v>
      </c>
      <c r="X162" s="229">
        <v>-6.7000000000000002E-3</v>
      </c>
      <c r="Y162" s="228">
        <v>0.05</v>
      </c>
      <c r="Z162" s="228">
        <v>-0.05</v>
      </c>
      <c r="AA162" s="228">
        <v>0.1</v>
      </c>
      <c r="AB162" s="229">
        <v>1E-4</v>
      </c>
      <c r="AC162" s="228">
        <v>0.05</v>
      </c>
      <c r="AD162" s="228">
        <v>-0.05</v>
      </c>
      <c r="AE162" s="228">
        <v>0.1</v>
      </c>
      <c r="AF162" s="229">
        <v>1E-4</v>
      </c>
      <c r="AG162" s="228">
        <v>-9.4</v>
      </c>
      <c r="AH162" s="228">
        <v>-9.9499999999999993</v>
      </c>
      <c r="AI162" s="228">
        <v>0.55000000000000004</v>
      </c>
      <c r="AJ162" s="229">
        <v>-1.9599999999999999E-2</v>
      </c>
      <c r="AK162" s="228">
        <v>-15.65</v>
      </c>
      <c r="AL162" s="228">
        <v>-15.05</v>
      </c>
      <c r="AM162" s="228">
        <v>-0.6</v>
      </c>
      <c r="AN162" s="229">
        <v>-3.2599999999999997E-2</v>
      </c>
      <c r="AO162" s="228">
        <v>472.24</v>
      </c>
      <c r="AP162" s="228">
        <v>461.25</v>
      </c>
      <c r="AQ162" s="228">
        <v>0</v>
      </c>
      <c r="AR162" s="230">
        <v>6542650</v>
      </c>
      <c r="AS162" s="230">
        <v>9015500</v>
      </c>
      <c r="AT162" s="230">
        <v>-2472850</v>
      </c>
      <c r="AU162" s="229">
        <v>-0.27429999999999999</v>
      </c>
      <c r="AV162" s="230">
        <v>5614500</v>
      </c>
      <c r="AW162" s="230">
        <v>8055050</v>
      </c>
      <c r="AX162" s="230">
        <v>-2440550</v>
      </c>
      <c r="AY162" s="229">
        <v>-0.30299999999999999</v>
      </c>
      <c r="AZ162" s="230">
        <v>812250</v>
      </c>
      <c r="BA162" s="230">
        <v>796100</v>
      </c>
      <c r="BB162" s="230">
        <v>16150</v>
      </c>
      <c r="BC162" s="229">
        <v>2.0299999999999999E-2</v>
      </c>
      <c r="BD162" s="230">
        <v>115900</v>
      </c>
      <c r="BE162" s="230">
        <v>164350</v>
      </c>
      <c r="BF162" s="230">
        <v>-48450</v>
      </c>
      <c r="BG162" s="229">
        <v>-0.29480000000000001</v>
      </c>
      <c r="BH162" s="230">
        <v>13943150</v>
      </c>
      <c r="BI162" s="230">
        <v>24864350</v>
      </c>
      <c r="BJ162" s="230">
        <v>-10921200</v>
      </c>
      <c r="BK162" s="229">
        <v>-0.43919999999999998</v>
      </c>
      <c r="BL162" s="230">
        <v>8533850</v>
      </c>
      <c r="BM162" s="230">
        <v>9026900</v>
      </c>
      <c r="BN162" s="230">
        <v>-493050</v>
      </c>
      <c r="BO162" s="229">
        <v>-5.4600000000000003E-2</v>
      </c>
      <c r="BP162" s="230">
        <v>29019650</v>
      </c>
      <c r="BQ162" s="230">
        <v>42906750</v>
      </c>
      <c r="BR162" s="230">
        <v>-13887100</v>
      </c>
      <c r="BS162" s="229">
        <v>-0.32369999999999999</v>
      </c>
      <c r="BT162" s="230">
        <v>6523914</v>
      </c>
      <c r="BU162" s="230">
        <v>9113556</v>
      </c>
      <c r="BV162" s="230">
        <v>-2589642</v>
      </c>
      <c r="BW162" s="229">
        <v>-0.28420000000000001</v>
      </c>
      <c r="BX162" s="230">
        <v>17619650</v>
      </c>
      <c r="BY162" s="230">
        <v>17526550</v>
      </c>
      <c r="BZ162" s="230">
        <v>93100</v>
      </c>
      <c r="CA162" s="229">
        <v>5.3E-3</v>
      </c>
      <c r="CB162" s="230">
        <v>15818450</v>
      </c>
      <c r="CC162" s="230">
        <v>15909650</v>
      </c>
      <c r="CD162" s="230">
        <v>-91200</v>
      </c>
      <c r="CE162" s="229">
        <v>-5.7000000000000002E-3</v>
      </c>
      <c r="CF162" s="230">
        <v>1582700</v>
      </c>
      <c r="CG162" s="230">
        <v>1392700</v>
      </c>
      <c r="CH162" s="230">
        <v>190000</v>
      </c>
      <c r="CI162" s="229">
        <v>0.13639999999999999</v>
      </c>
      <c r="CJ162" s="230">
        <v>218500</v>
      </c>
      <c r="CK162" s="230">
        <v>224200</v>
      </c>
      <c r="CL162" s="230">
        <v>-5700</v>
      </c>
      <c r="CM162" s="229">
        <v>-2.5399999999999999E-2</v>
      </c>
      <c r="CN162" s="230">
        <v>9114300</v>
      </c>
      <c r="CO162" s="230">
        <v>9553200</v>
      </c>
      <c r="CP162" s="230">
        <v>-438900</v>
      </c>
      <c r="CQ162" s="229">
        <v>-4.5900000000000003E-2</v>
      </c>
      <c r="CR162" s="230">
        <v>5643000</v>
      </c>
      <c r="CS162" s="230">
        <v>5388400</v>
      </c>
      <c r="CT162" s="230">
        <v>254600</v>
      </c>
      <c r="CU162" s="229">
        <v>4.7199999999999999E-2</v>
      </c>
      <c r="CV162" s="230">
        <v>32376950</v>
      </c>
      <c r="CW162" s="230">
        <v>32468150</v>
      </c>
      <c r="CX162" s="230">
        <v>-91200</v>
      </c>
      <c r="CY162" s="229">
        <v>-2.8E-3</v>
      </c>
      <c r="CZ162" s="228">
        <v>57.12</v>
      </c>
      <c r="DA162" s="228">
        <v>58.13</v>
      </c>
      <c r="DB162" s="228">
        <v>-1.01</v>
      </c>
      <c r="DC162" s="228">
        <v>-1.01</v>
      </c>
      <c r="DD162" s="228">
        <v>67.510000000000005</v>
      </c>
      <c r="DE162" s="228">
        <v>67.680000000000007</v>
      </c>
      <c r="DF162" s="228">
        <v>-10.39</v>
      </c>
      <c r="DG162" s="228">
        <v>-0.17</v>
      </c>
      <c r="DH162" s="228">
        <v>55.97</v>
      </c>
      <c r="DI162" s="228">
        <v>57.02</v>
      </c>
      <c r="DJ162" s="228">
        <v>-1.05</v>
      </c>
      <c r="DK162" s="228">
        <v>-1.05</v>
      </c>
      <c r="DL162" s="228">
        <v>59</v>
      </c>
      <c r="DM162" s="228">
        <v>61.2</v>
      </c>
      <c r="DN162" s="228">
        <v>-2.2000000000000002</v>
      </c>
      <c r="DO162" s="228">
        <v>-2.2000000000000002</v>
      </c>
      <c r="DP162" s="228">
        <v>0.62</v>
      </c>
      <c r="DQ162" s="228">
        <v>0.56000000000000005</v>
      </c>
      <c r="DR162" s="228">
        <v>0.06</v>
      </c>
      <c r="DS162" s="229">
        <v>0.1071</v>
      </c>
      <c r="DT162" s="228">
        <v>500</v>
      </c>
      <c r="DU162" s="228">
        <v>400</v>
      </c>
      <c r="DV162" s="228">
        <v>0.61</v>
      </c>
      <c r="DW162" s="228">
        <v>0.36</v>
      </c>
      <c r="DX162" s="228">
        <v>0.25</v>
      </c>
      <c r="DY162" s="229">
        <v>0.69440000000000002</v>
      </c>
      <c r="DZ162" s="229">
        <v>0.1022</v>
      </c>
      <c r="EA162" s="230">
        <v>1616900</v>
      </c>
      <c r="EB162" s="229">
        <v>-1.9699999999999999E-2</v>
      </c>
      <c r="EC162" s="229">
        <v>0.1022</v>
      </c>
      <c r="ED162" s="228">
        <v>-10.99</v>
      </c>
      <c r="EE162" s="229">
        <v>-2.3300000000000001E-2</v>
      </c>
      <c r="EF162" s="230">
        <v>1004564</v>
      </c>
      <c r="EG162" s="230">
        <v>2609452</v>
      </c>
      <c r="EH162" s="229">
        <v>-0.61499999999999999</v>
      </c>
      <c r="EI162" s="229">
        <v>0.154</v>
      </c>
      <c r="EJ162" s="231">
        <v>72077.539999999994</v>
      </c>
      <c r="EK162" s="231">
        <v>39915.230000000003</v>
      </c>
      <c r="EL162" s="231">
        <v>30790.09</v>
      </c>
      <c r="EM162" s="231">
        <v>7645</v>
      </c>
      <c r="EN162" s="231">
        <v>142782.85999999999</v>
      </c>
      <c r="EO162" s="231">
        <v>213447.66</v>
      </c>
      <c r="EP162" s="231">
        <v>-70664.800000000003</v>
      </c>
      <c r="EQ162" s="229">
        <v>-0.33110000000000001</v>
      </c>
      <c r="ER162" s="231">
        <v>47833</v>
      </c>
      <c r="ES162" s="231">
        <v>25283</v>
      </c>
      <c r="ET162" s="231">
        <v>84364</v>
      </c>
      <c r="EU162" s="231">
        <v>24101986</v>
      </c>
      <c r="EV162" s="231">
        <v>157480</v>
      </c>
      <c r="EW162" s="231">
        <v>158511</v>
      </c>
      <c r="EX162" s="231">
        <v>-1031</v>
      </c>
      <c r="EY162" s="229">
        <v>-6.4999999999999997E-3</v>
      </c>
      <c r="EZ162" s="229">
        <v>1.3432999999999999</v>
      </c>
      <c r="FA162" s="227" t="s">
        <v>566</v>
      </c>
      <c r="FB162" s="161">
        <f t="shared" ref="FB162:FB194" si="4">BX233-CB233</f>
        <v>0</v>
      </c>
    </row>
    <row r="163" spans="1:158" ht="17.25" thickBot="1" x14ac:dyDescent="0.3">
      <c r="A163" s="226">
        <v>46121</v>
      </c>
      <c r="B163" s="227" t="s">
        <v>206</v>
      </c>
      <c r="C163" s="227" t="s">
        <v>644</v>
      </c>
      <c r="D163" s="228">
        <v>350</v>
      </c>
      <c r="E163" s="231">
        <v>1710.3</v>
      </c>
      <c r="F163" s="231">
        <v>1715.5</v>
      </c>
      <c r="G163" s="228">
        <v>-5.2</v>
      </c>
      <c r="H163" s="229">
        <v>-3.0000000000000001E-3</v>
      </c>
      <c r="I163" s="231">
        <v>1709.9</v>
      </c>
      <c r="J163" s="231">
        <v>1713.1</v>
      </c>
      <c r="K163" s="228">
        <v>-3.2</v>
      </c>
      <c r="L163" s="229">
        <v>-1.9E-3</v>
      </c>
      <c r="M163" s="231">
        <v>1710.3</v>
      </c>
      <c r="N163" s="231">
        <v>1715.5</v>
      </c>
      <c r="O163" s="228">
        <v>-5.2</v>
      </c>
      <c r="P163" s="229">
        <v>-3.0000000000000001E-3</v>
      </c>
      <c r="Q163" s="231">
        <v>1715.8</v>
      </c>
      <c r="R163" s="231">
        <v>1723.5</v>
      </c>
      <c r="S163" s="228">
        <v>-7.7</v>
      </c>
      <c r="T163" s="229">
        <v>-4.4999999999999997E-3</v>
      </c>
      <c r="U163" s="231">
        <v>1726.5</v>
      </c>
      <c r="V163" s="228">
        <v>0</v>
      </c>
      <c r="W163" s="231">
        <v>1726.5</v>
      </c>
      <c r="X163" s="229">
        <v>0</v>
      </c>
      <c r="Y163" s="228">
        <v>0.4</v>
      </c>
      <c r="Z163" s="228">
        <v>2.4</v>
      </c>
      <c r="AA163" s="228">
        <v>-2</v>
      </c>
      <c r="AB163" s="229">
        <v>2.0000000000000001E-4</v>
      </c>
      <c r="AC163" s="228">
        <v>0.4</v>
      </c>
      <c r="AD163" s="228">
        <v>2.4</v>
      </c>
      <c r="AE163" s="228">
        <v>-2</v>
      </c>
      <c r="AF163" s="229">
        <v>2.0000000000000001E-4</v>
      </c>
      <c r="AG163" s="228">
        <v>5.9</v>
      </c>
      <c r="AH163" s="228">
        <v>10.4</v>
      </c>
      <c r="AI163" s="228">
        <v>-4.5</v>
      </c>
      <c r="AJ163" s="229">
        <v>3.5000000000000001E-3</v>
      </c>
      <c r="AK163" s="228">
        <v>16.600000000000001</v>
      </c>
      <c r="AL163" s="228">
        <v>0</v>
      </c>
      <c r="AM163" s="228">
        <v>16.600000000000001</v>
      </c>
      <c r="AN163" s="229">
        <v>9.7000000000000003E-3</v>
      </c>
      <c r="AO163" s="231">
        <v>1711.89</v>
      </c>
      <c r="AP163" s="231">
        <v>1718.89</v>
      </c>
      <c r="AQ163" s="228">
        <v>0</v>
      </c>
      <c r="AR163" s="230">
        <v>559650</v>
      </c>
      <c r="AS163" s="230">
        <v>1021650</v>
      </c>
      <c r="AT163" s="230">
        <v>-462000</v>
      </c>
      <c r="AU163" s="229">
        <v>-0.45219999999999999</v>
      </c>
      <c r="AV163" s="230">
        <v>552650</v>
      </c>
      <c r="AW163" s="230">
        <v>1008700</v>
      </c>
      <c r="AX163" s="230">
        <v>-456050</v>
      </c>
      <c r="AY163" s="229">
        <v>-0.4521</v>
      </c>
      <c r="AZ163" s="230">
        <v>6300</v>
      </c>
      <c r="BA163" s="230">
        <v>12950</v>
      </c>
      <c r="BB163" s="230">
        <v>-6650</v>
      </c>
      <c r="BC163" s="229">
        <v>-0.51349999999999996</v>
      </c>
      <c r="BD163" s="228">
        <v>700</v>
      </c>
      <c r="BE163" s="228">
        <v>0</v>
      </c>
      <c r="BF163" s="228">
        <v>700</v>
      </c>
      <c r="BG163" s="229">
        <v>0</v>
      </c>
      <c r="BH163" s="230">
        <v>292950</v>
      </c>
      <c r="BI163" s="230">
        <v>1439900</v>
      </c>
      <c r="BJ163" s="230">
        <v>-1146950</v>
      </c>
      <c r="BK163" s="229">
        <v>-0.79649999999999999</v>
      </c>
      <c r="BL163" s="230">
        <v>346500</v>
      </c>
      <c r="BM163" s="230">
        <v>900900</v>
      </c>
      <c r="BN163" s="230">
        <v>-554400</v>
      </c>
      <c r="BO163" s="229">
        <v>-0.61539999999999995</v>
      </c>
      <c r="BP163" s="230">
        <v>1199100</v>
      </c>
      <c r="BQ163" s="230">
        <v>3362450</v>
      </c>
      <c r="BR163" s="230">
        <v>-2163350</v>
      </c>
      <c r="BS163" s="229">
        <v>-0.64339999999999997</v>
      </c>
      <c r="BT163" s="230">
        <v>833516</v>
      </c>
      <c r="BU163" s="230">
        <v>1638950</v>
      </c>
      <c r="BV163" s="230">
        <v>-805434</v>
      </c>
      <c r="BW163" s="229">
        <v>-0.4914</v>
      </c>
      <c r="BX163" s="230">
        <v>3831800</v>
      </c>
      <c r="BY163" s="230">
        <v>3890250</v>
      </c>
      <c r="BZ163" s="230">
        <v>-58450</v>
      </c>
      <c r="CA163" s="229">
        <v>-1.4999999999999999E-2</v>
      </c>
      <c r="CB163" s="230">
        <v>3815000</v>
      </c>
      <c r="CC163" s="230">
        <v>3875200</v>
      </c>
      <c r="CD163" s="230">
        <v>-60200</v>
      </c>
      <c r="CE163" s="229">
        <v>-1.55E-2</v>
      </c>
      <c r="CF163" s="230">
        <v>16100</v>
      </c>
      <c r="CG163" s="230">
        <v>15050</v>
      </c>
      <c r="CH163" s="230">
        <v>1050</v>
      </c>
      <c r="CI163" s="229">
        <v>6.9800000000000001E-2</v>
      </c>
      <c r="CJ163" s="228">
        <v>700</v>
      </c>
      <c r="CK163" s="228">
        <v>0</v>
      </c>
      <c r="CL163" s="228">
        <v>700</v>
      </c>
      <c r="CM163" s="229">
        <v>0</v>
      </c>
      <c r="CN163" s="230">
        <v>427350</v>
      </c>
      <c r="CO163" s="230">
        <v>422450</v>
      </c>
      <c r="CP163" s="230">
        <v>4900</v>
      </c>
      <c r="CQ163" s="229">
        <v>1.1599999999999999E-2</v>
      </c>
      <c r="CR163" s="230">
        <v>552650</v>
      </c>
      <c r="CS163" s="230">
        <v>563150</v>
      </c>
      <c r="CT163" s="230">
        <v>-10500</v>
      </c>
      <c r="CU163" s="229">
        <v>-1.8599999999999998E-2</v>
      </c>
      <c r="CV163" s="230">
        <v>4811800</v>
      </c>
      <c r="CW163" s="230">
        <v>4875850</v>
      </c>
      <c r="CX163" s="230">
        <v>-64050</v>
      </c>
      <c r="CY163" s="229">
        <v>-1.3100000000000001E-2</v>
      </c>
      <c r="CZ163" s="228">
        <v>35.96</v>
      </c>
      <c r="DA163" s="228">
        <v>34.35</v>
      </c>
      <c r="DB163" s="228">
        <v>1.61</v>
      </c>
      <c r="DC163" s="228">
        <v>1.61</v>
      </c>
      <c r="DD163" s="228">
        <v>40.21</v>
      </c>
      <c r="DE163" s="228">
        <v>40.32</v>
      </c>
      <c r="DF163" s="228">
        <v>-4.25</v>
      </c>
      <c r="DG163" s="228">
        <v>-0.11</v>
      </c>
      <c r="DH163" s="228">
        <v>31.68</v>
      </c>
      <c r="DI163" s="228">
        <v>32.31</v>
      </c>
      <c r="DJ163" s="228">
        <v>-0.63</v>
      </c>
      <c r="DK163" s="228">
        <v>-0.63</v>
      </c>
      <c r="DL163" s="228">
        <v>39.58</v>
      </c>
      <c r="DM163" s="228">
        <v>37.619999999999997</v>
      </c>
      <c r="DN163" s="228">
        <v>1.96</v>
      </c>
      <c r="DO163" s="228">
        <v>1.96</v>
      </c>
      <c r="DP163" s="228">
        <v>1.29</v>
      </c>
      <c r="DQ163" s="228">
        <v>1.33</v>
      </c>
      <c r="DR163" s="228">
        <v>-0.04</v>
      </c>
      <c r="DS163" s="229">
        <v>-3.0099999999999998E-2</v>
      </c>
      <c r="DT163" s="231">
        <v>1700</v>
      </c>
      <c r="DU163" s="231">
        <v>1500</v>
      </c>
      <c r="DV163" s="228">
        <v>1.18</v>
      </c>
      <c r="DW163" s="228">
        <v>0.63</v>
      </c>
      <c r="DX163" s="228">
        <v>0.55000000000000004</v>
      </c>
      <c r="DY163" s="229">
        <v>0.873</v>
      </c>
      <c r="DZ163" s="229">
        <v>4.4000000000000003E-3</v>
      </c>
      <c r="EA163" s="230">
        <v>15050</v>
      </c>
      <c r="EB163" s="229">
        <v>3.2000000000000002E-3</v>
      </c>
      <c r="EC163" s="229">
        <v>4.4000000000000003E-3</v>
      </c>
      <c r="ED163" s="228">
        <v>7</v>
      </c>
      <c r="EE163" s="229">
        <v>4.1000000000000003E-3</v>
      </c>
      <c r="EF163" s="230">
        <v>489089</v>
      </c>
      <c r="EG163" s="230">
        <v>994226</v>
      </c>
      <c r="EH163" s="229">
        <v>-0.5081</v>
      </c>
      <c r="EI163" s="229">
        <v>0.58679999999999999</v>
      </c>
      <c r="EJ163" s="231">
        <v>5201.18</v>
      </c>
      <c r="EK163" s="231">
        <v>5484.35</v>
      </c>
      <c r="EL163" s="231">
        <v>9581.15</v>
      </c>
      <c r="EM163" s="231">
        <v>1612</v>
      </c>
      <c r="EN163" s="231">
        <v>20266.68</v>
      </c>
      <c r="EO163" s="231">
        <v>57433.82</v>
      </c>
      <c r="EP163" s="231">
        <v>-37167.14</v>
      </c>
      <c r="EQ163" s="229">
        <v>-0.64710000000000001</v>
      </c>
      <c r="ER163" s="231">
        <v>7093</v>
      </c>
      <c r="ES163" s="231">
        <v>8574</v>
      </c>
      <c r="ET163" s="231">
        <v>65536</v>
      </c>
      <c r="EU163" s="231">
        <v>21502901</v>
      </c>
      <c r="EV163" s="231">
        <v>81204</v>
      </c>
      <c r="EW163" s="231">
        <v>82447</v>
      </c>
      <c r="EX163" s="231">
        <v>-1243</v>
      </c>
      <c r="EY163" s="229">
        <v>-1.5100000000000001E-2</v>
      </c>
      <c r="EZ163" s="229">
        <v>0.2238</v>
      </c>
      <c r="FA163" s="227" t="s">
        <v>567</v>
      </c>
      <c r="FB163" s="161">
        <f t="shared" si="4"/>
        <v>0</v>
      </c>
    </row>
    <row r="164" spans="1:158" ht="17.25" thickBot="1" x14ac:dyDescent="0.3">
      <c r="A164" s="226">
        <v>46121</v>
      </c>
      <c r="B164" s="227" t="s">
        <v>168</v>
      </c>
      <c r="C164" s="227" t="s">
        <v>274</v>
      </c>
      <c r="D164" s="228">
        <v>500</v>
      </c>
      <c r="E164" s="231">
        <v>1350.4</v>
      </c>
      <c r="F164" s="231">
        <v>1357</v>
      </c>
      <c r="G164" s="228">
        <v>-6.6</v>
      </c>
      <c r="H164" s="229">
        <v>-4.8999999999999998E-3</v>
      </c>
      <c r="I164" s="231">
        <v>1347.4</v>
      </c>
      <c r="J164" s="231">
        <v>1355</v>
      </c>
      <c r="K164" s="228">
        <v>-7.6</v>
      </c>
      <c r="L164" s="229">
        <v>-5.5999999999999999E-3</v>
      </c>
      <c r="M164" s="231">
        <v>1350.4</v>
      </c>
      <c r="N164" s="231">
        <v>1357</v>
      </c>
      <c r="O164" s="228">
        <v>-6.6</v>
      </c>
      <c r="P164" s="229">
        <v>-4.8999999999999998E-3</v>
      </c>
      <c r="Q164" s="231">
        <v>1354.7</v>
      </c>
      <c r="R164" s="231">
        <v>1363.2</v>
      </c>
      <c r="S164" s="228">
        <v>-8.5</v>
      </c>
      <c r="T164" s="229">
        <v>-6.1999999999999998E-3</v>
      </c>
      <c r="U164" s="231">
        <v>1356</v>
      </c>
      <c r="V164" s="231">
        <v>1366.4</v>
      </c>
      <c r="W164" s="228">
        <v>-10.4</v>
      </c>
      <c r="X164" s="229">
        <v>-7.6E-3</v>
      </c>
      <c r="Y164" s="228">
        <v>3</v>
      </c>
      <c r="Z164" s="228">
        <v>2</v>
      </c>
      <c r="AA164" s="228">
        <v>1</v>
      </c>
      <c r="AB164" s="229">
        <v>2.2000000000000001E-3</v>
      </c>
      <c r="AC164" s="228">
        <v>3</v>
      </c>
      <c r="AD164" s="228">
        <v>2</v>
      </c>
      <c r="AE164" s="228">
        <v>1</v>
      </c>
      <c r="AF164" s="229">
        <v>2.2000000000000001E-3</v>
      </c>
      <c r="AG164" s="228">
        <v>7.3</v>
      </c>
      <c r="AH164" s="228">
        <v>8.1999999999999993</v>
      </c>
      <c r="AI164" s="228">
        <v>-0.9</v>
      </c>
      <c r="AJ164" s="229">
        <v>5.4000000000000003E-3</v>
      </c>
      <c r="AK164" s="228">
        <v>8.6</v>
      </c>
      <c r="AL164" s="228">
        <v>11.4</v>
      </c>
      <c r="AM164" s="228">
        <v>-2.8</v>
      </c>
      <c r="AN164" s="229">
        <v>6.4000000000000003E-3</v>
      </c>
      <c r="AO164" s="231">
        <v>1348.26</v>
      </c>
      <c r="AP164" s="231">
        <v>1355.28</v>
      </c>
      <c r="AQ164" s="228">
        <v>0</v>
      </c>
      <c r="AR164" s="230">
        <v>777500</v>
      </c>
      <c r="AS164" s="230">
        <v>1490000</v>
      </c>
      <c r="AT164" s="230">
        <v>-712500</v>
      </c>
      <c r="AU164" s="229">
        <v>-0.47820000000000001</v>
      </c>
      <c r="AV164" s="230">
        <v>745000</v>
      </c>
      <c r="AW164" s="230">
        <v>1426500</v>
      </c>
      <c r="AX164" s="230">
        <v>-681500</v>
      </c>
      <c r="AY164" s="229">
        <v>-0.47770000000000001</v>
      </c>
      <c r="AZ164" s="230">
        <v>32000</v>
      </c>
      <c r="BA164" s="230">
        <v>57500</v>
      </c>
      <c r="BB164" s="230">
        <v>-25500</v>
      </c>
      <c r="BC164" s="229">
        <v>-0.44350000000000001</v>
      </c>
      <c r="BD164" s="228">
        <v>500</v>
      </c>
      <c r="BE164" s="230">
        <v>6000</v>
      </c>
      <c r="BF164" s="230">
        <v>-5500</v>
      </c>
      <c r="BG164" s="229">
        <v>-0.91669999999999996</v>
      </c>
      <c r="BH164" s="230">
        <v>744500</v>
      </c>
      <c r="BI164" s="230">
        <v>2345500</v>
      </c>
      <c r="BJ164" s="230">
        <v>-1601000</v>
      </c>
      <c r="BK164" s="229">
        <v>-0.68259999999999998</v>
      </c>
      <c r="BL164" s="230">
        <v>773000</v>
      </c>
      <c r="BM164" s="230">
        <v>1034000</v>
      </c>
      <c r="BN164" s="230">
        <v>-261000</v>
      </c>
      <c r="BO164" s="229">
        <v>-0.25240000000000001</v>
      </c>
      <c r="BP164" s="230">
        <v>2295000</v>
      </c>
      <c r="BQ164" s="230">
        <v>4869500</v>
      </c>
      <c r="BR164" s="230">
        <v>-2574500</v>
      </c>
      <c r="BS164" s="229">
        <v>-0.52869999999999995</v>
      </c>
      <c r="BT164" s="230">
        <v>1117586</v>
      </c>
      <c r="BU164" s="230">
        <v>2921463</v>
      </c>
      <c r="BV164" s="230">
        <v>-1803877</v>
      </c>
      <c r="BW164" s="229">
        <v>-0.61750000000000005</v>
      </c>
      <c r="BX164" s="230">
        <v>7837000</v>
      </c>
      <c r="BY164" s="230">
        <v>7833500</v>
      </c>
      <c r="BZ164" s="230">
        <v>3500</v>
      </c>
      <c r="CA164" s="229">
        <v>4.0000000000000002E-4</v>
      </c>
      <c r="CB164" s="230">
        <v>7742500</v>
      </c>
      <c r="CC164" s="230">
        <v>7745500</v>
      </c>
      <c r="CD164" s="230">
        <v>-3000</v>
      </c>
      <c r="CE164" s="229">
        <v>-4.0000000000000002E-4</v>
      </c>
      <c r="CF164" s="230">
        <v>89500</v>
      </c>
      <c r="CG164" s="230">
        <v>83500</v>
      </c>
      <c r="CH164" s="230">
        <v>6000</v>
      </c>
      <c r="CI164" s="229">
        <v>7.1900000000000006E-2</v>
      </c>
      <c r="CJ164" s="230">
        <v>5000</v>
      </c>
      <c r="CK164" s="230">
        <v>4500</v>
      </c>
      <c r="CL164" s="228">
        <v>500</v>
      </c>
      <c r="CM164" s="229">
        <v>0.1111</v>
      </c>
      <c r="CN164" s="230">
        <v>960500</v>
      </c>
      <c r="CO164" s="230">
        <v>950000</v>
      </c>
      <c r="CP164" s="230">
        <v>10500</v>
      </c>
      <c r="CQ164" s="229">
        <v>1.11E-2</v>
      </c>
      <c r="CR164" s="230">
        <v>805000</v>
      </c>
      <c r="CS164" s="230">
        <v>813000</v>
      </c>
      <c r="CT164" s="230">
        <v>-8000</v>
      </c>
      <c r="CU164" s="229">
        <v>-9.7999999999999997E-3</v>
      </c>
      <c r="CV164" s="230">
        <v>9602500</v>
      </c>
      <c r="CW164" s="230">
        <v>9596500</v>
      </c>
      <c r="CX164" s="230">
        <v>6000</v>
      </c>
      <c r="CY164" s="229">
        <v>5.9999999999999995E-4</v>
      </c>
      <c r="CZ164" s="228">
        <v>29.59</v>
      </c>
      <c r="DA164" s="228">
        <v>28.34</v>
      </c>
      <c r="DB164" s="228">
        <v>1.25</v>
      </c>
      <c r="DC164" s="228">
        <v>1.25</v>
      </c>
      <c r="DD164" s="228">
        <v>25.53</v>
      </c>
      <c r="DE164" s="228">
        <v>25.58</v>
      </c>
      <c r="DF164" s="228">
        <v>4.0599999999999996</v>
      </c>
      <c r="DG164" s="228">
        <v>-0.05</v>
      </c>
      <c r="DH164" s="228">
        <v>28.02</v>
      </c>
      <c r="DI164" s="228">
        <v>27.82</v>
      </c>
      <c r="DJ164" s="228">
        <v>0.2</v>
      </c>
      <c r="DK164" s="228">
        <v>0.2</v>
      </c>
      <c r="DL164" s="228">
        <v>31.1</v>
      </c>
      <c r="DM164" s="228">
        <v>29.55</v>
      </c>
      <c r="DN164" s="228">
        <v>1.55</v>
      </c>
      <c r="DO164" s="228">
        <v>1.55</v>
      </c>
      <c r="DP164" s="228">
        <v>0.84</v>
      </c>
      <c r="DQ164" s="228">
        <v>0.86</v>
      </c>
      <c r="DR164" s="228">
        <v>-0.02</v>
      </c>
      <c r="DS164" s="229">
        <v>-2.3300000000000001E-2</v>
      </c>
      <c r="DT164" s="231">
        <v>1400</v>
      </c>
      <c r="DU164" s="231">
        <v>1360</v>
      </c>
      <c r="DV164" s="228">
        <v>1.04</v>
      </c>
      <c r="DW164" s="228">
        <v>0.44</v>
      </c>
      <c r="DX164" s="228">
        <v>0.6</v>
      </c>
      <c r="DY164" s="229">
        <v>1.3635999999999999</v>
      </c>
      <c r="DZ164" s="229">
        <v>1.21E-2</v>
      </c>
      <c r="EA164" s="230">
        <v>88000</v>
      </c>
      <c r="EB164" s="229">
        <v>3.2000000000000002E-3</v>
      </c>
      <c r="EC164" s="229">
        <v>1.21E-2</v>
      </c>
      <c r="ED164" s="228">
        <v>7.02</v>
      </c>
      <c r="EE164" s="229">
        <v>5.1999999999999998E-3</v>
      </c>
      <c r="EF164" s="230">
        <v>713238</v>
      </c>
      <c r="EG164" s="230">
        <v>1917333</v>
      </c>
      <c r="EH164" s="229">
        <v>-0.628</v>
      </c>
      <c r="EI164" s="229">
        <v>0.63819999999999999</v>
      </c>
      <c r="EJ164" s="231">
        <v>10568.42</v>
      </c>
      <c r="EK164" s="231">
        <v>10187.620000000001</v>
      </c>
      <c r="EL164" s="231">
        <v>10484.98</v>
      </c>
      <c r="EM164" s="231">
        <v>1862</v>
      </c>
      <c r="EN164" s="231">
        <v>31241.02</v>
      </c>
      <c r="EO164" s="231">
        <v>67708.13</v>
      </c>
      <c r="EP164" s="231">
        <v>-36467.11</v>
      </c>
      <c r="EQ164" s="229">
        <v>-0.53859999999999997</v>
      </c>
      <c r="ER164" s="231">
        <v>13236</v>
      </c>
      <c r="ES164" s="231">
        <v>10445</v>
      </c>
      <c r="ET164" s="231">
        <v>105835</v>
      </c>
      <c r="EU164" s="231">
        <v>31214205</v>
      </c>
      <c r="EV164" s="231">
        <v>129517</v>
      </c>
      <c r="EW164" s="231">
        <v>129944</v>
      </c>
      <c r="EX164" s="228">
        <v>-427</v>
      </c>
      <c r="EY164" s="229">
        <v>-3.3E-3</v>
      </c>
      <c r="EZ164" s="229">
        <v>0.30759999999999998</v>
      </c>
      <c r="FA164" s="227" t="s">
        <v>566</v>
      </c>
      <c r="FB164" s="161">
        <f t="shared" si="4"/>
        <v>0</v>
      </c>
    </row>
    <row r="165" spans="1:158" ht="17.25" thickBot="1" x14ac:dyDescent="0.3">
      <c r="A165" s="226">
        <v>46121</v>
      </c>
      <c r="B165" s="227" t="s">
        <v>498</v>
      </c>
      <c r="C165" s="227" t="s">
        <v>483</v>
      </c>
      <c r="D165" s="228">
        <v>175</v>
      </c>
      <c r="E165" s="231">
        <v>2893.3</v>
      </c>
      <c r="F165" s="231">
        <v>2885.3</v>
      </c>
      <c r="G165" s="228">
        <v>8</v>
      </c>
      <c r="H165" s="229">
        <v>2.8E-3</v>
      </c>
      <c r="I165" s="231">
        <v>2880.7</v>
      </c>
      <c r="J165" s="231">
        <v>2877</v>
      </c>
      <c r="K165" s="228">
        <v>3.7</v>
      </c>
      <c r="L165" s="229">
        <v>1.2999999999999999E-3</v>
      </c>
      <c r="M165" s="231">
        <v>2893.3</v>
      </c>
      <c r="N165" s="231">
        <v>2885.3</v>
      </c>
      <c r="O165" s="228">
        <v>8</v>
      </c>
      <c r="P165" s="229">
        <v>2.8E-3</v>
      </c>
      <c r="Q165" s="231">
        <v>2885.5</v>
      </c>
      <c r="R165" s="231">
        <v>2879.1</v>
      </c>
      <c r="S165" s="228">
        <v>6.4</v>
      </c>
      <c r="T165" s="229">
        <v>2.2000000000000001E-3</v>
      </c>
      <c r="U165" s="231">
        <v>2856.3</v>
      </c>
      <c r="V165" s="231">
        <v>2864.8</v>
      </c>
      <c r="W165" s="228">
        <v>-8.5</v>
      </c>
      <c r="X165" s="229">
        <v>-3.0000000000000001E-3</v>
      </c>
      <c r="Y165" s="228">
        <v>12.6</v>
      </c>
      <c r="Z165" s="228">
        <v>8.3000000000000007</v>
      </c>
      <c r="AA165" s="228">
        <v>4.3</v>
      </c>
      <c r="AB165" s="229">
        <v>4.4000000000000003E-3</v>
      </c>
      <c r="AC165" s="228">
        <v>12.6</v>
      </c>
      <c r="AD165" s="228">
        <v>8.3000000000000007</v>
      </c>
      <c r="AE165" s="228">
        <v>4.3</v>
      </c>
      <c r="AF165" s="229">
        <v>4.4000000000000003E-3</v>
      </c>
      <c r="AG165" s="228">
        <v>4.8</v>
      </c>
      <c r="AH165" s="228">
        <v>2.1</v>
      </c>
      <c r="AI165" s="228">
        <v>2.7</v>
      </c>
      <c r="AJ165" s="229">
        <v>1.6999999999999999E-3</v>
      </c>
      <c r="AK165" s="228">
        <v>-24.4</v>
      </c>
      <c r="AL165" s="228">
        <v>-12.2</v>
      </c>
      <c r="AM165" s="228">
        <v>-12.2</v>
      </c>
      <c r="AN165" s="229">
        <v>-8.5000000000000006E-3</v>
      </c>
      <c r="AO165" s="231">
        <v>2867.44</v>
      </c>
      <c r="AP165" s="231">
        <v>2863.26</v>
      </c>
      <c r="AQ165" s="228">
        <v>0</v>
      </c>
      <c r="AR165" s="230">
        <v>433475</v>
      </c>
      <c r="AS165" s="230">
        <v>314650</v>
      </c>
      <c r="AT165" s="230">
        <v>118825</v>
      </c>
      <c r="AU165" s="229">
        <v>0.37759999999999999</v>
      </c>
      <c r="AV165" s="230">
        <v>410900</v>
      </c>
      <c r="AW165" s="230">
        <v>288925</v>
      </c>
      <c r="AX165" s="230">
        <v>121975</v>
      </c>
      <c r="AY165" s="229">
        <v>0.42220000000000002</v>
      </c>
      <c r="AZ165" s="230">
        <v>19950</v>
      </c>
      <c r="BA165" s="230">
        <v>23800</v>
      </c>
      <c r="BB165" s="230">
        <v>-3850</v>
      </c>
      <c r="BC165" s="229">
        <v>-0.1618</v>
      </c>
      <c r="BD165" s="230">
        <v>2625</v>
      </c>
      <c r="BE165" s="230">
        <v>1925</v>
      </c>
      <c r="BF165" s="228">
        <v>700</v>
      </c>
      <c r="BG165" s="229">
        <v>0.36359999999999998</v>
      </c>
      <c r="BH165" s="230">
        <v>448525</v>
      </c>
      <c r="BI165" s="230">
        <v>392700</v>
      </c>
      <c r="BJ165" s="230">
        <v>55825</v>
      </c>
      <c r="BK165" s="229">
        <v>0.14219999999999999</v>
      </c>
      <c r="BL165" s="230">
        <v>394275</v>
      </c>
      <c r="BM165" s="230">
        <v>226450</v>
      </c>
      <c r="BN165" s="230">
        <v>167825</v>
      </c>
      <c r="BO165" s="229">
        <v>0.74109999999999998</v>
      </c>
      <c r="BP165" s="230">
        <v>1276275</v>
      </c>
      <c r="BQ165" s="230">
        <v>933800</v>
      </c>
      <c r="BR165" s="230">
        <v>342475</v>
      </c>
      <c r="BS165" s="229">
        <v>0.36680000000000001</v>
      </c>
      <c r="BT165" s="230">
        <v>446613</v>
      </c>
      <c r="BU165" s="230">
        <v>311873</v>
      </c>
      <c r="BV165" s="230">
        <v>134740</v>
      </c>
      <c r="BW165" s="229">
        <v>0.432</v>
      </c>
      <c r="BX165" s="230">
        <v>2605400</v>
      </c>
      <c r="BY165" s="230">
        <v>2670675</v>
      </c>
      <c r="BZ165" s="230">
        <v>-65275</v>
      </c>
      <c r="CA165" s="229">
        <v>-2.4400000000000002E-2</v>
      </c>
      <c r="CB165" s="230">
        <v>2526650</v>
      </c>
      <c r="CC165" s="230">
        <v>2598925</v>
      </c>
      <c r="CD165" s="230">
        <v>-72275</v>
      </c>
      <c r="CE165" s="229">
        <v>-2.7799999999999998E-2</v>
      </c>
      <c r="CF165" s="230">
        <v>75075</v>
      </c>
      <c r="CG165" s="230">
        <v>69650</v>
      </c>
      <c r="CH165" s="230">
        <v>5425</v>
      </c>
      <c r="CI165" s="229">
        <v>7.7899999999999997E-2</v>
      </c>
      <c r="CJ165" s="230">
        <v>3675</v>
      </c>
      <c r="CK165" s="230">
        <v>2100</v>
      </c>
      <c r="CL165" s="230">
        <v>1575</v>
      </c>
      <c r="CM165" s="229">
        <v>0.75</v>
      </c>
      <c r="CN165" s="230">
        <v>495950</v>
      </c>
      <c r="CO165" s="230">
        <v>425775</v>
      </c>
      <c r="CP165" s="230">
        <v>70175</v>
      </c>
      <c r="CQ165" s="229">
        <v>0.1648</v>
      </c>
      <c r="CR165" s="230">
        <v>478800</v>
      </c>
      <c r="CS165" s="230">
        <v>379225</v>
      </c>
      <c r="CT165" s="230">
        <v>99575</v>
      </c>
      <c r="CU165" s="229">
        <v>0.2626</v>
      </c>
      <c r="CV165" s="230">
        <v>3580150</v>
      </c>
      <c r="CW165" s="230">
        <v>3475675</v>
      </c>
      <c r="CX165" s="230">
        <v>104475</v>
      </c>
      <c r="CY165" s="229">
        <v>3.0099999999999998E-2</v>
      </c>
      <c r="CZ165" s="228">
        <v>31.06</v>
      </c>
      <c r="DA165" s="228">
        <v>30.86</v>
      </c>
      <c r="DB165" s="228">
        <v>0.2</v>
      </c>
      <c r="DC165" s="228">
        <v>0.2</v>
      </c>
      <c r="DD165" s="228">
        <v>31.17</v>
      </c>
      <c r="DE165" s="228">
        <v>31.25</v>
      </c>
      <c r="DF165" s="228">
        <v>-0.11</v>
      </c>
      <c r="DG165" s="228">
        <v>-0.08</v>
      </c>
      <c r="DH165" s="228">
        <v>29.57</v>
      </c>
      <c r="DI165" s="228">
        <v>30.95</v>
      </c>
      <c r="DJ165" s="228">
        <v>-1.38</v>
      </c>
      <c r="DK165" s="228">
        <v>-1.38</v>
      </c>
      <c r="DL165" s="228">
        <v>32.76</v>
      </c>
      <c r="DM165" s="228">
        <v>30.72</v>
      </c>
      <c r="DN165" s="228">
        <v>2.04</v>
      </c>
      <c r="DO165" s="228">
        <v>2.04</v>
      </c>
      <c r="DP165" s="228">
        <v>0.97</v>
      </c>
      <c r="DQ165" s="228">
        <v>0.89</v>
      </c>
      <c r="DR165" s="228">
        <v>0.08</v>
      </c>
      <c r="DS165" s="229">
        <v>8.9899999999999994E-2</v>
      </c>
      <c r="DT165" s="231">
        <v>3000</v>
      </c>
      <c r="DU165" s="231">
        <v>2700</v>
      </c>
      <c r="DV165" s="228">
        <v>0.88</v>
      </c>
      <c r="DW165" s="228">
        <v>0.57999999999999996</v>
      </c>
      <c r="DX165" s="228">
        <v>0.3</v>
      </c>
      <c r="DY165" s="229">
        <v>0.51719999999999999</v>
      </c>
      <c r="DZ165" s="229">
        <v>3.0200000000000001E-2</v>
      </c>
      <c r="EA165" s="230">
        <v>71750</v>
      </c>
      <c r="EB165" s="229">
        <v>-2.7000000000000001E-3</v>
      </c>
      <c r="EC165" s="229">
        <v>3.0200000000000001E-2</v>
      </c>
      <c r="ED165" s="228">
        <v>-4.18</v>
      </c>
      <c r="EE165" s="229">
        <v>-1.5E-3</v>
      </c>
      <c r="EF165" s="230">
        <v>233178</v>
      </c>
      <c r="EG165" s="230">
        <v>201340</v>
      </c>
      <c r="EH165" s="229">
        <v>0.15809999999999999</v>
      </c>
      <c r="EI165" s="229">
        <v>0.52210000000000001</v>
      </c>
      <c r="EJ165" s="231">
        <v>13572.69</v>
      </c>
      <c r="EK165" s="231">
        <v>10998.96</v>
      </c>
      <c r="EL165" s="231">
        <v>12428.28</v>
      </c>
      <c r="EM165" s="231">
        <v>1660</v>
      </c>
      <c r="EN165" s="231">
        <v>36999.93</v>
      </c>
      <c r="EO165" s="231">
        <v>27764.27</v>
      </c>
      <c r="EP165" s="231">
        <v>9235.66</v>
      </c>
      <c r="EQ165" s="229">
        <v>0.33260000000000001</v>
      </c>
      <c r="ER165" s="231">
        <v>14833</v>
      </c>
      <c r="ES165" s="231">
        <v>13415</v>
      </c>
      <c r="ET165" s="231">
        <v>75375</v>
      </c>
      <c r="EU165" s="231">
        <v>8178275</v>
      </c>
      <c r="EV165" s="231">
        <v>103624</v>
      </c>
      <c r="EW165" s="231">
        <v>100452</v>
      </c>
      <c r="EX165" s="231">
        <v>3172</v>
      </c>
      <c r="EY165" s="229">
        <v>3.1600000000000003E-2</v>
      </c>
      <c r="EZ165" s="229">
        <v>0.43780000000000002</v>
      </c>
      <c r="FA165" s="227" t="s">
        <v>694</v>
      </c>
      <c r="FB165" s="161">
        <f t="shared" si="4"/>
        <v>0</v>
      </c>
    </row>
    <row r="166" spans="1:158" ht="17.25" thickBot="1" x14ac:dyDescent="0.3">
      <c r="A166" s="226">
        <v>46121</v>
      </c>
      <c r="B166" s="227" t="s">
        <v>172</v>
      </c>
      <c r="C166" s="227" t="s">
        <v>275</v>
      </c>
      <c r="D166" s="228">
        <v>8000</v>
      </c>
      <c r="E166" s="228">
        <v>109.84</v>
      </c>
      <c r="F166" s="228">
        <v>111.73</v>
      </c>
      <c r="G166" s="228">
        <v>-1.89</v>
      </c>
      <c r="H166" s="229">
        <v>-1.6899999999999998E-2</v>
      </c>
      <c r="I166" s="228">
        <v>109.59</v>
      </c>
      <c r="J166" s="228">
        <v>111.14</v>
      </c>
      <c r="K166" s="228">
        <v>-1.55</v>
      </c>
      <c r="L166" s="229">
        <v>-1.3899999999999999E-2</v>
      </c>
      <c r="M166" s="228">
        <v>109.84</v>
      </c>
      <c r="N166" s="228">
        <v>111.73</v>
      </c>
      <c r="O166" s="228">
        <v>-1.89</v>
      </c>
      <c r="P166" s="229">
        <v>-1.6899999999999998E-2</v>
      </c>
      <c r="Q166" s="228">
        <v>110.5</v>
      </c>
      <c r="R166" s="228">
        <v>112.36</v>
      </c>
      <c r="S166" s="228">
        <v>-1.86</v>
      </c>
      <c r="T166" s="229">
        <v>-1.66E-2</v>
      </c>
      <c r="U166" s="228">
        <v>110.99</v>
      </c>
      <c r="V166" s="228">
        <v>112.82</v>
      </c>
      <c r="W166" s="228">
        <v>-1.83</v>
      </c>
      <c r="X166" s="229">
        <v>-1.6199999999999999E-2</v>
      </c>
      <c r="Y166" s="228">
        <v>0.25</v>
      </c>
      <c r="Z166" s="228">
        <v>0.59</v>
      </c>
      <c r="AA166" s="228">
        <v>-0.34</v>
      </c>
      <c r="AB166" s="229">
        <v>2.3E-3</v>
      </c>
      <c r="AC166" s="228">
        <v>0.25</v>
      </c>
      <c r="AD166" s="228">
        <v>0.59</v>
      </c>
      <c r="AE166" s="228">
        <v>-0.34</v>
      </c>
      <c r="AF166" s="229">
        <v>2.3E-3</v>
      </c>
      <c r="AG166" s="228">
        <v>0.91</v>
      </c>
      <c r="AH166" s="228">
        <v>1.22</v>
      </c>
      <c r="AI166" s="228">
        <v>-0.31</v>
      </c>
      <c r="AJ166" s="229">
        <v>8.3000000000000001E-3</v>
      </c>
      <c r="AK166" s="228">
        <v>1.4</v>
      </c>
      <c r="AL166" s="228">
        <v>1.68</v>
      </c>
      <c r="AM166" s="228">
        <v>-0.28000000000000003</v>
      </c>
      <c r="AN166" s="229">
        <v>1.2800000000000001E-2</v>
      </c>
      <c r="AO166" s="228">
        <v>110.55</v>
      </c>
      <c r="AP166" s="228">
        <v>111.23</v>
      </c>
      <c r="AQ166" s="228">
        <v>0</v>
      </c>
      <c r="AR166" s="230">
        <v>48760000</v>
      </c>
      <c r="AS166" s="230">
        <v>72296000</v>
      </c>
      <c r="AT166" s="230">
        <v>-23536000</v>
      </c>
      <c r="AU166" s="229">
        <v>-0.3256</v>
      </c>
      <c r="AV166" s="230">
        <v>43280000</v>
      </c>
      <c r="AW166" s="230">
        <v>64176000</v>
      </c>
      <c r="AX166" s="230">
        <v>-20896000</v>
      </c>
      <c r="AY166" s="229">
        <v>-0.3256</v>
      </c>
      <c r="AZ166" s="230">
        <v>4616000</v>
      </c>
      <c r="BA166" s="230">
        <v>7144000</v>
      </c>
      <c r="BB166" s="230">
        <v>-2528000</v>
      </c>
      <c r="BC166" s="229">
        <v>-0.35389999999999999</v>
      </c>
      <c r="BD166" s="230">
        <v>864000</v>
      </c>
      <c r="BE166" s="230">
        <v>976000</v>
      </c>
      <c r="BF166" s="230">
        <v>-112000</v>
      </c>
      <c r="BG166" s="229">
        <v>-0.1148</v>
      </c>
      <c r="BH166" s="230">
        <v>83312000</v>
      </c>
      <c r="BI166" s="230">
        <v>119776000</v>
      </c>
      <c r="BJ166" s="230">
        <v>-36464000</v>
      </c>
      <c r="BK166" s="229">
        <v>-0.3044</v>
      </c>
      <c r="BL166" s="230">
        <v>52928000</v>
      </c>
      <c r="BM166" s="230">
        <v>61240000</v>
      </c>
      <c r="BN166" s="230">
        <v>-8312000</v>
      </c>
      <c r="BO166" s="229">
        <v>-0.13569999999999999</v>
      </c>
      <c r="BP166" s="230">
        <v>185000000</v>
      </c>
      <c r="BQ166" s="230">
        <v>253312000</v>
      </c>
      <c r="BR166" s="230">
        <v>-68312000</v>
      </c>
      <c r="BS166" s="229">
        <v>-0.2697</v>
      </c>
      <c r="BT166" s="230">
        <v>23100490</v>
      </c>
      <c r="BU166" s="230">
        <v>32357816</v>
      </c>
      <c r="BV166" s="230">
        <v>-9257326</v>
      </c>
      <c r="BW166" s="229">
        <v>-0.28610000000000002</v>
      </c>
      <c r="BX166" s="230">
        <v>285616000</v>
      </c>
      <c r="BY166" s="230">
        <v>279680000</v>
      </c>
      <c r="BZ166" s="230">
        <v>5936000</v>
      </c>
      <c r="CA166" s="229">
        <v>2.12E-2</v>
      </c>
      <c r="CB166" s="230">
        <v>269096000</v>
      </c>
      <c r="CC166" s="230">
        <v>265272000</v>
      </c>
      <c r="CD166" s="230">
        <v>3824000</v>
      </c>
      <c r="CE166" s="229">
        <v>1.44E-2</v>
      </c>
      <c r="CF166" s="230">
        <v>15016000</v>
      </c>
      <c r="CG166" s="230">
        <v>13328000</v>
      </c>
      <c r="CH166" s="230">
        <v>1688000</v>
      </c>
      <c r="CI166" s="229">
        <v>0.12670000000000001</v>
      </c>
      <c r="CJ166" s="230">
        <v>1504000</v>
      </c>
      <c r="CK166" s="230">
        <v>1080000</v>
      </c>
      <c r="CL166" s="230">
        <v>424000</v>
      </c>
      <c r="CM166" s="229">
        <v>0.3926</v>
      </c>
      <c r="CN166" s="230">
        <v>82976000</v>
      </c>
      <c r="CO166" s="230">
        <v>76312000</v>
      </c>
      <c r="CP166" s="230">
        <v>6664000</v>
      </c>
      <c r="CQ166" s="229">
        <v>8.7300000000000003E-2</v>
      </c>
      <c r="CR166" s="230">
        <v>63344000</v>
      </c>
      <c r="CS166" s="230">
        <v>60272000</v>
      </c>
      <c r="CT166" s="230">
        <v>3072000</v>
      </c>
      <c r="CU166" s="229">
        <v>5.0999999999999997E-2</v>
      </c>
      <c r="CV166" s="230">
        <v>431936000</v>
      </c>
      <c r="CW166" s="230">
        <v>416264000</v>
      </c>
      <c r="CX166" s="230">
        <v>15672000</v>
      </c>
      <c r="CY166" s="229">
        <v>3.7600000000000001E-2</v>
      </c>
      <c r="CZ166" s="228">
        <v>38.619999999999997</v>
      </c>
      <c r="DA166" s="228">
        <v>38.409999999999997</v>
      </c>
      <c r="DB166" s="228">
        <v>0.21</v>
      </c>
      <c r="DC166" s="228">
        <v>0.21</v>
      </c>
      <c r="DD166" s="228">
        <v>38.25</v>
      </c>
      <c r="DE166" s="228">
        <v>38.28</v>
      </c>
      <c r="DF166" s="228">
        <v>0.37</v>
      </c>
      <c r="DG166" s="228">
        <v>-0.03</v>
      </c>
      <c r="DH166" s="228">
        <v>38.06</v>
      </c>
      <c r="DI166" s="228">
        <v>37</v>
      </c>
      <c r="DJ166" s="228">
        <v>1.06</v>
      </c>
      <c r="DK166" s="228">
        <v>1.06</v>
      </c>
      <c r="DL166" s="228">
        <v>39.5</v>
      </c>
      <c r="DM166" s="228">
        <v>41.15</v>
      </c>
      <c r="DN166" s="228">
        <v>-1.65</v>
      </c>
      <c r="DO166" s="228">
        <v>-1.65</v>
      </c>
      <c r="DP166" s="228">
        <v>0.76</v>
      </c>
      <c r="DQ166" s="228">
        <v>0.79</v>
      </c>
      <c r="DR166" s="228">
        <v>-0.03</v>
      </c>
      <c r="DS166" s="229">
        <v>-3.7999999999999999E-2</v>
      </c>
      <c r="DT166" s="228">
        <v>120</v>
      </c>
      <c r="DU166" s="228">
        <v>110</v>
      </c>
      <c r="DV166" s="228">
        <v>0.64</v>
      </c>
      <c r="DW166" s="228">
        <v>0.51</v>
      </c>
      <c r="DX166" s="228">
        <v>0.13</v>
      </c>
      <c r="DY166" s="229">
        <v>0.25490000000000002</v>
      </c>
      <c r="DZ166" s="229">
        <v>5.7799999999999997E-2</v>
      </c>
      <c r="EA166" s="230">
        <v>14408000</v>
      </c>
      <c r="EB166" s="229">
        <v>6.0000000000000001E-3</v>
      </c>
      <c r="EC166" s="229">
        <v>5.7799999999999997E-2</v>
      </c>
      <c r="ED166" s="228">
        <v>0.68</v>
      </c>
      <c r="EE166" s="229">
        <v>6.1999999999999998E-3</v>
      </c>
      <c r="EF166" s="230">
        <v>7942032</v>
      </c>
      <c r="EG166" s="230">
        <v>15831750</v>
      </c>
      <c r="EH166" s="229">
        <v>-0.49830000000000002</v>
      </c>
      <c r="EI166" s="229">
        <v>0.34379999999999999</v>
      </c>
      <c r="EJ166" s="231">
        <v>98127.41</v>
      </c>
      <c r="EK166" s="231">
        <v>57664.65</v>
      </c>
      <c r="EL166" s="231">
        <v>53947.09</v>
      </c>
      <c r="EM166" s="231">
        <v>7341</v>
      </c>
      <c r="EN166" s="231">
        <v>209739.15</v>
      </c>
      <c r="EO166" s="231">
        <v>286473.45</v>
      </c>
      <c r="EP166" s="231">
        <v>-76734.3</v>
      </c>
      <c r="EQ166" s="229">
        <v>-0.26790000000000003</v>
      </c>
      <c r="ER166" s="231">
        <v>95931</v>
      </c>
      <c r="ES166" s="231">
        <v>67886</v>
      </c>
      <c r="ET166" s="231">
        <v>313837</v>
      </c>
      <c r="EU166" s="231">
        <v>515822637</v>
      </c>
      <c r="EV166" s="231">
        <v>477654</v>
      </c>
      <c r="EW166" s="231">
        <v>465340</v>
      </c>
      <c r="EX166" s="231">
        <v>12314</v>
      </c>
      <c r="EY166" s="229">
        <v>2.6499999999999999E-2</v>
      </c>
      <c r="EZ166" s="229">
        <v>0.83740000000000003</v>
      </c>
      <c r="FA166" s="227" t="s">
        <v>566</v>
      </c>
      <c r="FB166" s="161">
        <f t="shared" si="4"/>
        <v>0</v>
      </c>
    </row>
    <row r="167" spans="1:158" ht="17.25" thickBot="1" x14ac:dyDescent="0.3">
      <c r="A167" s="226">
        <v>46121</v>
      </c>
      <c r="B167" s="227" t="s">
        <v>175</v>
      </c>
      <c r="C167" s="227" t="s">
        <v>668</v>
      </c>
      <c r="D167" s="228">
        <v>650</v>
      </c>
      <c r="E167" s="228">
        <v>867.55</v>
      </c>
      <c r="F167" s="228">
        <v>877.1</v>
      </c>
      <c r="G167" s="228">
        <v>-9.5500000000000007</v>
      </c>
      <c r="H167" s="229">
        <v>-1.09E-2</v>
      </c>
      <c r="I167" s="228">
        <v>862.95</v>
      </c>
      <c r="J167" s="228">
        <v>873.3</v>
      </c>
      <c r="K167" s="228">
        <v>-10.35</v>
      </c>
      <c r="L167" s="229">
        <v>-1.1900000000000001E-2</v>
      </c>
      <c r="M167" s="228">
        <v>867.55</v>
      </c>
      <c r="N167" s="228">
        <v>877.1</v>
      </c>
      <c r="O167" s="228">
        <v>-9.5500000000000007</v>
      </c>
      <c r="P167" s="229">
        <v>-1.09E-2</v>
      </c>
      <c r="Q167" s="228">
        <v>871.5</v>
      </c>
      <c r="R167" s="228">
        <v>881.6</v>
      </c>
      <c r="S167" s="228">
        <v>-10.1</v>
      </c>
      <c r="T167" s="229">
        <v>-1.15E-2</v>
      </c>
      <c r="U167" s="228">
        <v>879</v>
      </c>
      <c r="V167" s="228">
        <v>889.35</v>
      </c>
      <c r="W167" s="228">
        <v>-10.35</v>
      </c>
      <c r="X167" s="229">
        <v>-1.1599999999999999E-2</v>
      </c>
      <c r="Y167" s="228">
        <v>4.5999999999999996</v>
      </c>
      <c r="Z167" s="228">
        <v>3.8</v>
      </c>
      <c r="AA167" s="228">
        <v>0.8</v>
      </c>
      <c r="AB167" s="229">
        <v>5.3E-3</v>
      </c>
      <c r="AC167" s="228">
        <v>4.5999999999999996</v>
      </c>
      <c r="AD167" s="228">
        <v>3.8</v>
      </c>
      <c r="AE167" s="228">
        <v>0.8</v>
      </c>
      <c r="AF167" s="229">
        <v>5.3E-3</v>
      </c>
      <c r="AG167" s="228">
        <v>8.5500000000000007</v>
      </c>
      <c r="AH167" s="228">
        <v>8.3000000000000007</v>
      </c>
      <c r="AI167" s="228">
        <v>0.25</v>
      </c>
      <c r="AJ167" s="229">
        <v>9.9000000000000008E-3</v>
      </c>
      <c r="AK167" s="228">
        <v>16.05</v>
      </c>
      <c r="AL167" s="228">
        <v>16.05</v>
      </c>
      <c r="AM167" s="228">
        <v>0</v>
      </c>
      <c r="AN167" s="229">
        <v>1.8599999999999998E-2</v>
      </c>
      <c r="AO167" s="228">
        <v>864.77</v>
      </c>
      <c r="AP167" s="228">
        <v>867.31</v>
      </c>
      <c r="AQ167" s="228">
        <v>0</v>
      </c>
      <c r="AR167" s="230">
        <v>1268150</v>
      </c>
      <c r="AS167" s="230">
        <v>3259100</v>
      </c>
      <c r="AT167" s="230">
        <v>-1990950</v>
      </c>
      <c r="AU167" s="229">
        <v>-0.6109</v>
      </c>
      <c r="AV167" s="230">
        <v>1242800</v>
      </c>
      <c r="AW167" s="230">
        <v>3184350</v>
      </c>
      <c r="AX167" s="230">
        <v>-1941550</v>
      </c>
      <c r="AY167" s="229">
        <v>-0.60970000000000002</v>
      </c>
      <c r="AZ167" s="230">
        <v>23400</v>
      </c>
      <c r="BA167" s="230">
        <v>64350</v>
      </c>
      <c r="BB167" s="230">
        <v>-40950</v>
      </c>
      <c r="BC167" s="229">
        <v>-0.63639999999999997</v>
      </c>
      <c r="BD167" s="230">
        <v>1950</v>
      </c>
      <c r="BE167" s="230">
        <v>10400</v>
      </c>
      <c r="BF167" s="230">
        <v>-8450</v>
      </c>
      <c r="BG167" s="229">
        <v>-0.8125</v>
      </c>
      <c r="BH167" s="230">
        <v>708500</v>
      </c>
      <c r="BI167" s="230">
        <v>2930200</v>
      </c>
      <c r="BJ167" s="230">
        <v>-2221700</v>
      </c>
      <c r="BK167" s="229">
        <v>-0.75819999999999999</v>
      </c>
      <c r="BL167" s="230">
        <v>2553200</v>
      </c>
      <c r="BM167" s="230">
        <v>1229800</v>
      </c>
      <c r="BN167" s="230">
        <v>1323400</v>
      </c>
      <c r="BO167" s="229">
        <v>1.0761000000000001</v>
      </c>
      <c r="BP167" s="230">
        <v>4529850</v>
      </c>
      <c r="BQ167" s="230">
        <v>7419100</v>
      </c>
      <c r="BR167" s="230">
        <v>-2889250</v>
      </c>
      <c r="BS167" s="229">
        <v>-0.38940000000000002</v>
      </c>
      <c r="BT167" s="230">
        <v>725576</v>
      </c>
      <c r="BU167" s="230">
        <v>1089207</v>
      </c>
      <c r="BV167" s="230">
        <v>-363631</v>
      </c>
      <c r="BW167" s="229">
        <v>-0.33379999999999999</v>
      </c>
      <c r="BX167" s="230">
        <v>13499200</v>
      </c>
      <c r="BY167" s="230">
        <v>13580450</v>
      </c>
      <c r="BZ167" s="230">
        <v>-81250</v>
      </c>
      <c r="CA167" s="229">
        <v>-6.0000000000000001E-3</v>
      </c>
      <c r="CB167" s="230">
        <v>13269100</v>
      </c>
      <c r="CC167" s="230">
        <v>13357500</v>
      </c>
      <c r="CD167" s="230">
        <v>-88400</v>
      </c>
      <c r="CE167" s="229">
        <v>-6.6E-3</v>
      </c>
      <c r="CF167" s="230">
        <v>224250</v>
      </c>
      <c r="CG167" s="230">
        <v>217750</v>
      </c>
      <c r="CH167" s="230">
        <v>6500</v>
      </c>
      <c r="CI167" s="229">
        <v>2.9899999999999999E-2</v>
      </c>
      <c r="CJ167" s="230">
        <v>5850</v>
      </c>
      <c r="CK167" s="230">
        <v>5200</v>
      </c>
      <c r="CL167" s="228">
        <v>650</v>
      </c>
      <c r="CM167" s="229">
        <v>0.125</v>
      </c>
      <c r="CN167" s="230">
        <v>1229800</v>
      </c>
      <c r="CO167" s="230">
        <v>1270750</v>
      </c>
      <c r="CP167" s="230">
        <v>-40950</v>
      </c>
      <c r="CQ167" s="229">
        <v>-3.2199999999999999E-2</v>
      </c>
      <c r="CR167" s="230">
        <v>1064700</v>
      </c>
      <c r="CS167" s="230">
        <v>995150</v>
      </c>
      <c r="CT167" s="230">
        <v>69550</v>
      </c>
      <c r="CU167" s="229">
        <v>6.9900000000000004E-2</v>
      </c>
      <c r="CV167" s="230">
        <v>15793700</v>
      </c>
      <c r="CW167" s="230">
        <v>15846350</v>
      </c>
      <c r="CX167" s="230">
        <v>-52650</v>
      </c>
      <c r="CY167" s="229">
        <v>-3.3E-3</v>
      </c>
      <c r="CZ167" s="228">
        <v>56.19</v>
      </c>
      <c r="DA167" s="228">
        <v>43.36</v>
      </c>
      <c r="DB167" s="228">
        <v>12.83</v>
      </c>
      <c r="DC167" s="228">
        <v>12.83</v>
      </c>
      <c r="DD167" s="228">
        <v>47.29</v>
      </c>
      <c r="DE167" s="228">
        <v>47.38</v>
      </c>
      <c r="DF167" s="228">
        <v>8.9</v>
      </c>
      <c r="DG167" s="228">
        <v>-0.09</v>
      </c>
      <c r="DH167" s="228">
        <v>43.32</v>
      </c>
      <c r="DI167" s="228">
        <v>41.6</v>
      </c>
      <c r="DJ167" s="228">
        <v>1.72</v>
      </c>
      <c r="DK167" s="228">
        <v>1.72</v>
      </c>
      <c r="DL167" s="228">
        <v>59.76</v>
      </c>
      <c r="DM167" s="228">
        <v>47.56</v>
      </c>
      <c r="DN167" s="228">
        <v>12.2</v>
      </c>
      <c r="DO167" s="228">
        <v>12.2</v>
      </c>
      <c r="DP167" s="228">
        <v>0.87</v>
      </c>
      <c r="DQ167" s="228">
        <v>0.78</v>
      </c>
      <c r="DR167" s="228">
        <v>0.09</v>
      </c>
      <c r="DS167" s="229">
        <v>0.1154</v>
      </c>
      <c r="DT167" s="228">
        <v>900</v>
      </c>
      <c r="DU167" s="228">
        <v>700</v>
      </c>
      <c r="DV167" s="228">
        <v>3.6</v>
      </c>
      <c r="DW167" s="228">
        <v>0.42</v>
      </c>
      <c r="DX167" s="228">
        <v>3.18</v>
      </c>
      <c r="DY167" s="229">
        <v>7.5713999999999997</v>
      </c>
      <c r="DZ167" s="229">
        <v>1.7000000000000001E-2</v>
      </c>
      <c r="EA167" s="230">
        <v>222950</v>
      </c>
      <c r="EB167" s="229">
        <v>4.5999999999999999E-3</v>
      </c>
      <c r="EC167" s="229">
        <v>1.7000000000000001E-2</v>
      </c>
      <c r="ED167" s="228">
        <v>2.54</v>
      </c>
      <c r="EE167" s="229">
        <v>2.8999999999999998E-3</v>
      </c>
      <c r="EF167" s="230">
        <v>309143</v>
      </c>
      <c r="EG167" s="230">
        <v>436249</v>
      </c>
      <c r="EH167" s="229">
        <v>-0.29139999999999999</v>
      </c>
      <c r="EI167" s="229">
        <v>0.42609999999999998</v>
      </c>
      <c r="EJ167" s="231">
        <v>6507.55</v>
      </c>
      <c r="EK167" s="231">
        <v>18035.62</v>
      </c>
      <c r="EL167" s="231">
        <v>10967.44</v>
      </c>
      <c r="EM167" s="231">
        <v>2554</v>
      </c>
      <c r="EN167" s="231">
        <v>35510.61</v>
      </c>
      <c r="EO167" s="231">
        <v>65397.01</v>
      </c>
      <c r="EP167" s="231">
        <v>-29886.400000000001</v>
      </c>
      <c r="EQ167" s="229">
        <v>-0.45700000000000002</v>
      </c>
      <c r="ER167" s="231">
        <v>10667</v>
      </c>
      <c r="ES167" s="231">
        <v>8238</v>
      </c>
      <c r="ET167" s="231">
        <v>117122</v>
      </c>
      <c r="EU167" s="231">
        <v>28118603</v>
      </c>
      <c r="EV167" s="231">
        <v>136026</v>
      </c>
      <c r="EW167" s="231">
        <v>137864</v>
      </c>
      <c r="EX167" s="231">
        <v>-1838</v>
      </c>
      <c r="EY167" s="229">
        <v>-1.3299999999999999E-2</v>
      </c>
      <c r="EZ167" s="229">
        <v>0.56169999999999998</v>
      </c>
      <c r="FA167" s="227" t="s">
        <v>567</v>
      </c>
      <c r="FB167" s="161">
        <f t="shared" si="4"/>
        <v>0</v>
      </c>
    </row>
    <row r="168" spans="1:158" ht="17.25" thickBot="1" x14ac:dyDescent="0.3">
      <c r="A168" s="226">
        <v>46121</v>
      </c>
      <c r="B168" s="227" t="s">
        <v>614</v>
      </c>
      <c r="C168" s="227" t="s">
        <v>572</v>
      </c>
      <c r="D168" s="228">
        <v>350</v>
      </c>
      <c r="E168" s="231">
        <v>1500</v>
      </c>
      <c r="F168" s="231">
        <v>1505.6</v>
      </c>
      <c r="G168" s="228">
        <v>-5.6</v>
      </c>
      <c r="H168" s="229">
        <v>-3.7000000000000002E-3</v>
      </c>
      <c r="I168" s="231">
        <v>1493.3</v>
      </c>
      <c r="J168" s="231">
        <v>1498.5</v>
      </c>
      <c r="K168" s="228">
        <v>-5.2</v>
      </c>
      <c r="L168" s="229">
        <v>-3.5000000000000001E-3</v>
      </c>
      <c r="M168" s="231">
        <v>1500</v>
      </c>
      <c r="N168" s="231">
        <v>1505.6</v>
      </c>
      <c r="O168" s="228">
        <v>-5.6</v>
      </c>
      <c r="P168" s="229">
        <v>-3.7000000000000002E-3</v>
      </c>
      <c r="Q168" s="231">
        <v>1507.5</v>
      </c>
      <c r="R168" s="231">
        <v>1514.7</v>
      </c>
      <c r="S168" s="228">
        <v>-7.2</v>
      </c>
      <c r="T168" s="229">
        <v>-4.7999999999999996E-3</v>
      </c>
      <c r="U168" s="231">
        <v>1509</v>
      </c>
      <c r="V168" s="231">
        <v>1515</v>
      </c>
      <c r="W168" s="228">
        <v>-6</v>
      </c>
      <c r="X168" s="229">
        <v>-4.0000000000000001E-3</v>
      </c>
      <c r="Y168" s="228">
        <v>6.7</v>
      </c>
      <c r="Z168" s="228">
        <v>7.1</v>
      </c>
      <c r="AA168" s="228">
        <v>-0.4</v>
      </c>
      <c r="AB168" s="229">
        <v>4.4999999999999997E-3</v>
      </c>
      <c r="AC168" s="228">
        <v>6.7</v>
      </c>
      <c r="AD168" s="228">
        <v>7.1</v>
      </c>
      <c r="AE168" s="228">
        <v>-0.4</v>
      </c>
      <c r="AF168" s="229">
        <v>4.4999999999999997E-3</v>
      </c>
      <c r="AG168" s="228">
        <v>14.2</v>
      </c>
      <c r="AH168" s="228">
        <v>16.2</v>
      </c>
      <c r="AI168" s="228">
        <v>-2</v>
      </c>
      <c r="AJ168" s="229">
        <v>9.4999999999999998E-3</v>
      </c>
      <c r="AK168" s="228">
        <v>15.7</v>
      </c>
      <c r="AL168" s="228">
        <v>16.5</v>
      </c>
      <c r="AM168" s="228">
        <v>-0.8</v>
      </c>
      <c r="AN168" s="229">
        <v>1.0500000000000001E-2</v>
      </c>
      <c r="AO168" s="231">
        <v>1498.49</v>
      </c>
      <c r="AP168" s="231">
        <v>1509.21</v>
      </c>
      <c r="AQ168" s="228">
        <v>0</v>
      </c>
      <c r="AR168" s="230">
        <v>793800</v>
      </c>
      <c r="AS168" s="230">
        <v>830200</v>
      </c>
      <c r="AT168" s="230">
        <v>-36400</v>
      </c>
      <c r="AU168" s="229">
        <v>-4.3799999999999999E-2</v>
      </c>
      <c r="AV168" s="230">
        <v>773150</v>
      </c>
      <c r="AW168" s="230">
        <v>800100</v>
      </c>
      <c r="AX168" s="230">
        <v>-26950</v>
      </c>
      <c r="AY168" s="229">
        <v>-3.3700000000000001E-2</v>
      </c>
      <c r="AZ168" s="230">
        <v>18900</v>
      </c>
      <c r="BA168" s="230">
        <v>29050</v>
      </c>
      <c r="BB168" s="230">
        <v>-10150</v>
      </c>
      <c r="BC168" s="229">
        <v>-0.34939999999999999</v>
      </c>
      <c r="BD168" s="230">
        <v>1750</v>
      </c>
      <c r="BE168" s="230">
        <v>1050</v>
      </c>
      <c r="BF168" s="228">
        <v>700</v>
      </c>
      <c r="BG168" s="229">
        <v>0.66669999999999996</v>
      </c>
      <c r="BH168" s="230">
        <v>894250</v>
      </c>
      <c r="BI168" s="230">
        <v>969500</v>
      </c>
      <c r="BJ168" s="230">
        <v>-75250</v>
      </c>
      <c r="BK168" s="229">
        <v>-7.7600000000000002E-2</v>
      </c>
      <c r="BL168" s="230">
        <v>381150</v>
      </c>
      <c r="BM168" s="230">
        <v>478800</v>
      </c>
      <c r="BN168" s="230">
        <v>-97650</v>
      </c>
      <c r="BO168" s="229">
        <v>-0.2039</v>
      </c>
      <c r="BP168" s="230">
        <v>2069200</v>
      </c>
      <c r="BQ168" s="230">
        <v>2278500</v>
      </c>
      <c r="BR168" s="230">
        <v>-209300</v>
      </c>
      <c r="BS168" s="229">
        <v>-9.1899999999999996E-2</v>
      </c>
      <c r="BT168" s="230">
        <v>919167</v>
      </c>
      <c r="BU168" s="230">
        <v>1285749</v>
      </c>
      <c r="BV168" s="230">
        <v>-366582</v>
      </c>
      <c r="BW168" s="229">
        <v>-0.28510000000000002</v>
      </c>
      <c r="BX168" s="230">
        <v>7868000</v>
      </c>
      <c r="BY168" s="230">
        <v>7696850</v>
      </c>
      <c r="BZ168" s="230">
        <v>171150</v>
      </c>
      <c r="CA168" s="229">
        <v>2.2200000000000001E-2</v>
      </c>
      <c r="CB168" s="230">
        <v>7815150</v>
      </c>
      <c r="CC168" s="230">
        <v>7647150</v>
      </c>
      <c r="CD168" s="230">
        <v>168000</v>
      </c>
      <c r="CE168" s="229">
        <v>2.1999999999999999E-2</v>
      </c>
      <c r="CF168" s="230">
        <v>47950</v>
      </c>
      <c r="CG168" s="230">
        <v>45500</v>
      </c>
      <c r="CH168" s="230">
        <v>2450</v>
      </c>
      <c r="CI168" s="229">
        <v>5.3800000000000001E-2</v>
      </c>
      <c r="CJ168" s="230">
        <v>4900</v>
      </c>
      <c r="CK168" s="230">
        <v>4200</v>
      </c>
      <c r="CL168" s="228">
        <v>700</v>
      </c>
      <c r="CM168" s="229">
        <v>0.16669999999999999</v>
      </c>
      <c r="CN168" s="230">
        <v>1005900</v>
      </c>
      <c r="CO168" s="230">
        <v>973000</v>
      </c>
      <c r="CP168" s="230">
        <v>32900</v>
      </c>
      <c r="CQ168" s="229">
        <v>3.3799999999999997E-2</v>
      </c>
      <c r="CR168" s="230">
        <v>912100</v>
      </c>
      <c r="CS168" s="230">
        <v>876400</v>
      </c>
      <c r="CT168" s="230">
        <v>35700</v>
      </c>
      <c r="CU168" s="229">
        <v>4.07E-2</v>
      </c>
      <c r="CV168" s="230">
        <v>9786000</v>
      </c>
      <c r="CW168" s="230">
        <v>9546250</v>
      </c>
      <c r="CX168" s="230">
        <v>239750</v>
      </c>
      <c r="CY168" s="229">
        <v>2.5100000000000001E-2</v>
      </c>
      <c r="CZ168" s="228">
        <v>39.94</v>
      </c>
      <c r="DA168" s="228">
        <v>40.03</v>
      </c>
      <c r="DB168" s="228">
        <v>-0.09</v>
      </c>
      <c r="DC168" s="228">
        <v>-0.09</v>
      </c>
      <c r="DD168" s="228">
        <v>45.44</v>
      </c>
      <c r="DE168" s="228">
        <v>45.55</v>
      </c>
      <c r="DF168" s="228">
        <v>-5.5</v>
      </c>
      <c r="DG168" s="228">
        <v>-0.11</v>
      </c>
      <c r="DH168" s="228">
        <v>39.020000000000003</v>
      </c>
      <c r="DI168" s="228">
        <v>39.06</v>
      </c>
      <c r="DJ168" s="228">
        <v>-0.04</v>
      </c>
      <c r="DK168" s="228">
        <v>-0.04</v>
      </c>
      <c r="DL168" s="228">
        <v>42.11</v>
      </c>
      <c r="DM168" s="228">
        <v>41.98</v>
      </c>
      <c r="DN168" s="228">
        <v>0.13</v>
      </c>
      <c r="DO168" s="228">
        <v>0.13</v>
      </c>
      <c r="DP168" s="228">
        <v>0.91</v>
      </c>
      <c r="DQ168" s="228">
        <v>0.9</v>
      </c>
      <c r="DR168" s="228">
        <v>0.01</v>
      </c>
      <c r="DS168" s="229">
        <v>1.11E-2</v>
      </c>
      <c r="DT168" s="231">
        <v>1500</v>
      </c>
      <c r="DU168" s="231">
        <v>1500</v>
      </c>
      <c r="DV168" s="228">
        <v>0.43</v>
      </c>
      <c r="DW168" s="228">
        <v>0.49</v>
      </c>
      <c r="DX168" s="228">
        <v>-0.06</v>
      </c>
      <c r="DY168" s="229">
        <v>-0.12239999999999999</v>
      </c>
      <c r="DZ168" s="229">
        <v>6.7000000000000002E-3</v>
      </c>
      <c r="EA168" s="230">
        <v>49700</v>
      </c>
      <c r="EB168" s="229">
        <v>5.0000000000000001E-3</v>
      </c>
      <c r="EC168" s="229">
        <v>6.7000000000000002E-3</v>
      </c>
      <c r="ED168" s="228">
        <v>10.72</v>
      </c>
      <c r="EE168" s="229">
        <v>7.1999999999999998E-3</v>
      </c>
      <c r="EF168" s="230">
        <v>390181</v>
      </c>
      <c r="EG168" s="230">
        <v>723343</v>
      </c>
      <c r="EH168" s="229">
        <v>-0.46060000000000001</v>
      </c>
      <c r="EI168" s="229">
        <v>0.42449999999999999</v>
      </c>
      <c r="EJ168" s="231">
        <v>14343.08</v>
      </c>
      <c r="EK168" s="231">
        <v>5659.3</v>
      </c>
      <c r="EL168" s="231">
        <v>11897.26</v>
      </c>
      <c r="EM168" s="231">
        <v>2206</v>
      </c>
      <c r="EN168" s="231">
        <v>31899.64</v>
      </c>
      <c r="EO168" s="231">
        <v>35128.559999999998</v>
      </c>
      <c r="EP168" s="231">
        <v>-3228.92</v>
      </c>
      <c r="EQ168" s="229">
        <v>-9.1899999999999996E-2</v>
      </c>
      <c r="ER168" s="231">
        <v>15501</v>
      </c>
      <c r="ES168" s="231">
        <v>13218</v>
      </c>
      <c r="ET168" s="231">
        <v>118024</v>
      </c>
      <c r="EU168" s="231">
        <v>69300607</v>
      </c>
      <c r="EV168" s="231">
        <v>146743</v>
      </c>
      <c r="EW168" s="231">
        <v>143509</v>
      </c>
      <c r="EX168" s="231">
        <v>3234</v>
      </c>
      <c r="EY168" s="229">
        <v>2.2499999999999999E-2</v>
      </c>
      <c r="EZ168" s="229">
        <v>0.14119999999999999</v>
      </c>
      <c r="FA168" s="227" t="s">
        <v>566</v>
      </c>
      <c r="FB168" s="161">
        <f t="shared" si="4"/>
        <v>0</v>
      </c>
    </row>
    <row r="169" spans="1:158" ht="17.25" thickBot="1" x14ac:dyDescent="0.3">
      <c r="A169" s="226">
        <v>46121</v>
      </c>
      <c r="B169" s="227" t="s">
        <v>184</v>
      </c>
      <c r="C169" s="227" t="s">
        <v>519</v>
      </c>
      <c r="D169" s="228">
        <v>125</v>
      </c>
      <c r="E169" s="231">
        <v>7595</v>
      </c>
      <c r="F169" s="231">
        <v>7617.5</v>
      </c>
      <c r="G169" s="228">
        <v>-22.5</v>
      </c>
      <c r="H169" s="229">
        <v>-3.0000000000000001E-3</v>
      </c>
      <c r="I169" s="231">
        <v>7607</v>
      </c>
      <c r="J169" s="231">
        <v>7600.5</v>
      </c>
      <c r="K169" s="228">
        <v>6.5</v>
      </c>
      <c r="L169" s="229">
        <v>8.9999999999999998E-4</v>
      </c>
      <c r="M169" s="231">
        <v>7595</v>
      </c>
      <c r="N169" s="231">
        <v>7617.5</v>
      </c>
      <c r="O169" s="228">
        <v>-22.5</v>
      </c>
      <c r="P169" s="229">
        <v>-3.0000000000000001E-3</v>
      </c>
      <c r="Q169" s="231">
        <v>7572</v>
      </c>
      <c r="R169" s="231">
        <v>7601.5</v>
      </c>
      <c r="S169" s="228">
        <v>-29.5</v>
      </c>
      <c r="T169" s="229">
        <v>-3.8999999999999998E-3</v>
      </c>
      <c r="U169" s="231">
        <v>7540</v>
      </c>
      <c r="V169" s="231">
        <v>7555</v>
      </c>
      <c r="W169" s="228">
        <v>-15</v>
      </c>
      <c r="X169" s="229">
        <v>-2E-3</v>
      </c>
      <c r="Y169" s="228">
        <v>-12</v>
      </c>
      <c r="Z169" s="228">
        <v>17</v>
      </c>
      <c r="AA169" s="228">
        <v>-29</v>
      </c>
      <c r="AB169" s="229">
        <v>-1.6000000000000001E-3</v>
      </c>
      <c r="AC169" s="228">
        <v>-12</v>
      </c>
      <c r="AD169" s="228">
        <v>17</v>
      </c>
      <c r="AE169" s="228">
        <v>-29</v>
      </c>
      <c r="AF169" s="229">
        <v>-1.6000000000000001E-3</v>
      </c>
      <c r="AG169" s="228">
        <v>-35</v>
      </c>
      <c r="AH169" s="228">
        <v>1</v>
      </c>
      <c r="AI169" s="228">
        <v>-36</v>
      </c>
      <c r="AJ169" s="229">
        <v>-4.5999999999999999E-3</v>
      </c>
      <c r="AK169" s="228">
        <v>-67</v>
      </c>
      <c r="AL169" s="228">
        <v>-45.5</v>
      </c>
      <c r="AM169" s="228">
        <v>-21.5</v>
      </c>
      <c r="AN169" s="229">
        <v>-8.8000000000000005E-3</v>
      </c>
      <c r="AO169" s="231">
        <v>7583.42</v>
      </c>
      <c r="AP169" s="231">
        <v>7564.44</v>
      </c>
      <c r="AQ169" s="228">
        <v>0</v>
      </c>
      <c r="AR169" s="230">
        <v>305250</v>
      </c>
      <c r="AS169" s="230">
        <v>728500</v>
      </c>
      <c r="AT169" s="230">
        <v>-423250</v>
      </c>
      <c r="AU169" s="229">
        <v>-0.58099999999999996</v>
      </c>
      <c r="AV169" s="230">
        <v>284625</v>
      </c>
      <c r="AW169" s="230">
        <v>697500</v>
      </c>
      <c r="AX169" s="230">
        <v>-412875</v>
      </c>
      <c r="AY169" s="229">
        <v>-0.59189999999999998</v>
      </c>
      <c r="AZ169" s="230">
        <v>19375</v>
      </c>
      <c r="BA169" s="230">
        <v>29750</v>
      </c>
      <c r="BB169" s="230">
        <v>-10375</v>
      </c>
      <c r="BC169" s="229">
        <v>-0.34870000000000001</v>
      </c>
      <c r="BD169" s="230">
        <v>1250</v>
      </c>
      <c r="BE169" s="230">
        <v>1250</v>
      </c>
      <c r="BF169" s="228">
        <v>0</v>
      </c>
      <c r="BG169" s="229">
        <v>0</v>
      </c>
      <c r="BH169" s="230">
        <v>834500</v>
      </c>
      <c r="BI169" s="230">
        <v>1648375</v>
      </c>
      <c r="BJ169" s="230">
        <v>-813875</v>
      </c>
      <c r="BK169" s="229">
        <v>-0.49370000000000003</v>
      </c>
      <c r="BL169" s="230">
        <v>714500</v>
      </c>
      <c r="BM169" s="230">
        <v>1449875</v>
      </c>
      <c r="BN169" s="230">
        <v>-735375</v>
      </c>
      <c r="BO169" s="229">
        <v>-0.50719999999999998</v>
      </c>
      <c r="BP169" s="230">
        <v>1854250</v>
      </c>
      <c r="BQ169" s="230">
        <v>3826750</v>
      </c>
      <c r="BR169" s="230">
        <v>-1972500</v>
      </c>
      <c r="BS169" s="229">
        <v>-0.51549999999999996</v>
      </c>
      <c r="BT169" s="230">
        <v>440542</v>
      </c>
      <c r="BU169" s="230">
        <v>758014</v>
      </c>
      <c r="BV169" s="230">
        <v>-317472</v>
      </c>
      <c r="BW169" s="229">
        <v>-0.41880000000000001</v>
      </c>
      <c r="BX169" s="230">
        <v>2026375</v>
      </c>
      <c r="BY169" s="230">
        <v>2044625</v>
      </c>
      <c r="BZ169" s="230">
        <v>-18250</v>
      </c>
      <c r="CA169" s="229">
        <v>-8.8999999999999999E-3</v>
      </c>
      <c r="CB169" s="230">
        <v>1977000</v>
      </c>
      <c r="CC169" s="230">
        <v>1999250</v>
      </c>
      <c r="CD169" s="230">
        <v>-22250</v>
      </c>
      <c r="CE169" s="229">
        <v>-1.11E-2</v>
      </c>
      <c r="CF169" s="230">
        <v>46000</v>
      </c>
      <c r="CG169" s="230">
        <v>42875</v>
      </c>
      <c r="CH169" s="230">
        <v>3125</v>
      </c>
      <c r="CI169" s="229">
        <v>7.2900000000000006E-2</v>
      </c>
      <c r="CJ169" s="230">
        <v>3375</v>
      </c>
      <c r="CK169" s="230">
        <v>2500</v>
      </c>
      <c r="CL169" s="228">
        <v>875</v>
      </c>
      <c r="CM169" s="229">
        <v>0.35</v>
      </c>
      <c r="CN169" s="230">
        <v>824000</v>
      </c>
      <c r="CO169" s="230">
        <v>750750</v>
      </c>
      <c r="CP169" s="230">
        <v>73250</v>
      </c>
      <c r="CQ169" s="229">
        <v>9.7600000000000006E-2</v>
      </c>
      <c r="CR169" s="230">
        <v>795500</v>
      </c>
      <c r="CS169" s="230">
        <v>740375</v>
      </c>
      <c r="CT169" s="230">
        <v>55125</v>
      </c>
      <c r="CU169" s="229">
        <v>7.4499999999999997E-2</v>
      </c>
      <c r="CV169" s="230">
        <v>3645875</v>
      </c>
      <c r="CW169" s="230">
        <v>3535750</v>
      </c>
      <c r="CX169" s="230">
        <v>110125</v>
      </c>
      <c r="CY169" s="229">
        <v>3.1099999999999999E-2</v>
      </c>
      <c r="CZ169" s="228">
        <v>35.770000000000003</v>
      </c>
      <c r="DA169" s="228">
        <v>35.94</v>
      </c>
      <c r="DB169" s="228">
        <v>-0.17</v>
      </c>
      <c r="DC169" s="228">
        <v>-0.17</v>
      </c>
      <c r="DD169" s="228">
        <v>41.53</v>
      </c>
      <c r="DE169" s="228">
        <v>41.63</v>
      </c>
      <c r="DF169" s="228">
        <v>-5.76</v>
      </c>
      <c r="DG169" s="228">
        <v>-0.1</v>
      </c>
      <c r="DH169" s="228">
        <v>32.799999999999997</v>
      </c>
      <c r="DI169" s="228">
        <v>32.450000000000003</v>
      </c>
      <c r="DJ169" s="228">
        <v>0.35</v>
      </c>
      <c r="DK169" s="228">
        <v>0.35</v>
      </c>
      <c r="DL169" s="228">
        <v>39.24</v>
      </c>
      <c r="DM169" s="228">
        <v>39.909999999999997</v>
      </c>
      <c r="DN169" s="228">
        <v>-0.67</v>
      </c>
      <c r="DO169" s="228">
        <v>-0.67</v>
      </c>
      <c r="DP169" s="228">
        <v>0.97</v>
      </c>
      <c r="DQ169" s="228">
        <v>0.99</v>
      </c>
      <c r="DR169" s="228">
        <v>-0.02</v>
      </c>
      <c r="DS169" s="229">
        <v>-2.0199999999999999E-2</v>
      </c>
      <c r="DT169" s="231">
        <v>8000</v>
      </c>
      <c r="DU169" s="231">
        <v>7000</v>
      </c>
      <c r="DV169" s="228">
        <v>0.86</v>
      </c>
      <c r="DW169" s="228">
        <v>0.88</v>
      </c>
      <c r="DX169" s="228">
        <v>-0.02</v>
      </c>
      <c r="DY169" s="229">
        <v>-2.2700000000000001E-2</v>
      </c>
      <c r="DZ169" s="229">
        <v>2.4400000000000002E-2</v>
      </c>
      <c r="EA169" s="230">
        <v>45375</v>
      </c>
      <c r="EB169" s="229">
        <v>-3.0000000000000001E-3</v>
      </c>
      <c r="EC169" s="229">
        <v>2.4400000000000002E-2</v>
      </c>
      <c r="ED169" s="228">
        <v>-18.98</v>
      </c>
      <c r="EE169" s="229">
        <v>-2.5000000000000001E-3</v>
      </c>
      <c r="EF169" s="230">
        <v>213761</v>
      </c>
      <c r="EG169" s="230">
        <v>422828</v>
      </c>
      <c r="EH169" s="229">
        <v>-0.49440000000000001</v>
      </c>
      <c r="EI169" s="229">
        <v>0.48520000000000002</v>
      </c>
      <c r="EJ169" s="231">
        <v>66800.649999999994</v>
      </c>
      <c r="EK169" s="231">
        <v>51630.16</v>
      </c>
      <c r="EL169" s="231">
        <v>23144.29</v>
      </c>
      <c r="EM169" s="231">
        <v>4629</v>
      </c>
      <c r="EN169" s="231">
        <v>141575.1</v>
      </c>
      <c r="EO169" s="231">
        <v>290127.65000000002</v>
      </c>
      <c r="EP169" s="231">
        <v>-148552.54999999999</v>
      </c>
      <c r="EQ169" s="229">
        <v>-0.51200000000000001</v>
      </c>
      <c r="ER169" s="231">
        <v>63780</v>
      </c>
      <c r="ES169" s="231">
        <v>56190</v>
      </c>
      <c r="ET169" s="231">
        <v>153891</v>
      </c>
      <c r="EU169" s="231">
        <v>8693344</v>
      </c>
      <c r="EV169" s="231">
        <v>273860</v>
      </c>
      <c r="EW169" s="231">
        <v>265933</v>
      </c>
      <c r="EX169" s="231">
        <v>7927</v>
      </c>
      <c r="EY169" s="229">
        <v>2.98E-2</v>
      </c>
      <c r="EZ169" s="229">
        <v>0.4194</v>
      </c>
      <c r="FA169" s="227" t="s">
        <v>567</v>
      </c>
      <c r="FB169" s="161">
        <f t="shared" si="4"/>
        <v>0</v>
      </c>
    </row>
    <row r="170" spans="1:158" ht="17.25" thickBot="1" x14ac:dyDescent="0.3">
      <c r="A170" s="226">
        <v>46121</v>
      </c>
      <c r="B170" s="227" t="s">
        <v>161</v>
      </c>
      <c r="C170" s="227" t="s">
        <v>276</v>
      </c>
      <c r="D170" s="228">
        <v>1900</v>
      </c>
      <c r="E170" s="228">
        <v>299.45</v>
      </c>
      <c r="F170" s="228">
        <v>295.8</v>
      </c>
      <c r="G170" s="228">
        <v>3.65</v>
      </c>
      <c r="H170" s="229">
        <v>1.23E-2</v>
      </c>
      <c r="I170" s="228">
        <v>298.10000000000002</v>
      </c>
      <c r="J170" s="228">
        <v>294.85000000000002</v>
      </c>
      <c r="K170" s="228">
        <v>3.25</v>
      </c>
      <c r="L170" s="229">
        <v>1.0999999999999999E-2</v>
      </c>
      <c r="M170" s="228">
        <v>299.45</v>
      </c>
      <c r="N170" s="228">
        <v>295.8</v>
      </c>
      <c r="O170" s="228">
        <v>3.65</v>
      </c>
      <c r="P170" s="229">
        <v>1.23E-2</v>
      </c>
      <c r="Q170" s="228">
        <v>301.10000000000002</v>
      </c>
      <c r="R170" s="228">
        <v>297.75</v>
      </c>
      <c r="S170" s="228">
        <v>3.35</v>
      </c>
      <c r="T170" s="229">
        <v>1.1299999999999999E-2</v>
      </c>
      <c r="U170" s="228">
        <v>302.89999999999998</v>
      </c>
      <c r="V170" s="228">
        <v>299.7</v>
      </c>
      <c r="W170" s="228">
        <v>3.2</v>
      </c>
      <c r="X170" s="229">
        <v>1.0699999999999999E-2</v>
      </c>
      <c r="Y170" s="228">
        <v>1.35</v>
      </c>
      <c r="Z170" s="228">
        <v>0.95</v>
      </c>
      <c r="AA170" s="228">
        <v>0.4</v>
      </c>
      <c r="AB170" s="229">
        <v>4.4999999999999997E-3</v>
      </c>
      <c r="AC170" s="228">
        <v>1.35</v>
      </c>
      <c r="AD170" s="228">
        <v>0.95</v>
      </c>
      <c r="AE170" s="228">
        <v>0.4</v>
      </c>
      <c r="AF170" s="229">
        <v>4.4999999999999997E-3</v>
      </c>
      <c r="AG170" s="228">
        <v>3</v>
      </c>
      <c r="AH170" s="228">
        <v>2.9</v>
      </c>
      <c r="AI170" s="228">
        <v>0.1</v>
      </c>
      <c r="AJ170" s="229">
        <v>1.01E-2</v>
      </c>
      <c r="AK170" s="228">
        <v>4.8</v>
      </c>
      <c r="AL170" s="228">
        <v>4.8499999999999996</v>
      </c>
      <c r="AM170" s="228">
        <v>-0.05</v>
      </c>
      <c r="AN170" s="229">
        <v>1.61E-2</v>
      </c>
      <c r="AO170" s="228">
        <v>299.3</v>
      </c>
      <c r="AP170" s="228">
        <v>301.08999999999997</v>
      </c>
      <c r="AQ170" s="228">
        <v>0</v>
      </c>
      <c r="AR170" s="230">
        <v>8660200</v>
      </c>
      <c r="AS170" s="230">
        <v>11118800</v>
      </c>
      <c r="AT170" s="230">
        <v>-2458600</v>
      </c>
      <c r="AU170" s="229">
        <v>-0.22109999999999999</v>
      </c>
      <c r="AV170" s="230">
        <v>7531600</v>
      </c>
      <c r="AW170" s="230">
        <v>10313200</v>
      </c>
      <c r="AX170" s="230">
        <v>-2781600</v>
      </c>
      <c r="AY170" s="229">
        <v>-0.2697</v>
      </c>
      <c r="AZ170" s="230">
        <v>1016500</v>
      </c>
      <c r="BA170" s="230">
        <v>725800</v>
      </c>
      <c r="BB170" s="230">
        <v>290700</v>
      </c>
      <c r="BC170" s="229">
        <v>0.40050000000000002</v>
      </c>
      <c r="BD170" s="230">
        <v>112100</v>
      </c>
      <c r="BE170" s="230">
        <v>79800</v>
      </c>
      <c r="BF170" s="230">
        <v>32300</v>
      </c>
      <c r="BG170" s="229">
        <v>0.40479999999999999</v>
      </c>
      <c r="BH170" s="230">
        <v>44300400</v>
      </c>
      <c r="BI170" s="230">
        <v>30973800</v>
      </c>
      <c r="BJ170" s="230">
        <v>13326600</v>
      </c>
      <c r="BK170" s="229">
        <v>0.43030000000000002</v>
      </c>
      <c r="BL170" s="230">
        <v>11726800</v>
      </c>
      <c r="BM170" s="230">
        <v>11835100</v>
      </c>
      <c r="BN170" s="230">
        <v>-108300</v>
      </c>
      <c r="BO170" s="229">
        <v>-9.1999999999999998E-3</v>
      </c>
      <c r="BP170" s="230">
        <v>64687400</v>
      </c>
      <c r="BQ170" s="230">
        <v>53927700</v>
      </c>
      <c r="BR170" s="230">
        <v>10759700</v>
      </c>
      <c r="BS170" s="229">
        <v>0.19950000000000001</v>
      </c>
      <c r="BT170" s="230">
        <v>18598978</v>
      </c>
      <c r="BU170" s="230">
        <v>11269840</v>
      </c>
      <c r="BV170" s="230">
        <v>7329138</v>
      </c>
      <c r="BW170" s="229">
        <v>0.65029999999999999</v>
      </c>
      <c r="BX170" s="230">
        <v>79325000</v>
      </c>
      <c r="BY170" s="230">
        <v>78960200</v>
      </c>
      <c r="BZ170" s="230">
        <v>364800</v>
      </c>
      <c r="CA170" s="229">
        <v>4.5999999999999999E-3</v>
      </c>
      <c r="CB170" s="230">
        <v>74485700</v>
      </c>
      <c r="CC170" s="230">
        <v>74632000</v>
      </c>
      <c r="CD170" s="230">
        <v>-146300</v>
      </c>
      <c r="CE170" s="229">
        <v>-2E-3</v>
      </c>
      <c r="CF170" s="230">
        <v>4227500</v>
      </c>
      <c r="CG170" s="230">
        <v>3710700</v>
      </c>
      <c r="CH170" s="230">
        <v>516800</v>
      </c>
      <c r="CI170" s="229">
        <v>0.13930000000000001</v>
      </c>
      <c r="CJ170" s="230">
        <v>611800</v>
      </c>
      <c r="CK170" s="230">
        <v>617500</v>
      </c>
      <c r="CL170" s="230">
        <v>-5700</v>
      </c>
      <c r="CM170" s="229">
        <v>-9.1999999999999998E-3</v>
      </c>
      <c r="CN170" s="230">
        <v>29833800</v>
      </c>
      <c r="CO170" s="230">
        <v>31427900</v>
      </c>
      <c r="CP170" s="230">
        <v>-1594100</v>
      </c>
      <c r="CQ170" s="229">
        <v>-5.0700000000000002E-2</v>
      </c>
      <c r="CR170" s="230">
        <v>15089800</v>
      </c>
      <c r="CS170" s="230">
        <v>14656600</v>
      </c>
      <c r="CT170" s="230">
        <v>433200</v>
      </c>
      <c r="CU170" s="229">
        <v>2.9600000000000001E-2</v>
      </c>
      <c r="CV170" s="230">
        <v>124248600</v>
      </c>
      <c r="CW170" s="230">
        <v>125044700</v>
      </c>
      <c r="CX170" s="230">
        <v>-796100</v>
      </c>
      <c r="CY170" s="229">
        <v>-6.4000000000000003E-3</v>
      </c>
      <c r="CZ170" s="228">
        <v>26.52</v>
      </c>
      <c r="DA170" s="228">
        <v>26.45</v>
      </c>
      <c r="DB170" s="228">
        <v>7.0000000000000007E-2</v>
      </c>
      <c r="DC170" s="228">
        <v>7.0000000000000007E-2</v>
      </c>
      <c r="DD170" s="228">
        <v>28.69</v>
      </c>
      <c r="DE170" s="228">
        <v>28.73</v>
      </c>
      <c r="DF170" s="228">
        <v>-2.17</v>
      </c>
      <c r="DG170" s="228">
        <v>-0.04</v>
      </c>
      <c r="DH170" s="228">
        <v>26.35</v>
      </c>
      <c r="DI170" s="228">
        <v>26.24</v>
      </c>
      <c r="DJ170" s="228">
        <v>0.11</v>
      </c>
      <c r="DK170" s="228">
        <v>0.11</v>
      </c>
      <c r="DL170" s="228">
        <v>27.15</v>
      </c>
      <c r="DM170" s="228">
        <v>26.99</v>
      </c>
      <c r="DN170" s="228">
        <v>0.16</v>
      </c>
      <c r="DO170" s="228">
        <v>0.16</v>
      </c>
      <c r="DP170" s="228">
        <v>0.51</v>
      </c>
      <c r="DQ170" s="228">
        <v>0.47</v>
      </c>
      <c r="DR170" s="228">
        <v>0.04</v>
      </c>
      <c r="DS170" s="229">
        <v>8.5099999999999995E-2</v>
      </c>
      <c r="DT170" s="228">
        <v>320</v>
      </c>
      <c r="DU170" s="228">
        <v>300</v>
      </c>
      <c r="DV170" s="228">
        <v>0.26</v>
      </c>
      <c r="DW170" s="228">
        <v>0.38</v>
      </c>
      <c r="DX170" s="228">
        <v>-0.12</v>
      </c>
      <c r="DY170" s="229">
        <v>-0.31580000000000003</v>
      </c>
      <c r="DZ170" s="229">
        <v>6.0999999999999999E-2</v>
      </c>
      <c r="EA170" s="230">
        <v>4328200</v>
      </c>
      <c r="EB170" s="229">
        <v>5.4999999999999997E-3</v>
      </c>
      <c r="EC170" s="229">
        <v>6.0999999999999999E-2</v>
      </c>
      <c r="ED170" s="228">
        <v>1.79</v>
      </c>
      <c r="EE170" s="229">
        <v>6.0000000000000001E-3</v>
      </c>
      <c r="EF170" s="230">
        <v>11127765</v>
      </c>
      <c r="EG170" s="230">
        <v>6161419</v>
      </c>
      <c r="EH170" s="229">
        <v>0.80600000000000005</v>
      </c>
      <c r="EI170" s="229">
        <v>0.59830000000000005</v>
      </c>
      <c r="EJ170" s="231">
        <v>138088.41</v>
      </c>
      <c r="EK170" s="231">
        <v>34810.07</v>
      </c>
      <c r="EL170" s="231">
        <v>25942.06</v>
      </c>
      <c r="EM170" s="231">
        <v>5129</v>
      </c>
      <c r="EN170" s="231">
        <v>198840.54</v>
      </c>
      <c r="EO170" s="231">
        <v>164120.35</v>
      </c>
      <c r="EP170" s="231">
        <v>34720.19</v>
      </c>
      <c r="EQ170" s="229">
        <v>0.21160000000000001</v>
      </c>
      <c r="ER170" s="231">
        <v>92570</v>
      </c>
      <c r="ES170" s="231">
        <v>43213</v>
      </c>
      <c r="ET170" s="231">
        <v>237630</v>
      </c>
      <c r="EU170" s="231">
        <v>660840864</v>
      </c>
      <c r="EV170" s="231">
        <v>373413</v>
      </c>
      <c r="EW170" s="231">
        <v>372932</v>
      </c>
      <c r="EX170" s="228">
        <v>481</v>
      </c>
      <c r="EY170" s="229">
        <v>1.2999999999999999E-3</v>
      </c>
      <c r="EZ170" s="229">
        <v>0.188</v>
      </c>
      <c r="FA170" s="227" t="s">
        <v>555</v>
      </c>
      <c r="FB170" s="161">
        <f t="shared" si="4"/>
        <v>0</v>
      </c>
    </row>
    <row r="171" spans="1:158" ht="17.25" thickBot="1" x14ac:dyDescent="0.3">
      <c r="A171" s="226">
        <v>46121</v>
      </c>
      <c r="B171" s="227" t="s">
        <v>184</v>
      </c>
      <c r="C171" s="227" t="s">
        <v>685</v>
      </c>
      <c r="D171" s="228">
        <v>50</v>
      </c>
      <c r="E171" s="231">
        <v>27435</v>
      </c>
      <c r="F171" s="231">
        <v>26040</v>
      </c>
      <c r="G171" s="231">
        <v>1395</v>
      </c>
      <c r="H171" s="229">
        <v>5.3600000000000002E-2</v>
      </c>
      <c r="I171" s="231">
        <v>27315</v>
      </c>
      <c r="J171" s="231">
        <v>25915</v>
      </c>
      <c r="K171" s="231">
        <v>1400</v>
      </c>
      <c r="L171" s="229">
        <v>5.3999999999999999E-2</v>
      </c>
      <c r="M171" s="231">
        <v>27435</v>
      </c>
      <c r="N171" s="231">
        <v>26040</v>
      </c>
      <c r="O171" s="231">
        <v>1395</v>
      </c>
      <c r="P171" s="229">
        <v>5.3600000000000002E-2</v>
      </c>
      <c r="Q171" s="231">
        <v>27435</v>
      </c>
      <c r="R171" s="231">
        <v>26105</v>
      </c>
      <c r="S171" s="231">
        <v>1330</v>
      </c>
      <c r="T171" s="229">
        <v>5.0900000000000001E-2</v>
      </c>
      <c r="U171" s="231">
        <v>27485</v>
      </c>
      <c r="V171" s="231">
        <v>26140</v>
      </c>
      <c r="W171" s="231">
        <v>1345</v>
      </c>
      <c r="X171" s="229">
        <v>5.1499999999999997E-2</v>
      </c>
      <c r="Y171" s="228">
        <v>120</v>
      </c>
      <c r="Z171" s="228">
        <v>125</v>
      </c>
      <c r="AA171" s="228">
        <v>-5</v>
      </c>
      <c r="AB171" s="229">
        <v>4.4000000000000003E-3</v>
      </c>
      <c r="AC171" s="228">
        <v>120</v>
      </c>
      <c r="AD171" s="228">
        <v>125</v>
      </c>
      <c r="AE171" s="228">
        <v>-5</v>
      </c>
      <c r="AF171" s="229">
        <v>4.4000000000000003E-3</v>
      </c>
      <c r="AG171" s="228">
        <v>120</v>
      </c>
      <c r="AH171" s="228">
        <v>190</v>
      </c>
      <c r="AI171" s="228">
        <v>-70</v>
      </c>
      <c r="AJ171" s="229">
        <v>4.4000000000000003E-3</v>
      </c>
      <c r="AK171" s="228">
        <v>170</v>
      </c>
      <c r="AL171" s="228">
        <v>225</v>
      </c>
      <c r="AM171" s="228">
        <v>-55</v>
      </c>
      <c r="AN171" s="229">
        <v>6.1999999999999998E-3</v>
      </c>
      <c r="AO171" s="231">
        <v>26881.919999999998</v>
      </c>
      <c r="AP171" s="231">
        <v>26942.47</v>
      </c>
      <c r="AQ171" s="228">
        <v>0</v>
      </c>
      <c r="AR171" s="230">
        <v>218200</v>
      </c>
      <c r="AS171" s="230">
        <v>136000</v>
      </c>
      <c r="AT171" s="230">
        <v>82200</v>
      </c>
      <c r="AU171" s="229">
        <v>0.60440000000000005</v>
      </c>
      <c r="AV171" s="230">
        <v>196600</v>
      </c>
      <c r="AW171" s="230">
        <v>121850</v>
      </c>
      <c r="AX171" s="230">
        <v>74750</v>
      </c>
      <c r="AY171" s="229">
        <v>0.61350000000000005</v>
      </c>
      <c r="AZ171" s="230">
        <v>19000</v>
      </c>
      <c r="BA171" s="230">
        <v>11200</v>
      </c>
      <c r="BB171" s="230">
        <v>7800</v>
      </c>
      <c r="BC171" s="229">
        <v>0.69640000000000002</v>
      </c>
      <c r="BD171" s="230">
        <v>2600</v>
      </c>
      <c r="BE171" s="230">
        <v>2950</v>
      </c>
      <c r="BF171" s="228">
        <v>-350</v>
      </c>
      <c r="BG171" s="229">
        <v>-0.1186</v>
      </c>
      <c r="BH171" s="230">
        <v>966750</v>
      </c>
      <c r="BI171" s="230">
        <v>284700</v>
      </c>
      <c r="BJ171" s="230">
        <v>682050</v>
      </c>
      <c r="BK171" s="229">
        <v>2.3957000000000002</v>
      </c>
      <c r="BL171" s="230">
        <v>360550</v>
      </c>
      <c r="BM171" s="230">
        <v>133100</v>
      </c>
      <c r="BN171" s="230">
        <v>227450</v>
      </c>
      <c r="BO171" s="229">
        <v>1.7089000000000001</v>
      </c>
      <c r="BP171" s="230">
        <v>1545500</v>
      </c>
      <c r="BQ171" s="230">
        <v>553800</v>
      </c>
      <c r="BR171" s="230">
        <v>991700</v>
      </c>
      <c r="BS171" s="229">
        <v>1.7907</v>
      </c>
      <c r="BT171" s="230">
        <v>276668</v>
      </c>
      <c r="BU171" s="230">
        <v>159548</v>
      </c>
      <c r="BV171" s="230">
        <v>117120</v>
      </c>
      <c r="BW171" s="229">
        <v>0.73409999999999997</v>
      </c>
      <c r="BX171" s="230">
        <v>361950</v>
      </c>
      <c r="BY171" s="230">
        <v>318400</v>
      </c>
      <c r="BZ171" s="230">
        <v>43550</v>
      </c>
      <c r="CA171" s="229">
        <v>0.1368</v>
      </c>
      <c r="CB171" s="230">
        <v>341900</v>
      </c>
      <c r="CC171" s="230">
        <v>302650</v>
      </c>
      <c r="CD171" s="230">
        <v>39250</v>
      </c>
      <c r="CE171" s="229">
        <v>0.12970000000000001</v>
      </c>
      <c r="CF171" s="230">
        <v>17100</v>
      </c>
      <c r="CG171" s="230">
        <v>12250</v>
      </c>
      <c r="CH171" s="230">
        <v>4850</v>
      </c>
      <c r="CI171" s="229">
        <v>0.39589999999999997</v>
      </c>
      <c r="CJ171" s="230">
        <v>2950</v>
      </c>
      <c r="CK171" s="230">
        <v>3500</v>
      </c>
      <c r="CL171" s="228">
        <v>-550</v>
      </c>
      <c r="CM171" s="229">
        <v>-0.15709999999999999</v>
      </c>
      <c r="CN171" s="230">
        <v>159700</v>
      </c>
      <c r="CO171" s="230">
        <v>117150</v>
      </c>
      <c r="CP171" s="230">
        <v>42550</v>
      </c>
      <c r="CQ171" s="229">
        <v>0.36320000000000002</v>
      </c>
      <c r="CR171" s="230">
        <v>153600</v>
      </c>
      <c r="CS171" s="230">
        <v>99400</v>
      </c>
      <c r="CT171" s="230">
        <v>54200</v>
      </c>
      <c r="CU171" s="229">
        <v>0.54530000000000001</v>
      </c>
      <c r="CV171" s="230">
        <v>675250</v>
      </c>
      <c r="CW171" s="230">
        <v>534950</v>
      </c>
      <c r="CX171" s="230">
        <v>140300</v>
      </c>
      <c r="CY171" s="229">
        <v>0.26229999999999998</v>
      </c>
      <c r="CZ171" s="228">
        <v>44.82</v>
      </c>
      <c r="DA171" s="228">
        <v>42.1</v>
      </c>
      <c r="DB171" s="228">
        <v>2.72</v>
      </c>
      <c r="DC171" s="228">
        <v>2.72</v>
      </c>
      <c r="DD171" s="228">
        <v>57.85</v>
      </c>
      <c r="DE171" s="228">
        <v>57.56</v>
      </c>
      <c r="DF171" s="228">
        <v>-13.03</v>
      </c>
      <c r="DG171" s="228">
        <v>0.28999999999999998</v>
      </c>
      <c r="DH171" s="228">
        <v>43.4</v>
      </c>
      <c r="DI171" s="228">
        <v>40.9</v>
      </c>
      <c r="DJ171" s="228">
        <v>2.5</v>
      </c>
      <c r="DK171" s="228">
        <v>2.5</v>
      </c>
      <c r="DL171" s="228">
        <v>48.63</v>
      </c>
      <c r="DM171" s="228">
        <v>44.68</v>
      </c>
      <c r="DN171" s="228">
        <v>3.95</v>
      </c>
      <c r="DO171" s="228">
        <v>3.95</v>
      </c>
      <c r="DP171" s="228">
        <v>0.96</v>
      </c>
      <c r="DQ171" s="228">
        <v>0.85</v>
      </c>
      <c r="DR171" s="228">
        <v>0.11</v>
      </c>
      <c r="DS171" s="229">
        <v>0.12939999999999999</v>
      </c>
      <c r="DT171" s="231">
        <v>29000</v>
      </c>
      <c r="DU171" s="231">
        <v>27000</v>
      </c>
      <c r="DV171" s="228">
        <v>0.37</v>
      </c>
      <c r="DW171" s="228">
        <v>0.47</v>
      </c>
      <c r="DX171" s="228">
        <v>-0.1</v>
      </c>
      <c r="DY171" s="229">
        <v>-0.21279999999999999</v>
      </c>
      <c r="DZ171" s="229">
        <v>5.5399999999999998E-2</v>
      </c>
      <c r="EA171" s="230">
        <v>15750</v>
      </c>
      <c r="EB171" s="229">
        <v>0</v>
      </c>
      <c r="EC171" s="229">
        <v>5.5399999999999998E-2</v>
      </c>
      <c r="ED171" s="228">
        <v>60.55</v>
      </c>
      <c r="EE171" s="229">
        <v>2.3E-3</v>
      </c>
      <c r="EF171" s="230">
        <v>66395</v>
      </c>
      <c r="EG171" s="230">
        <v>56944</v>
      </c>
      <c r="EH171" s="229">
        <v>0.16600000000000001</v>
      </c>
      <c r="EI171" s="229">
        <v>0.24</v>
      </c>
      <c r="EJ171" s="231">
        <v>277170.31</v>
      </c>
      <c r="EK171" s="231">
        <v>93362.71</v>
      </c>
      <c r="EL171" s="231">
        <v>58666.58</v>
      </c>
      <c r="EM171" s="231">
        <v>2041</v>
      </c>
      <c r="EN171" s="231">
        <v>429199.6</v>
      </c>
      <c r="EO171" s="231">
        <v>147539.13</v>
      </c>
      <c r="EP171" s="231">
        <v>281660.46999999997</v>
      </c>
      <c r="EQ171" s="229">
        <v>1.9091</v>
      </c>
      <c r="ER171" s="231">
        <v>43609</v>
      </c>
      <c r="ES171" s="231">
        <v>38108</v>
      </c>
      <c r="ET171" s="231">
        <v>99302</v>
      </c>
      <c r="EU171" s="231">
        <v>1917916</v>
      </c>
      <c r="EV171" s="231">
        <v>181020</v>
      </c>
      <c r="EW171" s="231">
        <v>137728</v>
      </c>
      <c r="EX171" s="231">
        <v>43292</v>
      </c>
      <c r="EY171" s="229">
        <v>0.31430000000000002</v>
      </c>
      <c r="EZ171" s="229">
        <v>0.35210000000000002</v>
      </c>
      <c r="FA171" s="227" t="s">
        <v>555</v>
      </c>
      <c r="FB171" s="161">
        <f t="shared" si="4"/>
        <v>0</v>
      </c>
    </row>
    <row r="172" spans="1:158" ht="17.25" thickBot="1" x14ac:dyDescent="0.3">
      <c r="A172" s="226">
        <v>46121</v>
      </c>
      <c r="B172" s="227" t="s">
        <v>170</v>
      </c>
      <c r="C172" s="227" t="s">
        <v>676</v>
      </c>
      <c r="D172" s="228">
        <v>2625</v>
      </c>
      <c r="E172" s="228">
        <v>142.44999999999999</v>
      </c>
      <c r="F172" s="228">
        <v>143.94999999999999</v>
      </c>
      <c r="G172" s="228">
        <v>-1.5</v>
      </c>
      <c r="H172" s="229">
        <v>-1.04E-2</v>
      </c>
      <c r="I172" s="228">
        <v>142.94999999999999</v>
      </c>
      <c r="J172" s="228">
        <v>143.77000000000001</v>
      </c>
      <c r="K172" s="228">
        <v>-0.82</v>
      </c>
      <c r="L172" s="229">
        <v>-5.7000000000000002E-3</v>
      </c>
      <c r="M172" s="228">
        <v>142.44999999999999</v>
      </c>
      <c r="N172" s="228">
        <v>143.94999999999999</v>
      </c>
      <c r="O172" s="228">
        <v>-1.5</v>
      </c>
      <c r="P172" s="229">
        <v>-1.04E-2</v>
      </c>
      <c r="Q172" s="228">
        <v>0</v>
      </c>
      <c r="R172" s="228">
        <v>0</v>
      </c>
      <c r="S172" s="228">
        <v>0</v>
      </c>
      <c r="T172" s="229">
        <v>0</v>
      </c>
      <c r="U172" s="228">
        <v>0</v>
      </c>
      <c r="V172" s="228">
        <v>0</v>
      </c>
      <c r="W172" s="228">
        <v>0</v>
      </c>
      <c r="X172" s="229">
        <v>0</v>
      </c>
      <c r="Y172" s="228">
        <v>-0.5</v>
      </c>
      <c r="Z172" s="228">
        <v>0.18</v>
      </c>
      <c r="AA172" s="228">
        <v>-0.68</v>
      </c>
      <c r="AB172" s="229">
        <v>-3.5000000000000001E-3</v>
      </c>
      <c r="AC172" s="228">
        <v>-0.5</v>
      </c>
      <c r="AD172" s="228">
        <v>0.18</v>
      </c>
      <c r="AE172" s="228">
        <v>-0.68</v>
      </c>
      <c r="AF172" s="229">
        <v>-3.5000000000000001E-3</v>
      </c>
      <c r="AG172" s="228">
        <v>0</v>
      </c>
      <c r="AH172" s="228">
        <v>0</v>
      </c>
      <c r="AI172" s="228">
        <v>0</v>
      </c>
      <c r="AJ172" s="229">
        <v>0</v>
      </c>
      <c r="AK172" s="228">
        <v>0</v>
      </c>
      <c r="AL172" s="228">
        <v>0</v>
      </c>
      <c r="AM172" s="228">
        <v>0</v>
      </c>
      <c r="AN172" s="229">
        <v>0</v>
      </c>
      <c r="AO172" s="228">
        <v>142.61000000000001</v>
      </c>
      <c r="AP172" s="228">
        <v>0</v>
      </c>
      <c r="AQ172" s="228">
        <v>0</v>
      </c>
      <c r="AR172" s="230">
        <v>2751000</v>
      </c>
      <c r="AS172" s="230">
        <v>3942750</v>
      </c>
      <c r="AT172" s="230">
        <v>-1191750</v>
      </c>
      <c r="AU172" s="229">
        <v>-0.30230000000000001</v>
      </c>
      <c r="AV172" s="230">
        <v>2751000</v>
      </c>
      <c r="AW172" s="230">
        <v>3942750</v>
      </c>
      <c r="AX172" s="230">
        <v>-1191750</v>
      </c>
      <c r="AY172" s="229">
        <v>-0.30230000000000001</v>
      </c>
      <c r="AZ172" s="228">
        <v>0</v>
      </c>
      <c r="BA172" s="228">
        <v>0</v>
      </c>
      <c r="BB172" s="228">
        <v>0</v>
      </c>
      <c r="BC172" s="229">
        <v>0</v>
      </c>
      <c r="BD172" s="228">
        <v>0</v>
      </c>
      <c r="BE172" s="228">
        <v>0</v>
      </c>
      <c r="BF172" s="228">
        <v>0</v>
      </c>
      <c r="BG172" s="229">
        <v>0</v>
      </c>
      <c r="BH172" s="230">
        <v>4137000</v>
      </c>
      <c r="BI172" s="230">
        <v>4360125</v>
      </c>
      <c r="BJ172" s="230">
        <v>-223125</v>
      </c>
      <c r="BK172" s="229">
        <v>-5.1200000000000002E-2</v>
      </c>
      <c r="BL172" s="230">
        <v>1191750</v>
      </c>
      <c r="BM172" s="230">
        <v>1420125</v>
      </c>
      <c r="BN172" s="230">
        <v>-228375</v>
      </c>
      <c r="BO172" s="229">
        <v>-0.1608</v>
      </c>
      <c r="BP172" s="230">
        <v>8079750</v>
      </c>
      <c r="BQ172" s="230">
        <v>9723000</v>
      </c>
      <c r="BR172" s="230">
        <v>-1643250</v>
      </c>
      <c r="BS172" s="229">
        <v>-0.16900000000000001</v>
      </c>
      <c r="BT172" s="230">
        <v>1730268</v>
      </c>
      <c r="BU172" s="230">
        <v>3162152</v>
      </c>
      <c r="BV172" s="230">
        <v>-1431884</v>
      </c>
      <c r="BW172" s="229">
        <v>-0.45279999999999998</v>
      </c>
      <c r="BX172" s="230">
        <v>13285125</v>
      </c>
      <c r="BY172" s="230">
        <v>12991125</v>
      </c>
      <c r="BZ172" s="230">
        <v>294000</v>
      </c>
      <c r="CA172" s="229">
        <v>2.2599999999999999E-2</v>
      </c>
      <c r="CB172" s="230">
        <v>13285125</v>
      </c>
      <c r="CC172" s="230">
        <v>12991125</v>
      </c>
      <c r="CD172" s="230">
        <v>294000</v>
      </c>
      <c r="CE172" s="229">
        <v>2.2599999999999999E-2</v>
      </c>
      <c r="CF172" s="228">
        <v>0</v>
      </c>
      <c r="CG172" s="228">
        <v>0</v>
      </c>
      <c r="CH172" s="228">
        <v>0</v>
      </c>
      <c r="CI172" s="229">
        <v>0</v>
      </c>
      <c r="CJ172" s="228">
        <v>0</v>
      </c>
      <c r="CK172" s="228">
        <v>0</v>
      </c>
      <c r="CL172" s="228">
        <v>0</v>
      </c>
      <c r="CM172" s="229">
        <v>0</v>
      </c>
      <c r="CN172" s="230">
        <v>4160625</v>
      </c>
      <c r="CO172" s="230">
        <v>3328500</v>
      </c>
      <c r="CP172" s="230">
        <v>832125</v>
      </c>
      <c r="CQ172" s="229">
        <v>0.25</v>
      </c>
      <c r="CR172" s="230">
        <v>2491125</v>
      </c>
      <c r="CS172" s="230">
        <v>2325750</v>
      </c>
      <c r="CT172" s="230">
        <v>165375</v>
      </c>
      <c r="CU172" s="229">
        <v>7.1099999999999997E-2</v>
      </c>
      <c r="CV172" s="230">
        <v>19936875</v>
      </c>
      <c r="CW172" s="230">
        <v>18645375</v>
      </c>
      <c r="CX172" s="230">
        <v>1291500</v>
      </c>
      <c r="CY172" s="229">
        <v>6.93E-2</v>
      </c>
      <c r="CZ172" s="228">
        <v>43.62</v>
      </c>
      <c r="DA172" s="228">
        <v>42.12</v>
      </c>
      <c r="DB172" s="228">
        <v>1.5</v>
      </c>
      <c r="DC172" s="228">
        <v>1.5</v>
      </c>
      <c r="DD172" s="228">
        <v>43.6</v>
      </c>
      <c r="DE172" s="228">
        <v>43.68</v>
      </c>
      <c r="DF172" s="228">
        <v>0.02</v>
      </c>
      <c r="DG172" s="228">
        <v>-0.08</v>
      </c>
      <c r="DH172" s="228">
        <v>43.38</v>
      </c>
      <c r="DI172" s="228">
        <v>41.42</v>
      </c>
      <c r="DJ172" s="228">
        <v>1.96</v>
      </c>
      <c r="DK172" s="228">
        <v>1.96</v>
      </c>
      <c r="DL172" s="228">
        <v>44.45</v>
      </c>
      <c r="DM172" s="228">
        <v>44.26</v>
      </c>
      <c r="DN172" s="228">
        <v>0.19</v>
      </c>
      <c r="DO172" s="228">
        <v>0.19</v>
      </c>
      <c r="DP172" s="228">
        <v>0.6</v>
      </c>
      <c r="DQ172" s="228">
        <v>0.7</v>
      </c>
      <c r="DR172" s="228">
        <v>-0.1</v>
      </c>
      <c r="DS172" s="229">
        <v>-0.1429</v>
      </c>
      <c r="DT172" s="228">
        <v>150</v>
      </c>
      <c r="DU172" s="228">
        <v>150</v>
      </c>
      <c r="DV172" s="228">
        <v>0.28999999999999998</v>
      </c>
      <c r="DW172" s="228">
        <v>0.33</v>
      </c>
      <c r="DX172" s="228">
        <v>-0.04</v>
      </c>
      <c r="DY172" s="229">
        <v>-0.1212</v>
      </c>
      <c r="DZ172" s="229">
        <v>0</v>
      </c>
      <c r="EA172" s="228">
        <v>0</v>
      </c>
      <c r="EB172" s="229">
        <v>0</v>
      </c>
      <c r="EC172" s="229">
        <v>0</v>
      </c>
      <c r="ED172" s="228">
        <v>0</v>
      </c>
      <c r="EE172" s="229">
        <v>0</v>
      </c>
      <c r="EF172" s="230">
        <v>628718</v>
      </c>
      <c r="EG172" s="230">
        <v>1357174</v>
      </c>
      <c r="EH172" s="229">
        <v>-0.53669999999999995</v>
      </c>
      <c r="EI172" s="229">
        <v>0.3634</v>
      </c>
      <c r="EJ172" s="231">
        <v>6515.81</v>
      </c>
      <c r="EK172" s="231">
        <v>1768.48</v>
      </c>
      <c r="EL172" s="231">
        <v>3923.09</v>
      </c>
      <c r="EM172" s="231">
        <v>1100</v>
      </c>
      <c r="EN172" s="231">
        <v>12207.38</v>
      </c>
      <c r="EO172" s="231">
        <v>14429.2</v>
      </c>
      <c r="EP172" s="231">
        <v>-2221.8200000000002</v>
      </c>
      <c r="EQ172" s="229">
        <v>-0.154</v>
      </c>
      <c r="ER172" s="231">
        <v>6451</v>
      </c>
      <c r="ES172" s="231">
        <v>3617</v>
      </c>
      <c r="ET172" s="231">
        <v>18925</v>
      </c>
      <c r="EU172" s="231">
        <v>92833839</v>
      </c>
      <c r="EV172" s="231">
        <v>28992</v>
      </c>
      <c r="EW172" s="231">
        <v>27248</v>
      </c>
      <c r="EX172" s="231">
        <v>1744</v>
      </c>
      <c r="EY172" s="229">
        <v>6.4000000000000001E-2</v>
      </c>
      <c r="EZ172" s="229">
        <v>0.21479999999999999</v>
      </c>
      <c r="FA172" s="227" t="s">
        <v>566</v>
      </c>
      <c r="FB172" s="161">
        <f t="shared" si="4"/>
        <v>0</v>
      </c>
    </row>
    <row r="173" spans="1:158" ht="17.25" thickBot="1" x14ac:dyDescent="0.3">
      <c r="A173" s="226">
        <v>46121</v>
      </c>
      <c r="B173" s="227" t="s">
        <v>184</v>
      </c>
      <c r="C173" s="227" t="s">
        <v>688</v>
      </c>
      <c r="D173" s="228">
        <v>575</v>
      </c>
      <c r="E173" s="228">
        <v>960.5</v>
      </c>
      <c r="F173" s="228">
        <v>963.85</v>
      </c>
      <c r="G173" s="228">
        <v>-3.35</v>
      </c>
      <c r="H173" s="229">
        <v>-3.5000000000000001E-3</v>
      </c>
      <c r="I173" s="228">
        <v>956.45</v>
      </c>
      <c r="J173" s="228">
        <v>959.65</v>
      </c>
      <c r="K173" s="228">
        <v>-3.2</v>
      </c>
      <c r="L173" s="229">
        <v>-3.3E-3</v>
      </c>
      <c r="M173" s="228">
        <v>960.5</v>
      </c>
      <c r="N173" s="228">
        <v>963.85</v>
      </c>
      <c r="O173" s="228">
        <v>-3.35</v>
      </c>
      <c r="P173" s="229">
        <v>-3.5000000000000001E-3</v>
      </c>
      <c r="Q173" s="228">
        <v>953.4</v>
      </c>
      <c r="R173" s="228">
        <v>957.6</v>
      </c>
      <c r="S173" s="228">
        <v>-4.2</v>
      </c>
      <c r="T173" s="229">
        <v>-4.4000000000000003E-3</v>
      </c>
      <c r="U173" s="228">
        <v>950</v>
      </c>
      <c r="V173" s="228">
        <v>928</v>
      </c>
      <c r="W173" s="228">
        <v>22</v>
      </c>
      <c r="X173" s="229">
        <v>2.3699999999999999E-2</v>
      </c>
      <c r="Y173" s="228">
        <v>4.05</v>
      </c>
      <c r="Z173" s="228">
        <v>4.2</v>
      </c>
      <c r="AA173" s="228">
        <v>-0.15</v>
      </c>
      <c r="AB173" s="229">
        <v>4.1999999999999997E-3</v>
      </c>
      <c r="AC173" s="228">
        <v>4.05</v>
      </c>
      <c r="AD173" s="228">
        <v>4.2</v>
      </c>
      <c r="AE173" s="228">
        <v>-0.15</v>
      </c>
      <c r="AF173" s="229">
        <v>4.1999999999999997E-3</v>
      </c>
      <c r="AG173" s="228">
        <v>-3.05</v>
      </c>
      <c r="AH173" s="228">
        <v>-2.0499999999999998</v>
      </c>
      <c r="AI173" s="228">
        <v>-1</v>
      </c>
      <c r="AJ173" s="229">
        <v>-3.2000000000000002E-3</v>
      </c>
      <c r="AK173" s="228">
        <v>-6.45</v>
      </c>
      <c r="AL173" s="228">
        <v>-31.65</v>
      </c>
      <c r="AM173" s="228">
        <v>25.2</v>
      </c>
      <c r="AN173" s="229">
        <v>-6.7000000000000002E-3</v>
      </c>
      <c r="AO173" s="228">
        <v>963.48</v>
      </c>
      <c r="AP173" s="228">
        <v>955.11</v>
      </c>
      <c r="AQ173" s="228">
        <v>0</v>
      </c>
      <c r="AR173" s="230">
        <v>1925675</v>
      </c>
      <c r="AS173" s="230">
        <v>2566225</v>
      </c>
      <c r="AT173" s="230">
        <v>-640550</v>
      </c>
      <c r="AU173" s="229">
        <v>-0.24959999999999999</v>
      </c>
      <c r="AV173" s="230">
        <v>1897500</v>
      </c>
      <c r="AW173" s="230">
        <v>2500100</v>
      </c>
      <c r="AX173" s="230">
        <v>-602600</v>
      </c>
      <c r="AY173" s="229">
        <v>-0.24099999999999999</v>
      </c>
      <c r="AZ173" s="230">
        <v>27600</v>
      </c>
      <c r="BA173" s="230">
        <v>66125</v>
      </c>
      <c r="BB173" s="230">
        <v>-38525</v>
      </c>
      <c r="BC173" s="229">
        <v>-0.58260000000000001</v>
      </c>
      <c r="BD173" s="228">
        <v>575</v>
      </c>
      <c r="BE173" s="228">
        <v>0</v>
      </c>
      <c r="BF173" s="228">
        <v>575</v>
      </c>
      <c r="BG173" s="229">
        <v>0</v>
      </c>
      <c r="BH173" s="230">
        <v>3385600</v>
      </c>
      <c r="BI173" s="230">
        <v>4458550</v>
      </c>
      <c r="BJ173" s="230">
        <v>-1072950</v>
      </c>
      <c r="BK173" s="229">
        <v>-0.24060000000000001</v>
      </c>
      <c r="BL173" s="230">
        <v>1208075</v>
      </c>
      <c r="BM173" s="230">
        <v>2305750</v>
      </c>
      <c r="BN173" s="230">
        <v>-1097675</v>
      </c>
      <c r="BO173" s="229">
        <v>-0.47610000000000002</v>
      </c>
      <c r="BP173" s="230">
        <v>6519350</v>
      </c>
      <c r="BQ173" s="230">
        <v>9330525</v>
      </c>
      <c r="BR173" s="230">
        <v>-2811175</v>
      </c>
      <c r="BS173" s="229">
        <v>-0.30130000000000001</v>
      </c>
      <c r="BT173" s="230">
        <v>2616652</v>
      </c>
      <c r="BU173" s="230">
        <v>1663028</v>
      </c>
      <c r="BV173" s="230">
        <v>953624</v>
      </c>
      <c r="BW173" s="229">
        <v>0.57340000000000002</v>
      </c>
      <c r="BX173" s="230">
        <v>10568500</v>
      </c>
      <c r="BY173" s="230">
        <v>10361500</v>
      </c>
      <c r="BZ173" s="230">
        <v>207000</v>
      </c>
      <c r="CA173" s="229">
        <v>0.02</v>
      </c>
      <c r="CB173" s="230">
        <v>10502950</v>
      </c>
      <c r="CC173" s="230">
        <v>10294225</v>
      </c>
      <c r="CD173" s="230">
        <v>208725</v>
      </c>
      <c r="CE173" s="229">
        <v>2.0299999999999999E-2</v>
      </c>
      <c r="CF173" s="230">
        <v>63825</v>
      </c>
      <c r="CG173" s="230">
        <v>65550</v>
      </c>
      <c r="CH173" s="230">
        <v>-1725</v>
      </c>
      <c r="CI173" s="229">
        <v>-2.63E-2</v>
      </c>
      <c r="CJ173" s="230">
        <v>1725</v>
      </c>
      <c r="CK173" s="230">
        <v>1725</v>
      </c>
      <c r="CL173" s="228">
        <v>0</v>
      </c>
      <c r="CM173" s="229">
        <v>0</v>
      </c>
      <c r="CN173" s="230">
        <v>2074600</v>
      </c>
      <c r="CO173" s="230">
        <v>1853225</v>
      </c>
      <c r="CP173" s="230">
        <v>221375</v>
      </c>
      <c r="CQ173" s="229">
        <v>0.1195</v>
      </c>
      <c r="CR173" s="230">
        <v>1751450</v>
      </c>
      <c r="CS173" s="230">
        <v>1661175</v>
      </c>
      <c r="CT173" s="230">
        <v>90275</v>
      </c>
      <c r="CU173" s="229">
        <v>5.4300000000000001E-2</v>
      </c>
      <c r="CV173" s="230">
        <v>14394550</v>
      </c>
      <c r="CW173" s="230">
        <v>13875900</v>
      </c>
      <c r="CX173" s="230">
        <v>518650</v>
      </c>
      <c r="CY173" s="229">
        <v>3.7400000000000003E-2</v>
      </c>
      <c r="CZ173" s="228">
        <v>46.19</v>
      </c>
      <c r="DA173" s="228">
        <v>43.54</v>
      </c>
      <c r="DB173" s="228">
        <v>2.65</v>
      </c>
      <c r="DC173" s="228">
        <v>2.65</v>
      </c>
      <c r="DD173" s="228">
        <v>49.36</v>
      </c>
      <c r="DE173" s="228">
        <v>49.48</v>
      </c>
      <c r="DF173" s="228">
        <v>-3.17</v>
      </c>
      <c r="DG173" s="228">
        <v>-0.12</v>
      </c>
      <c r="DH173" s="228">
        <v>45.98</v>
      </c>
      <c r="DI173" s="228">
        <v>43.16</v>
      </c>
      <c r="DJ173" s="228">
        <v>2.82</v>
      </c>
      <c r="DK173" s="228">
        <v>2.82</v>
      </c>
      <c r="DL173" s="228">
        <v>46.8</v>
      </c>
      <c r="DM173" s="228">
        <v>44.29</v>
      </c>
      <c r="DN173" s="228">
        <v>2.5099999999999998</v>
      </c>
      <c r="DO173" s="228">
        <v>2.5099999999999998</v>
      </c>
      <c r="DP173" s="228">
        <v>0.84</v>
      </c>
      <c r="DQ173" s="228">
        <v>0.9</v>
      </c>
      <c r="DR173" s="228">
        <v>-0.06</v>
      </c>
      <c r="DS173" s="229">
        <v>-6.6699999999999995E-2</v>
      </c>
      <c r="DT173" s="231">
        <v>1000</v>
      </c>
      <c r="DU173" s="228">
        <v>800</v>
      </c>
      <c r="DV173" s="228">
        <v>0.36</v>
      </c>
      <c r="DW173" s="228">
        <v>0.52</v>
      </c>
      <c r="DX173" s="228">
        <v>-0.16</v>
      </c>
      <c r="DY173" s="229">
        <v>-0.30769999999999997</v>
      </c>
      <c r="DZ173" s="229">
        <v>6.1999999999999998E-3</v>
      </c>
      <c r="EA173" s="230">
        <v>67275</v>
      </c>
      <c r="EB173" s="229">
        <v>-7.4000000000000003E-3</v>
      </c>
      <c r="EC173" s="229">
        <v>6.1999999999999998E-3</v>
      </c>
      <c r="ED173" s="228">
        <v>-8.3699999999999992</v>
      </c>
      <c r="EE173" s="229">
        <v>-8.6999999999999994E-3</v>
      </c>
      <c r="EF173" s="230">
        <v>1114208</v>
      </c>
      <c r="EG173" s="230">
        <v>297047</v>
      </c>
      <c r="EH173" s="229">
        <v>2.7509000000000001</v>
      </c>
      <c r="EI173" s="229">
        <v>0.42580000000000001</v>
      </c>
      <c r="EJ173" s="231">
        <v>34720.51</v>
      </c>
      <c r="EK173" s="231">
        <v>11328.27</v>
      </c>
      <c r="EL173" s="231">
        <v>18551.12</v>
      </c>
      <c r="EM173" s="231">
        <v>3188</v>
      </c>
      <c r="EN173" s="231">
        <v>64599.9</v>
      </c>
      <c r="EO173" s="231">
        <v>91033.31</v>
      </c>
      <c r="EP173" s="231">
        <v>-26433.41</v>
      </c>
      <c r="EQ173" s="229">
        <v>-0.29039999999999999</v>
      </c>
      <c r="ER173" s="231">
        <v>20173</v>
      </c>
      <c r="ES173" s="231">
        <v>15203</v>
      </c>
      <c r="ET173" s="231">
        <v>101506</v>
      </c>
      <c r="EU173" s="231">
        <v>23961540</v>
      </c>
      <c r="EV173" s="231">
        <v>136882</v>
      </c>
      <c r="EW173" s="231">
        <v>132182</v>
      </c>
      <c r="EX173" s="231">
        <v>4700</v>
      </c>
      <c r="EY173" s="229">
        <v>3.56E-2</v>
      </c>
      <c r="EZ173" s="229">
        <v>0.60070000000000001</v>
      </c>
      <c r="FA173" s="227" t="s">
        <v>566</v>
      </c>
      <c r="FB173" s="161">
        <f t="shared" si="4"/>
        <v>0</v>
      </c>
    </row>
    <row r="174" spans="1:158" ht="17.25" thickBot="1" x14ac:dyDescent="0.3">
      <c r="A174" s="226">
        <v>46121</v>
      </c>
      <c r="B174" s="227" t="s">
        <v>206</v>
      </c>
      <c r="C174" s="227" t="s">
        <v>604</v>
      </c>
      <c r="D174" s="228">
        <v>450</v>
      </c>
      <c r="E174" s="231">
        <v>1326.5</v>
      </c>
      <c r="F174" s="231">
        <v>1323.8</v>
      </c>
      <c r="G174" s="228">
        <v>2.7</v>
      </c>
      <c r="H174" s="229">
        <v>2E-3</v>
      </c>
      <c r="I174" s="231">
        <v>1319.4</v>
      </c>
      <c r="J174" s="231">
        <v>1320.8</v>
      </c>
      <c r="K174" s="228">
        <v>-1.4</v>
      </c>
      <c r="L174" s="229">
        <v>-1.1000000000000001E-3</v>
      </c>
      <c r="M174" s="231">
        <v>1326.5</v>
      </c>
      <c r="N174" s="231">
        <v>1323.8</v>
      </c>
      <c r="O174" s="228">
        <v>2.7</v>
      </c>
      <c r="P174" s="229">
        <v>2E-3</v>
      </c>
      <c r="Q174" s="231">
        <v>1332.5</v>
      </c>
      <c r="R174" s="231">
        <v>1328.9</v>
      </c>
      <c r="S174" s="228">
        <v>3.6</v>
      </c>
      <c r="T174" s="229">
        <v>2.7000000000000001E-3</v>
      </c>
      <c r="U174" s="231">
        <v>1328.9</v>
      </c>
      <c r="V174" s="231">
        <v>1333</v>
      </c>
      <c r="W174" s="228">
        <v>-4.0999999999999996</v>
      </c>
      <c r="X174" s="229">
        <v>-3.0999999999999999E-3</v>
      </c>
      <c r="Y174" s="228">
        <v>7.1</v>
      </c>
      <c r="Z174" s="228">
        <v>3</v>
      </c>
      <c r="AA174" s="228">
        <v>4.0999999999999996</v>
      </c>
      <c r="AB174" s="229">
        <v>5.4000000000000003E-3</v>
      </c>
      <c r="AC174" s="228">
        <v>7.1</v>
      </c>
      <c r="AD174" s="228">
        <v>3</v>
      </c>
      <c r="AE174" s="228">
        <v>4.0999999999999996</v>
      </c>
      <c r="AF174" s="229">
        <v>5.4000000000000003E-3</v>
      </c>
      <c r="AG174" s="228">
        <v>13.1</v>
      </c>
      <c r="AH174" s="228">
        <v>8.1</v>
      </c>
      <c r="AI174" s="228">
        <v>5</v>
      </c>
      <c r="AJ174" s="229">
        <v>9.9000000000000008E-3</v>
      </c>
      <c r="AK174" s="228">
        <v>9.5</v>
      </c>
      <c r="AL174" s="228">
        <v>12.2</v>
      </c>
      <c r="AM174" s="228">
        <v>-2.7</v>
      </c>
      <c r="AN174" s="229">
        <v>7.1999999999999998E-3</v>
      </c>
      <c r="AO174" s="231">
        <v>1324.11</v>
      </c>
      <c r="AP174" s="231">
        <v>1323.01</v>
      </c>
      <c r="AQ174" s="228">
        <v>0</v>
      </c>
      <c r="AR174" s="230">
        <v>883800</v>
      </c>
      <c r="AS174" s="230">
        <v>2504700</v>
      </c>
      <c r="AT174" s="230">
        <v>-1620900</v>
      </c>
      <c r="AU174" s="229">
        <v>-0.64710000000000001</v>
      </c>
      <c r="AV174" s="230">
        <v>860850</v>
      </c>
      <c r="AW174" s="230">
        <v>2361150</v>
      </c>
      <c r="AX174" s="230">
        <v>-1500300</v>
      </c>
      <c r="AY174" s="229">
        <v>-0.63539999999999996</v>
      </c>
      <c r="AZ174" s="230">
        <v>20250</v>
      </c>
      <c r="BA174" s="230">
        <v>139050</v>
      </c>
      <c r="BB174" s="230">
        <v>-118800</v>
      </c>
      <c r="BC174" s="229">
        <v>-0.85440000000000005</v>
      </c>
      <c r="BD174" s="230">
        <v>2700</v>
      </c>
      <c r="BE174" s="230">
        <v>4500</v>
      </c>
      <c r="BF174" s="230">
        <v>-1800</v>
      </c>
      <c r="BG174" s="229">
        <v>-0.4</v>
      </c>
      <c r="BH174" s="230">
        <v>2052450</v>
      </c>
      <c r="BI174" s="230">
        <v>5274000</v>
      </c>
      <c r="BJ174" s="230">
        <v>-3221550</v>
      </c>
      <c r="BK174" s="229">
        <v>-0.61080000000000001</v>
      </c>
      <c r="BL174" s="230">
        <v>1196100</v>
      </c>
      <c r="BM174" s="230">
        <v>2240100</v>
      </c>
      <c r="BN174" s="230">
        <v>-1044000</v>
      </c>
      <c r="BO174" s="229">
        <v>-0.46610000000000001</v>
      </c>
      <c r="BP174" s="230">
        <v>4132350</v>
      </c>
      <c r="BQ174" s="230">
        <v>10018800</v>
      </c>
      <c r="BR174" s="230">
        <v>-5886450</v>
      </c>
      <c r="BS174" s="229">
        <v>-0.58750000000000002</v>
      </c>
      <c r="BT174" s="230">
        <v>882097</v>
      </c>
      <c r="BU174" s="230">
        <v>2604476</v>
      </c>
      <c r="BV174" s="230">
        <v>-1722379</v>
      </c>
      <c r="BW174" s="229">
        <v>-0.6613</v>
      </c>
      <c r="BX174" s="230">
        <v>6901200</v>
      </c>
      <c r="BY174" s="230">
        <v>6753150</v>
      </c>
      <c r="BZ174" s="230">
        <v>148050</v>
      </c>
      <c r="CA174" s="229">
        <v>2.1899999999999999E-2</v>
      </c>
      <c r="CB174" s="230">
        <v>6821550</v>
      </c>
      <c r="CC174" s="230">
        <v>6672150</v>
      </c>
      <c r="CD174" s="230">
        <v>149400</v>
      </c>
      <c r="CE174" s="229">
        <v>2.24E-2</v>
      </c>
      <c r="CF174" s="230">
        <v>75150</v>
      </c>
      <c r="CG174" s="230">
        <v>75600</v>
      </c>
      <c r="CH174" s="228">
        <v>-450</v>
      </c>
      <c r="CI174" s="229">
        <v>-6.0000000000000001E-3</v>
      </c>
      <c r="CJ174" s="230">
        <v>4500</v>
      </c>
      <c r="CK174" s="230">
        <v>5400</v>
      </c>
      <c r="CL174" s="228">
        <v>-900</v>
      </c>
      <c r="CM174" s="229">
        <v>-0.16669999999999999</v>
      </c>
      <c r="CN174" s="230">
        <v>1670850</v>
      </c>
      <c r="CO174" s="230">
        <v>1457100</v>
      </c>
      <c r="CP174" s="230">
        <v>213750</v>
      </c>
      <c r="CQ174" s="229">
        <v>0.1467</v>
      </c>
      <c r="CR174" s="230">
        <v>1014750</v>
      </c>
      <c r="CS174" s="230">
        <v>947250</v>
      </c>
      <c r="CT174" s="230">
        <v>67500</v>
      </c>
      <c r="CU174" s="229">
        <v>7.1300000000000002E-2</v>
      </c>
      <c r="CV174" s="230">
        <v>9586800</v>
      </c>
      <c r="CW174" s="230">
        <v>9157500</v>
      </c>
      <c r="CX174" s="230">
        <v>429300</v>
      </c>
      <c r="CY174" s="229">
        <v>4.6899999999999997E-2</v>
      </c>
      <c r="CZ174" s="228">
        <v>44.24</v>
      </c>
      <c r="DA174" s="228">
        <v>44.16</v>
      </c>
      <c r="DB174" s="228">
        <v>0.08</v>
      </c>
      <c r="DC174" s="228">
        <v>0.08</v>
      </c>
      <c r="DD174" s="228">
        <v>45.24</v>
      </c>
      <c r="DE174" s="228">
        <v>45.35</v>
      </c>
      <c r="DF174" s="228">
        <v>-1</v>
      </c>
      <c r="DG174" s="228">
        <v>-0.11</v>
      </c>
      <c r="DH174" s="228">
        <v>42.98</v>
      </c>
      <c r="DI174" s="228">
        <v>43.3</v>
      </c>
      <c r="DJ174" s="228">
        <v>-0.32</v>
      </c>
      <c r="DK174" s="228">
        <v>-0.32</v>
      </c>
      <c r="DL174" s="228">
        <v>46.41</v>
      </c>
      <c r="DM174" s="228">
        <v>46.2</v>
      </c>
      <c r="DN174" s="228">
        <v>0.21</v>
      </c>
      <c r="DO174" s="228">
        <v>0.21</v>
      </c>
      <c r="DP174" s="228">
        <v>0.61</v>
      </c>
      <c r="DQ174" s="228">
        <v>0.65</v>
      </c>
      <c r="DR174" s="228">
        <v>-0.04</v>
      </c>
      <c r="DS174" s="229">
        <v>-6.1499999999999999E-2</v>
      </c>
      <c r="DT174" s="231">
        <v>1400</v>
      </c>
      <c r="DU174" s="231">
        <v>1200</v>
      </c>
      <c r="DV174" s="228">
        <v>0.57999999999999996</v>
      </c>
      <c r="DW174" s="228">
        <v>0.42</v>
      </c>
      <c r="DX174" s="228">
        <v>0.16</v>
      </c>
      <c r="DY174" s="229">
        <v>0.38100000000000001</v>
      </c>
      <c r="DZ174" s="229">
        <v>1.15E-2</v>
      </c>
      <c r="EA174" s="230">
        <v>81000</v>
      </c>
      <c r="EB174" s="229">
        <v>4.4999999999999997E-3</v>
      </c>
      <c r="EC174" s="229">
        <v>1.15E-2</v>
      </c>
      <c r="ED174" s="228">
        <v>-1.1000000000000001</v>
      </c>
      <c r="EE174" s="229">
        <v>-8.0000000000000004E-4</v>
      </c>
      <c r="EF174" s="230">
        <v>405686</v>
      </c>
      <c r="EG174" s="230">
        <v>754928</v>
      </c>
      <c r="EH174" s="229">
        <v>-0.46260000000000001</v>
      </c>
      <c r="EI174" s="229">
        <v>0.45989999999999998</v>
      </c>
      <c r="EJ174" s="231">
        <v>29000.32</v>
      </c>
      <c r="EK174" s="231">
        <v>15461.77</v>
      </c>
      <c r="EL174" s="231">
        <v>11702.27</v>
      </c>
      <c r="EM174" s="231">
        <v>3681</v>
      </c>
      <c r="EN174" s="231">
        <v>56164.36</v>
      </c>
      <c r="EO174" s="231">
        <v>136017.34</v>
      </c>
      <c r="EP174" s="231">
        <v>-79852.98</v>
      </c>
      <c r="EQ174" s="229">
        <v>-0.58709999999999996</v>
      </c>
      <c r="ER174" s="231">
        <v>22280</v>
      </c>
      <c r="ES174" s="231">
        <v>12192</v>
      </c>
      <c r="ET174" s="231">
        <v>91549</v>
      </c>
      <c r="EU174" s="231">
        <v>25234534</v>
      </c>
      <c r="EV174" s="231">
        <v>126021</v>
      </c>
      <c r="EW174" s="231">
        <v>120072</v>
      </c>
      <c r="EX174" s="231">
        <v>5949</v>
      </c>
      <c r="EY174" s="229">
        <v>4.9500000000000002E-2</v>
      </c>
      <c r="EZ174" s="229">
        <v>0.37990000000000002</v>
      </c>
      <c r="FA174" s="227" t="s">
        <v>555</v>
      </c>
      <c r="FB174" s="161">
        <f t="shared" si="4"/>
        <v>0</v>
      </c>
    </row>
    <row r="175" spans="1:158" ht="17.25" thickBot="1" x14ac:dyDescent="0.3">
      <c r="A175" s="226">
        <v>46121</v>
      </c>
      <c r="B175" s="227" t="s">
        <v>172</v>
      </c>
      <c r="C175" s="227" t="s">
        <v>279</v>
      </c>
      <c r="D175" s="228">
        <v>3175</v>
      </c>
      <c r="E175" s="228">
        <v>318.45</v>
      </c>
      <c r="F175" s="228">
        <v>324.14999999999998</v>
      </c>
      <c r="G175" s="228">
        <v>-5.7</v>
      </c>
      <c r="H175" s="229">
        <v>-1.7600000000000001E-2</v>
      </c>
      <c r="I175" s="228">
        <v>317.7</v>
      </c>
      <c r="J175" s="228">
        <v>322.85000000000002</v>
      </c>
      <c r="K175" s="228">
        <v>-5.15</v>
      </c>
      <c r="L175" s="229">
        <v>-1.6E-2</v>
      </c>
      <c r="M175" s="228">
        <v>318.45</v>
      </c>
      <c r="N175" s="228">
        <v>324.14999999999998</v>
      </c>
      <c r="O175" s="228">
        <v>-5.7</v>
      </c>
      <c r="P175" s="229">
        <v>-1.7600000000000001E-2</v>
      </c>
      <c r="Q175" s="228">
        <v>320.10000000000002</v>
      </c>
      <c r="R175" s="228">
        <v>325.89999999999998</v>
      </c>
      <c r="S175" s="228">
        <v>-5.8</v>
      </c>
      <c r="T175" s="229">
        <v>-1.78E-2</v>
      </c>
      <c r="U175" s="228">
        <v>321.85000000000002</v>
      </c>
      <c r="V175" s="228">
        <v>327.35000000000002</v>
      </c>
      <c r="W175" s="228">
        <v>-5.5</v>
      </c>
      <c r="X175" s="229">
        <v>-1.6799999999999999E-2</v>
      </c>
      <c r="Y175" s="228">
        <v>0.75</v>
      </c>
      <c r="Z175" s="228">
        <v>1.3</v>
      </c>
      <c r="AA175" s="228">
        <v>-0.55000000000000004</v>
      </c>
      <c r="AB175" s="229">
        <v>2.3999999999999998E-3</v>
      </c>
      <c r="AC175" s="228">
        <v>0.75</v>
      </c>
      <c r="AD175" s="228">
        <v>1.3</v>
      </c>
      <c r="AE175" s="228">
        <v>-0.55000000000000004</v>
      </c>
      <c r="AF175" s="229">
        <v>2.3999999999999998E-3</v>
      </c>
      <c r="AG175" s="228">
        <v>2.4</v>
      </c>
      <c r="AH175" s="228">
        <v>3.05</v>
      </c>
      <c r="AI175" s="228">
        <v>-0.65</v>
      </c>
      <c r="AJ175" s="229">
        <v>7.6E-3</v>
      </c>
      <c r="AK175" s="228">
        <v>4.1500000000000004</v>
      </c>
      <c r="AL175" s="228">
        <v>4.5</v>
      </c>
      <c r="AM175" s="228">
        <v>-0.35</v>
      </c>
      <c r="AN175" s="229">
        <v>1.3100000000000001E-2</v>
      </c>
      <c r="AO175" s="228">
        <v>319.54000000000002</v>
      </c>
      <c r="AP175" s="228">
        <v>321.5</v>
      </c>
      <c r="AQ175" s="228">
        <v>0</v>
      </c>
      <c r="AR175" s="230">
        <v>9906000</v>
      </c>
      <c r="AS175" s="230">
        <v>19723100</v>
      </c>
      <c r="AT175" s="230">
        <v>-9817100</v>
      </c>
      <c r="AU175" s="229">
        <v>-0.49769999999999998</v>
      </c>
      <c r="AV175" s="230">
        <v>9547225</v>
      </c>
      <c r="AW175" s="230">
        <v>19319875</v>
      </c>
      <c r="AX175" s="230">
        <v>-9772650</v>
      </c>
      <c r="AY175" s="229">
        <v>-0.50580000000000003</v>
      </c>
      <c r="AZ175" s="230">
        <v>336550</v>
      </c>
      <c r="BA175" s="230">
        <v>342900</v>
      </c>
      <c r="BB175" s="230">
        <v>-6350</v>
      </c>
      <c r="BC175" s="229">
        <v>-1.8499999999999999E-2</v>
      </c>
      <c r="BD175" s="230">
        <v>22225</v>
      </c>
      <c r="BE175" s="230">
        <v>60325</v>
      </c>
      <c r="BF175" s="230">
        <v>-38100</v>
      </c>
      <c r="BG175" s="229">
        <v>-0.63160000000000005</v>
      </c>
      <c r="BH175" s="230">
        <v>21593175</v>
      </c>
      <c r="BI175" s="230">
        <v>50165000</v>
      </c>
      <c r="BJ175" s="230">
        <v>-28571825</v>
      </c>
      <c r="BK175" s="229">
        <v>-0.5696</v>
      </c>
      <c r="BL175" s="230">
        <v>16141700</v>
      </c>
      <c r="BM175" s="230">
        <v>26981150</v>
      </c>
      <c r="BN175" s="230">
        <v>-10839450</v>
      </c>
      <c r="BO175" s="229">
        <v>-0.4017</v>
      </c>
      <c r="BP175" s="230">
        <v>47640875</v>
      </c>
      <c r="BQ175" s="230">
        <v>96869250</v>
      </c>
      <c r="BR175" s="230">
        <v>-49228375</v>
      </c>
      <c r="BS175" s="229">
        <v>-0.50819999999999999</v>
      </c>
      <c r="BT175" s="230">
        <v>3655335</v>
      </c>
      <c r="BU175" s="230">
        <v>6473060</v>
      </c>
      <c r="BV175" s="230">
        <v>-2817725</v>
      </c>
      <c r="BW175" s="229">
        <v>-0.43530000000000002</v>
      </c>
      <c r="BX175" s="230">
        <v>64547750</v>
      </c>
      <c r="BY175" s="230">
        <v>65519300</v>
      </c>
      <c r="BZ175" s="230">
        <v>-971550</v>
      </c>
      <c r="CA175" s="229">
        <v>-1.4800000000000001E-2</v>
      </c>
      <c r="CB175" s="230">
        <v>63985775</v>
      </c>
      <c r="CC175" s="230">
        <v>64995425</v>
      </c>
      <c r="CD175" s="230">
        <v>-1009650</v>
      </c>
      <c r="CE175" s="229">
        <v>-1.55E-2</v>
      </c>
      <c r="CF175" s="230">
        <v>488950</v>
      </c>
      <c r="CG175" s="230">
        <v>460375</v>
      </c>
      <c r="CH175" s="230">
        <v>28575</v>
      </c>
      <c r="CI175" s="229">
        <v>6.2100000000000002E-2</v>
      </c>
      <c r="CJ175" s="230">
        <v>73025</v>
      </c>
      <c r="CK175" s="230">
        <v>63500</v>
      </c>
      <c r="CL175" s="230">
        <v>9525</v>
      </c>
      <c r="CM175" s="229">
        <v>0.15</v>
      </c>
      <c r="CN175" s="230">
        <v>27670125</v>
      </c>
      <c r="CO175" s="230">
        <v>27266900</v>
      </c>
      <c r="CP175" s="230">
        <v>403225</v>
      </c>
      <c r="CQ175" s="229">
        <v>1.4800000000000001E-2</v>
      </c>
      <c r="CR175" s="230">
        <v>29013150</v>
      </c>
      <c r="CS175" s="230">
        <v>29095700</v>
      </c>
      <c r="CT175" s="230">
        <v>-82550</v>
      </c>
      <c r="CU175" s="229">
        <v>-2.8E-3</v>
      </c>
      <c r="CV175" s="230">
        <v>121231025</v>
      </c>
      <c r="CW175" s="230">
        <v>121881900</v>
      </c>
      <c r="CX175" s="230">
        <v>-650875</v>
      </c>
      <c r="CY175" s="229">
        <v>-5.3E-3</v>
      </c>
      <c r="CZ175" s="228">
        <v>32.76</v>
      </c>
      <c r="DA175" s="228">
        <v>32.28</v>
      </c>
      <c r="DB175" s="228">
        <v>0.48</v>
      </c>
      <c r="DC175" s="228">
        <v>0.48</v>
      </c>
      <c r="DD175" s="228">
        <v>43.57</v>
      </c>
      <c r="DE175" s="228">
        <v>43.62</v>
      </c>
      <c r="DF175" s="228">
        <v>-10.81</v>
      </c>
      <c r="DG175" s="228">
        <v>-0.05</v>
      </c>
      <c r="DH175" s="228">
        <v>32.56</v>
      </c>
      <c r="DI175" s="228">
        <v>31.65</v>
      </c>
      <c r="DJ175" s="228">
        <v>0.91</v>
      </c>
      <c r="DK175" s="228">
        <v>0.91</v>
      </c>
      <c r="DL175" s="228">
        <v>33.020000000000003</v>
      </c>
      <c r="DM175" s="228">
        <v>33.46</v>
      </c>
      <c r="DN175" s="228">
        <v>-0.44</v>
      </c>
      <c r="DO175" s="228">
        <v>-0.44</v>
      </c>
      <c r="DP175" s="228">
        <v>1.05</v>
      </c>
      <c r="DQ175" s="228">
        <v>1.07</v>
      </c>
      <c r="DR175" s="228">
        <v>-0.02</v>
      </c>
      <c r="DS175" s="229">
        <v>-1.8700000000000001E-2</v>
      </c>
      <c r="DT175" s="228">
        <v>300</v>
      </c>
      <c r="DU175" s="228">
        <v>280</v>
      </c>
      <c r="DV175" s="228">
        <v>0.75</v>
      </c>
      <c r="DW175" s="228">
        <v>0.54</v>
      </c>
      <c r="DX175" s="228">
        <v>0.21</v>
      </c>
      <c r="DY175" s="229">
        <v>0.38890000000000002</v>
      </c>
      <c r="DZ175" s="229">
        <v>8.6999999999999994E-3</v>
      </c>
      <c r="EA175" s="230">
        <v>523875</v>
      </c>
      <c r="EB175" s="229">
        <v>5.1999999999999998E-3</v>
      </c>
      <c r="EC175" s="229">
        <v>8.6999999999999994E-3</v>
      </c>
      <c r="ED175" s="228">
        <v>1.96</v>
      </c>
      <c r="EE175" s="229">
        <v>6.1000000000000004E-3</v>
      </c>
      <c r="EF175" s="230">
        <v>889630</v>
      </c>
      <c r="EG175" s="230">
        <v>2056184</v>
      </c>
      <c r="EH175" s="229">
        <v>-0.56730000000000003</v>
      </c>
      <c r="EI175" s="229">
        <v>0.24340000000000001</v>
      </c>
      <c r="EJ175" s="231">
        <v>72450.33</v>
      </c>
      <c r="EK175" s="231">
        <v>50229.279999999999</v>
      </c>
      <c r="EL175" s="231">
        <v>31661.23</v>
      </c>
      <c r="EM175" s="231">
        <v>7819</v>
      </c>
      <c r="EN175" s="231">
        <v>154340.84</v>
      </c>
      <c r="EO175" s="231">
        <v>317772.39</v>
      </c>
      <c r="EP175" s="231">
        <v>-163431.54999999999</v>
      </c>
      <c r="EQ175" s="229">
        <v>-0.51429999999999998</v>
      </c>
      <c r="ER175" s="231">
        <v>87545</v>
      </c>
      <c r="ES175" s="231">
        <v>85829</v>
      </c>
      <c r="ET175" s="231">
        <v>205563</v>
      </c>
      <c r="EU175" s="231">
        <v>92573471</v>
      </c>
      <c r="EV175" s="231">
        <v>378937</v>
      </c>
      <c r="EW175" s="231">
        <v>384563</v>
      </c>
      <c r="EX175" s="231">
        <v>-5626</v>
      </c>
      <c r="EY175" s="229">
        <v>-1.46E-2</v>
      </c>
      <c r="EZ175" s="229">
        <v>1.3096000000000001</v>
      </c>
      <c r="FA175" s="227" t="s">
        <v>567</v>
      </c>
      <c r="FB175" s="161">
        <f t="shared" si="4"/>
        <v>0</v>
      </c>
    </row>
    <row r="176" spans="1:158" ht="17.25" thickBot="1" x14ac:dyDescent="0.3">
      <c r="A176" s="226">
        <v>46121</v>
      </c>
      <c r="B176" s="227" t="s">
        <v>175</v>
      </c>
      <c r="C176" s="227" t="s">
        <v>280</v>
      </c>
      <c r="D176" s="228">
        <v>1400</v>
      </c>
      <c r="E176" s="228">
        <v>348.15</v>
      </c>
      <c r="F176" s="228">
        <v>343.55</v>
      </c>
      <c r="G176" s="228">
        <v>4.5999999999999996</v>
      </c>
      <c r="H176" s="229">
        <v>1.34E-2</v>
      </c>
      <c r="I176" s="228">
        <v>346.8</v>
      </c>
      <c r="J176" s="228">
        <v>342.65</v>
      </c>
      <c r="K176" s="228">
        <v>4.1500000000000004</v>
      </c>
      <c r="L176" s="229">
        <v>1.21E-2</v>
      </c>
      <c r="M176" s="228">
        <v>348.15</v>
      </c>
      <c r="N176" s="228">
        <v>343.55</v>
      </c>
      <c r="O176" s="228">
        <v>4.5999999999999996</v>
      </c>
      <c r="P176" s="229">
        <v>1.34E-2</v>
      </c>
      <c r="Q176" s="228">
        <v>350.15</v>
      </c>
      <c r="R176" s="228">
        <v>345.75</v>
      </c>
      <c r="S176" s="228">
        <v>4.4000000000000004</v>
      </c>
      <c r="T176" s="229">
        <v>1.2699999999999999E-2</v>
      </c>
      <c r="U176" s="228">
        <v>350.75</v>
      </c>
      <c r="V176" s="228">
        <v>347.1</v>
      </c>
      <c r="W176" s="228">
        <v>3.65</v>
      </c>
      <c r="X176" s="229">
        <v>1.0500000000000001E-2</v>
      </c>
      <c r="Y176" s="228">
        <v>1.35</v>
      </c>
      <c r="Z176" s="228">
        <v>0.9</v>
      </c>
      <c r="AA176" s="228">
        <v>0.45</v>
      </c>
      <c r="AB176" s="229">
        <v>3.8999999999999998E-3</v>
      </c>
      <c r="AC176" s="228">
        <v>1.35</v>
      </c>
      <c r="AD176" s="228">
        <v>0.9</v>
      </c>
      <c r="AE176" s="228">
        <v>0.45</v>
      </c>
      <c r="AF176" s="229">
        <v>3.8999999999999998E-3</v>
      </c>
      <c r="AG176" s="228">
        <v>3.35</v>
      </c>
      <c r="AH176" s="228">
        <v>3.1</v>
      </c>
      <c r="AI176" s="228">
        <v>0.25</v>
      </c>
      <c r="AJ176" s="229">
        <v>9.7000000000000003E-3</v>
      </c>
      <c r="AK176" s="228">
        <v>3.95</v>
      </c>
      <c r="AL176" s="228">
        <v>4.45</v>
      </c>
      <c r="AM176" s="228">
        <v>-0.5</v>
      </c>
      <c r="AN176" s="229">
        <v>1.14E-2</v>
      </c>
      <c r="AO176" s="228">
        <v>347.51</v>
      </c>
      <c r="AP176" s="228">
        <v>349.61</v>
      </c>
      <c r="AQ176" s="228">
        <v>0</v>
      </c>
      <c r="AR176" s="230">
        <v>8743000</v>
      </c>
      <c r="AS176" s="230">
        <v>8624000</v>
      </c>
      <c r="AT176" s="230">
        <v>119000</v>
      </c>
      <c r="AU176" s="229">
        <v>1.38E-2</v>
      </c>
      <c r="AV176" s="230">
        <v>7632800</v>
      </c>
      <c r="AW176" s="230">
        <v>7596400</v>
      </c>
      <c r="AX176" s="230">
        <v>36400</v>
      </c>
      <c r="AY176" s="229">
        <v>4.7999999999999996E-3</v>
      </c>
      <c r="AZ176" s="230">
        <v>1023400</v>
      </c>
      <c r="BA176" s="230">
        <v>917000</v>
      </c>
      <c r="BB176" s="230">
        <v>106400</v>
      </c>
      <c r="BC176" s="229">
        <v>0.11600000000000001</v>
      </c>
      <c r="BD176" s="230">
        <v>86800</v>
      </c>
      <c r="BE176" s="230">
        <v>110600</v>
      </c>
      <c r="BF176" s="230">
        <v>-23800</v>
      </c>
      <c r="BG176" s="229">
        <v>-0.2152</v>
      </c>
      <c r="BH176" s="230">
        <v>30020200</v>
      </c>
      <c r="BI176" s="230">
        <v>23164400</v>
      </c>
      <c r="BJ176" s="230">
        <v>6855800</v>
      </c>
      <c r="BK176" s="229">
        <v>0.29599999999999999</v>
      </c>
      <c r="BL176" s="230">
        <v>15429400</v>
      </c>
      <c r="BM176" s="230">
        <v>14589400</v>
      </c>
      <c r="BN176" s="230">
        <v>840000</v>
      </c>
      <c r="BO176" s="229">
        <v>5.7599999999999998E-2</v>
      </c>
      <c r="BP176" s="230">
        <v>54192600</v>
      </c>
      <c r="BQ176" s="230">
        <v>46377800</v>
      </c>
      <c r="BR176" s="230">
        <v>7814800</v>
      </c>
      <c r="BS176" s="229">
        <v>0.16850000000000001</v>
      </c>
      <c r="BT176" s="230">
        <v>6804459</v>
      </c>
      <c r="BU176" s="230">
        <v>7599128</v>
      </c>
      <c r="BV176" s="230">
        <v>-794669</v>
      </c>
      <c r="BW176" s="229">
        <v>-0.1046</v>
      </c>
      <c r="BX176" s="230">
        <v>69851600</v>
      </c>
      <c r="BY176" s="230">
        <v>69588400</v>
      </c>
      <c r="BZ176" s="230">
        <v>263200</v>
      </c>
      <c r="CA176" s="229">
        <v>3.8E-3</v>
      </c>
      <c r="CB176" s="230">
        <v>64979600</v>
      </c>
      <c r="CC176" s="230">
        <v>64871800</v>
      </c>
      <c r="CD176" s="230">
        <v>107800</v>
      </c>
      <c r="CE176" s="229">
        <v>1.6999999999999999E-3</v>
      </c>
      <c r="CF176" s="230">
        <v>4765600</v>
      </c>
      <c r="CG176" s="230">
        <v>4589200</v>
      </c>
      <c r="CH176" s="230">
        <v>176400</v>
      </c>
      <c r="CI176" s="229">
        <v>3.8399999999999997E-2</v>
      </c>
      <c r="CJ176" s="230">
        <v>106400</v>
      </c>
      <c r="CK176" s="230">
        <v>127400</v>
      </c>
      <c r="CL176" s="230">
        <v>-21000</v>
      </c>
      <c r="CM176" s="229">
        <v>-0.1648</v>
      </c>
      <c r="CN176" s="230">
        <v>20868400</v>
      </c>
      <c r="CO176" s="230">
        <v>19798800</v>
      </c>
      <c r="CP176" s="230">
        <v>1069600</v>
      </c>
      <c r="CQ176" s="229">
        <v>5.3999999999999999E-2</v>
      </c>
      <c r="CR176" s="230">
        <v>18562600</v>
      </c>
      <c r="CS176" s="230">
        <v>17897600</v>
      </c>
      <c r="CT176" s="230">
        <v>665000</v>
      </c>
      <c r="CU176" s="229">
        <v>3.7199999999999997E-2</v>
      </c>
      <c r="CV176" s="230">
        <v>109282600</v>
      </c>
      <c r="CW176" s="230">
        <v>107284800</v>
      </c>
      <c r="CX176" s="230">
        <v>1997800</v>
      </c>
      <c r="CY176" s="229">
        <v>1.8599999999999998E-2</v>
      </c>
      <c r="CZ176" s="228">
        <v>34.83</v>
      </c>
      <c r="DA176" s="228">
        <v>34.729999999999997</v>
      </c>
      <c r="DB176" s="228">
        <v>0.1</v>
      </c>
      <c r="DC176" s="228">
        <v>0.1</v>
      </c>
      <c r="DD176" s="228">
        <v>42.89</v>
      </c>
      <c r="DE176" s="228">
        <v>42.96</v>
      </c>
      <c r="DF176" s="228">
        <v>-8.06</v>
      </c>
      <c r="DG176" s="228">
        <v>-7.0000000000000007E-2</v>
      </c>
      <c r="DH176" s="228">
        <v>33.44</v>
      </c>
      <c r="DI176" s="228">
        <v>33.06</v>
      </c>
      <c r="DJ176" s="228">
        <v>0.38</v>
      </c>
      <c r="DK176" s="228">
        <v>0.38</v>
      </c>
      <c r="DL176" s="228">
        <v>37.54</v>
      </c>
      <c r="DM176" s="228">
        <v>37.39</v>
      </c>
      <c r="DN176" s="228">
        <v>0.15</v>
      </c>
      <c r="DO176" s="228">
        <v>0.15</v>
      </c>
      <c r="DP176" s="228">
        <v>0.89</v>
      </c>
      <c r="DQ176" s="228">
        <v>0.9</v>
      </c>
      <c r="DR176" s="228">
        <v>-0.01</v>
      </c>
      <c r="DS176" s="229">
        <v>-1.11E-2</v>
      </c>
      <c r="DT176" s="228">
        <v>350</v>
      </c>
      <c r="DU176" s="228">
        <v>330</v>
      </c>
      <c r="DV176" s="228">
        <v>0.51</v>
      </c>
      <c r="DW176" s="228">
        <v>0.63</v>
      </c>
      <c r="DX176" s="228">
        <v>-0.12</v>
      </c>
      <c r="DY176" s="229">
        <v>-0.1905</v>
      </c>
      <c r="DZ176" s="229">
        <v>6.9699999999999998E-2</v>
      </c>
      <c r="EA176" s="230">
        <v>4716600</v>
      </c>
      <c r="EB176" s="229">
        <v>5.7000000000000002E-3</v>
      </c>
      <c r="EC176" s="229">
        <v>6.9699999999999998E-2</v>
      </c>
      <c r="ED176" s="228">
        <v>2.1</v>
      </c>
      <c r="EE176" s="229">
        <v>6.0000000000000001E-3</v>
      </c>
      <c r="EF176" s="230">
        <v>2428239</v>
      </c>
      <c r="EG176" s="230">
        <v>3522096</v>
      </c>
      <c r="EH176" s="229">
        <v>-0.31059999999999999</v>
      </c>
      <c r="EI176" s="229">
        <v>0.3569</v>
      </c>
      <c r="EJ176" s="231">
        <v>109690.14</v>
      </c>
      <c r="EK176" s="231">
        <v>51819.55</v>
      </c>
      <c r="EL176" s="231">
        <v>30407.61</v>
      </c>
      <c r="EM176" s="231">
        <v>5014</v>
      </c>
      <c r="EN176" s="231">
        <v>191917.3</v>
      </c>
      <c r="EO176" s="231">
        <v>161739.38</v>
      </c>
      <c r="EP176" s="231">
        <v>30177.919999999998</v>
      </c>
      <c r="EQ176" s="229">
        <v>0.18659999999999999</v>
      </c>
      <c r="ER176" s="231">
        <v>72274</v>
      </c>
      <c r="ES176" s="231">
        <v>61375</v>
      </c>
      <c r="ET176" s="231">
        <v>243286</v>
      </c>
      <c r="EU176" s="231">
        <v>187084550</v>
      </c>
      <c r="EV176" s="231">
        <v>376936</v>
      </c>
      <c r="EW176" s="231">
        <v>366170</v>
      </c>
      <c r="EX176" s="231">
        <v>10766</v>
      </c>
      <c r="EY176" s="229">
        <v>2.9399999999999999E-2</v>
      </c>
      <c r="EZ176" s="229">
        <v>0.58409999999999995</v>
      </c>
      <c r="FA176" s="227" t="s">
        <v>555</v>
      </c>
      <c r="FB176" s="161">
        <f t="shared" si="4"/>
        <v>0</v>
      </c>
    </row>
    <row r="177" spans="1:158" ht="17.25" thickBot="1" x14ac:dyDescent="0.3">
      <c r="A177" s="226">
        <v>46121</v>
      </c>
      <c r="B177" s="227" t="s">
        <v>193</v>
      </c>
      <c r="C177" s="227" t="s">
        <v>281</v>
      </c>
      <c r="D177" s="228">
        <v>500</v>
      </c>
      <c r="E177" s="231">
        <v>1335.7</v>
      </c>
      <c r="F177" s="231">
        <v>1351</v>
      </c>
      <c r="G177" s="228">
        <v>-15.3</v>
      </c>
      <c r="H177" s="229">
        <v>-1.1299999999999999E-2</v>
      </c>
      <c r="I177" s="231">
        <v>1330</v>
      </c>
      <c r="J177" s="231">
        <v>1347.8</v>
      </c>
      <c r="K177" s="228">
        <v>-17.8</v>
      </c>
      <c r="L177" s="229">
        <v>-1.32E-2</v>
      </c>
      <c r="M177" s="231">
        <v>1335.7</v>
      </c>
      <c r="N177" s="231">
        <v>1351</v>
      </c>
      <c r="O177" s="228">
        <v>-15.3</v>
      </c>
      <c r="P177" s="229">
        <v>-1.1299999999999999E-2</v>
      </c>
      <c r="Q177" s="231">
        <v>1342.4</v>
      </c>
      <c r="R177" s="231">
        <v>1359</v>
      </c>
      <c r="S177" s="228">
        <v>-16.600000000000001</v>
      </c>
      <c r="T177" s="229">
        <v>-1.2200000000000001E-2</v>
      </c>
      <c r="U177" s="231">
        <v>1351.8</v>
      </c>
      <c r="V177" s="231">
        <v>1367.1</v>
      </c>
      <c r="W177" s="228">
        <v>-15.3</v>
      </c>
      <c r="X177" s="229">
        <v>-1.12E-2</v>
      </c>
      <c r="Y177" s="228">
        <v>5.7</v>
      </c>
      <c r="Z177" s="228">
        <v>3.2</v>
      </c>
      <c r="AA177" s="228">
        <v>2.5</v>
      </c>
      <c r="AB177" s="229">
        <v>4.3E-3</v>
      </c>
      <c r="AC177" s="228">
        <v>5.7</v>
      </c>
      <c r="AD177" s="228">
        <v>3.2</v>
      </c>
      <c r="AE177" s="228">
        <v>2.5</v>
      </c>
      <c r="AF177" s="229">
        <v>4.3E-3</v>
      </c>
      <c r="AG177" s="228">
        <v>12.4</v>
      </c>
      <c r="AH177" s="228">
        <v>11.2</v>
      </c>
      <c r="AI177" s="228">
        <v>1.2</v>
      </c>
      <c r="AJ177" s="229">
        <v>9.2999999999999992E-3</v>
      </c>
      <c r="AK177" s="228">
        <v>21.8</v>
      </c>
      <c r="AL177" s="228">
        <v>19.3</v>
      </c>
      <c r="AM177" s="228">
        <v>2.5</v>
      </c>
      <c r="AN177" s="229">
        <v>1.6400000000000001E-2</v>
      </c>
      <c r="AO177" s="231">
        <v>1340.1</v>
      </c>
      <c r="AP177" s="231">
        <v>1346.86</v>
      </c>
      <c r="AQ177" s="228">
        <v>0</v>
      </c>
      <c r="AR177" s="230">
        <v>10949500</v>
      </c>
      <c r="AS177" s="230">
        <v>21142000</v>
      </c>
      <c r="AT177" s="230">
        <v>-10192500</v>
      </c>
      <c r="AU177" s="229">
        <v>-0.48209999999999997</v>
      </c>
      <c r="AV177" s="230">
        <v>8837000</v>
      </c>
      <c r="AW177" s="230">
        <v>18566500</v>
      </c>
      <c r="AX177" s="230">
        <v>-9729500</v>
      </c>
      <c r="AY177" s="229">
        <v>-0.52400000000000002</v>
      </c>
      <c r="AZ177" s="230">
        <v>1844500</v>
      </c>
      <c r="BA177" s="230">
        <v>2025000</v>
      </c>
      <c r="BB177" s="230">
        <v>-180500</v>
      </c>
      <c r="BC177" s="229">
        <v>-8.9099999999999999E-2</v>
      </c>
      <c r="BD177" s="230">
        <v>268000</v>
      </c>
      <c r="BE177" s="230">
        <v>550500</v>
      </c>
      <c r="BF177" s="230">
        <v>-282500</v>
      </c>
      <c r="BG177" s="229">
        <v>-0.51319999999999999</v>
      </c>
      <c r="BH177" s="230">
        <v>58869500</v>
      </c>
      <c r="BI177" s="230">
        <v>141450500</v>
      </c>
      <c r="BJ177" s="230">
        <v>-82581000</v>
      </c>
      <c r="BK177" s="229">
        <v>-0.58379999999999999</v>
      </c>
      <c r="BL177" s="230">
        <v>36088500</v>
      </c>
      <c r="BM177" s="230">
        <v>54308500</v>
      </c>
      <c r="BN177" s="230">
        <v>-18220000</v>
      </c>
      <c r="BO177" s="229">
        <v>-0.33550000000000002</v>
      </c>
      <c r="BP177" s="230">
        <v>105907500</v>
      </c>
      <c r="BQ177" s="230">
        <v>216901000</v>
      </c>
      <c r="BR177" s="230">
        <v>-110993500</v>
      </c>
      <c r="BS177" s="229">
        <v>-0.51170000000000004</v>
      </c>
      <c r="BT177" s="230">
        <v>24255909</v>
      </c>
      <c r="BU177" s="230">
        <v>23760879</v>
      </c>
      <c r="BV177" s="230">
        <v>495030</v>
      </c>
      <c r="BW177" s="229">
        <v>2.0799999999999999E-2</v>
      </c>
      <c r="BX177" s="230">
        <v>93538500</v>
      </c>
      <c r="BY177" s="230">
        <v>91883500</v>
      </c>
      <c r="BZ177" s="230">
        <v>1655000</v>
      </c>
      <c r="CA177" s="229">
        <v>1.7999999999999999E-2</v>
      </c>
      <c r="CB177" s="230">
        <v>79184500</v>
      </c>
      <c r="CC177" s="230">
        <v>78542000</v>
      </c>
      <c r="CD177" s="230">
        <v>642500</v>
      </c>
      <c r="CE177" s="229">
        <v>8.2000000000000007E-3</v>
      </c>
      <c r="CF177" s="230">
        <v>12853000</v>
      </c>
      <c r="CG177" s="230">
        <v>11964500</v>
      </c>
      <c r="CH177" s="230">
        <v>888500</v>
      </c>
      <c r="CI177" s="229">
        <v>7.4300000000000005E-2</v>
      </c>
      <c r="CJ177" s="230">
        <v>1501000</v>
      </c>
      <c r="CK177" s="230">
        <v>1377000</v>
      </c>
      <c r="CL177" s="230">
        <v>124000</v>
      </c>
      <c r="CM177" s="229">
        <v>9.01E-2</v>
      </c>
      <c r="CN177" s="230">
        <v>80429500</v>
      </c>
      <c r="CO177" s="230">
        <v>79889500</v>
      </c>
      <c r="CP177" s="230">
        <v>540000</v>
      </c>
      <c r="CQ177" s="229">
        <v>6.7999999999999996E-3</v>
      </c>
      <c r="CR177" s="230">
        <v>35006500</v>
      </c>
      <c r="CS177" s="230">
        <v>34654500</v>
      </c>
      <c r="CT177" s="230">
        <v>352000</v>
      </c>
      <c r="CU177" s="229">
        <v>1.0200000000000001E-2</v>
      </c>
      <c r="CV177" s="230">
        <v>208974500</v>
      </c>
      <c r="CW177" s="230">
        <v>206427500</v>
      </c>
      <c r="CX177" s="230">
        <v>2547000</v>
      </c>
      <c r="CY177" s="229">
        <v>1.23E-2</v>
      </c>
      <c r="CZ177" s="228">
        <v>24.67</v>
      </c>
      <c r="DA177" s="228">
        <v>23.89</v>
      </c>
      <c r="DB177" s="228">
        <v>0.78</v>
      </c>
      <c r="DC177" s="228">
        <v>0.78</v>
      </c>
      <c r="DD177" s="228">
        <v>26.22</v>
      </c>
      <c r="DE177" s="228">
        <v>26.23</v>
      </c>
      <c r="DF177" s="228">
        <v>-1.55</v>
      </c>
      <c r="DG177" s="228">
        <v>-0.01</v>
      </c>
      <c r="DH177" s="228">
        <v>24.91</v>
      </c>
      <c r="DI177" s="228">
        <v>23.62</v>
      </c>
      <c r="DJ177" s="228">
        <v>1.29</v>
      </c>
      <c r="DK177" s="228">
        <v>1.29</v>
      </c>
      <c r="DL177" s="228">
        <v>24.29</v>
      </c>
      <c r="DM177" s="228">
        <v>24.57</v>
      </c>
      <c r="DN177" s="228">
        <v>-0.28000000000000003</v>
      </c>
      <c r="DO177" s="228">
        <v>-0.28000000000000003</v>
      </c>
      <c r="DP177" s="228">
        <v>0.44</v>
      </c>
      <c r="DQ177" s="228">
        <v>0.43</v>
      </c>
      <c r="DR177" s="228">
        <v>0.01</v>
      </c>
      <c r="DS177" s="229">
        <v>2.3300000000000001E-2</v>
      </c>
      <c r="DT177" s="231">
        <v>1400</v>
      </c>
      <c r="DU177" s="231">
        <v>1300</v>
      </c>
      <c r="DV177" s="228">
        <v>0.61</v>
      </c>
      <c r="DW177" s="228">
        <v>0.38</v>
      </c>
      <c r="DX177" s="228">
        <v>0.23</v>
      </c>
      <c r="DY177" s="229">
        <v>0.60529999999999995</v>
      </c>
      <c r="DZ177" s="229">
        <v>0.1535</v>
      </c>
      <c r="EA177" s="230">
        <v>13341500</v>
      </c>
      <c r="EB177" s="229">
        <v>5.0000000000000001E-3</v>
      </c>
      <c r="EC177" s="229">
        <v>0.1535</v>
      </c>
      <c r="ED177" s="228">
        <v>6.76</v>
      </c>
      <c r="EE177" s="229">
        <v>5.0000000000000001E-3</v>
      </c>
      <c r="EF177" s="230">
        <v>7995860</v>
      </c>
      <c r="EG177" s="230">
        <v>11593835</v>
      </c>
      <c r="EH177" s="229">
        <v>-0.31030000000000002</v>
      </c>
      <c r="EI177" s="229">
        <v>0.3296</v>
      </c>
      <c r="EJ177" s="231">
        <v>828196.9</v>
      </c>
      <c r="EK177" s="231">
        <v>476980.41</v>
      </c>
      <c r="EL177" s="231">
        <v>146902.09</v>
      </c>
      <c r="EM177" s="231">
        <v>38614</v>
      </c>
      <c r="EN177" s="231">
        <v>1452079.4</v>
      </c>
      <c r="EO177" s="231">
        <v>2992693.64</v>
      </c>
      <c r="EP177" s="231">
        <v>-1540614.24</v>
      </c>
      <c r="EQ177" s="229">
        <v>-0.51480000000000004</v>
      </c>
      <c r="ER177" s="231">
        <v>1126089</v>
      </c>
      <c r="ES177" s="231">
        <v>469644</v>
      </c>
      <c r="ET177" s="231">
        <v>1250497</v>
      </c>
      <c r="EU177" s="231">
        <v>664381721</v>
      </c>
      <c r="EV177" s="231">
        <v>2846230</v>
      </c>
      <c r="EW177" s="231">
        <v>2827085</v>
      </c>
      <c r="EX177" s="231">
        <v>19145</v>
      </c>
      <c r="EY177" s="229">
        <v>6.7999999999999996E-3</v>
      </c>
      <c r="EZ177" s="229">
        <v>0.3145</v>
      </c>
      <c r="FA177" s="227" t="s">
        <v>566</v>
      </c>
      <c r="FB177" s="161">
        <f t="shared" si="4"/>
        <v>0</v>
      </c>
    </row>
    <row r="178" spans="1:158" ht="17.25" thickBot="1" x14ac:dyDescent="0.3">
      <c r="A178" s="226">
        <v>46121</v>
      </c>
      <c r="B178" s="227" t="s">
        <v>215</v>
      </c>
      <c r="C178" s="227" t="s">
        <v>673</v>
      </c>
      <c r="D178" s="228">
        <v>1525</v>
      </c>
      <c r="E178" s="228">
        <v>271.77999999999997</v>
      </c>
      <c r="F178" s="228">
        <v>272.68</v>
      </c>
      <c r="G178" s="228">
        <v>-0.9</v>
      </c>
      <c r="H178" s="229">
        <v>-3.3E-3</v>
      </c>
      <c r="I178" s="228">
        <v>272.83</v>
      </c>
      <c r="J178" s="228">
        <v>274.94</v>
      </c>
      <c r="K178" s="228">
        <v>-2.11</v>
      </c>
      <c r="L178" s="229">
        <v>-7.7000000000000002E-3</v>
      </c>
      <c r="M178" s="228">
        <v>271.77999999999997</v>
      </c>
      <c r="N178" s="228">
        <v>272.68</v>
      </c>
      <c r="O178" s="228">
        <v>-0.9</v>
      </c>
      <c r="P178" s="229">
        <v>-3.3E-3</v>
      </c>
      <c r="Q178" s="228">
        <v>261.52</v>
      </c>
      <c r="R178" s="228">
        <v>262.98</v>
      </c>
      <c r="S178" s="228">
        <v>-1.46</v>
      </c>
      <c r="T178" s="229">
        <v>-5.5999999999999999E-3</v>
      </c>
      <c r="U178" s="228">
        <v>254.8</v>
      </c>
      <c r="V178" s="228">
        <v>256.92</v>
      </c>
      <c r="W178" s="228">
        <v>-2.12</v>
      </c>
      <c r="X178" s="229">
        <v>-8.3000000000000001E-3</v>
      </c>
      <c r="Y178" s="228">
        <v>-1.05</v>
      </c>
      <c r="Z178" s="228">
        <v>-2.2599999999999998</v>
      </c>
      <c r="AA178" s="228">
        <v>1.21</v>
      </c>
      <c r="AB178" s="229">
        <v>-3.8E-3</v>
      </c>
      <c r="AC178" s="228">
        <v>-1.05</v>
      </c>
      <c r="AD178" s="228">
        <v>-2.2599999999999998</v>
      </c>
      <c r="AE178" s="228">
        <v>1.21</v>
      </c>
      <c r="AF178" s="229">
        <v>-3.8E-3</v>
      </c>
      <c r="AG178" s="228">
        <v>-11.31</v>
      </c>
      <c r="AH178" s="228">
        <v>-11.96</v>
      </c>
      <c r="AI178" s="228">
        <v>0.65</v>
      </c>
      <c r="AJ178" s="229">
        <v>-4.1500000000000002E-2</v>
      </c>
      <c r="AK178" s="228">
        <v>-18.03</v>
      </c>
      <c r="AL178" s="228">
        <v>-18.02</v>
      </c>
      <c r="AM178" s="228">
        <v>-0.01</v>
      </c>
      <c r="AN178" s="229">
        <v>-6.6100000000000006E-2</v>
      </c>
      <c r="AO178" s="228">
        <v>270.39</v>
      </c>
      <c r="AP178" s="228">
        <v>259.75</v>
      </c>
      <c r="AQ178" s="228">
        <v>0</v>
      </c>
      <c r="AR178" s="230">
        <v>9221675</v>
      </c>
      <c r="AS178" s="230">
        <v>11048625</v>
      </c>
      <c r="AT178" s="230">
        <v>-1826950</v>
      </c>
      <c r="AU178" s="229">
        <v>-0.16539999999999999</v>
      </c>
      <c r="AV178" s="230">
        <v>6342475</v>
      </c>
      <c r="AW178" s="230">
        <v>7623475</v>
      </c>
      <c r="AX178" s="230">
        <v>-1281000</v>
      </c>
      <c r="AY178" s="229">
        <v>-0.16800000000000001</v>
      </c>
      <c r="AZ178" s="230">
        <v>2650450</v>
      </c>
      <c r="BA178" s="230">
        <v>3133875</v>
      </c>
      <c r="BB178" s="230">
        <v>-483425</v>
      </c>
      <c r="BC178" s="229">
        <v>-0.15429999999999999</v>
      </c>
      <c r="BD178" s="230">
        <v>228750</v>
      </c>
      <c r="BE178" s="230">
        <v>291275</v>
      </c>
      <c r="BF178" s="230">
        <v>-62525</v>
      </c>
      <c r="BG178" s="229">
        <v>-0.2147</v>
      </c>
      <c r="BH178" s="230">
        <v>13468800</v>
      </c>
      <c r="BI178" s="230">
        <v>18364050</v>
      </c>
      <c r="BJ178" s="230">
        <v>-4895250</v>
      </c>
      <c r="BK178" s="229">
        <v>-0.2666</v>
      </c>
      <c r="BL178" s="230">
        <v>4212050</v>
      </c>
      <c r="BM178" s="230">
        <v>7033300</v>
      </c>
      <c r="BN178" s="230">
        <v>-2821250</v>
      </c>
      <c r="BO178" s="229">
        <v>-0.40110000000000001</v>
      </c>
      <c r="BP178" s="230">
        <v>26902525</v>
      </c>
      <c r="BQ178" s="230">
        <v>36445975</v>
      </c>
      <c r="BR178" s="230">
        <v>-9543450</v>
      </c>
      <c r="BS178" s="229">
        <v>-0.26190000000000002</v>
      </c>
      <c r="BT178" s="230">
        <v>8401549</v>
      </c>
      <c r="BU178" s="230">
        <v>7593630</v>
      </c>
      <c r="BV178" s="230">
        <v>807919</v>
      </c>
      <c r="BW178" s="229">
        <v>0.10639999999999999</v>
      </c>
      <c r="BX178" s="230">
        <v>50309750</v>
      </c>
      <c r="BY178" s="230">
        <v>49846150</v>
      </c>
      <c r="BZ178" s="230">
        <v>463600</v>
      </c>
      <c r="CA178" s="229">
        <v>9.2999999999999992E-3</v>
      </c>
      <c r="CB178" s="230">
        <v>44128925</v>
      </c>
      <c r="CC178" s="230">
        <v>44870075</v>
      </c>
      <c r="CD178" s="230">
        <v>-741150</v>
      </c>
      <c r="CE178" s="229">
        <v>-1.6500000000000001E-2</v>
      </c>
      <c r="CF178" s="230">
        <v>5567775</v>
      </c>
      <c r="CG178" s="230">
        <v>4481975</v>
      </c>
      <c r="CH178" s="230">
        <v>1085800</v>
      </c>
      <c r="CI178" s="229">
        <v>0.24229999999999999</v>
      </c>
      <c r="CJ178" s="230">
        <v>613050</v>
      </c>
      <c r="CK178" s="230">
        <v>494100</v>
      </c>
      <c r="CL178" s="230">
        <v>118950</v>
      </c>
      <c r="CM178" s="229">
        <v>0.2407</v>
      </c>
      <c r="CN178" s="230">
        <v>15095975</v>
      </c>
      <c r="CO178" s="230">
        <v>14342625</v>
      </c>
      <c r="CP178" s="230">
        <v>753350</v>
      </c>
      <c r="CQ178" s="229">
        <v>5.2499999999999998E-2</v>
      </c>
      <c r="CR178" s="230">
        <v>10772600</v>
      </c>
      <c r="CS178" s="230">
        <v>10499625</v>
      </c>
      <c r="CT178" s="230">
        <v>272975</v>
      </c>
      <c r="CU178" s="229">
        <v>2.5999999999999999E-2</v>
      </c>
      <c r="CV178" s="230">
        <v>76178325</v>
      </c>
      <c r="CW178" s="230">
        <v>74688400</v>
      </c>
      <c r="CX178" s="230">
        <v>1489925</v>
      </c>
      <c r="CY178" s="229">
        <v>1.9900000000000001E-2</v>
      </c>
      <c r="CZ178" s="228">
        <v>45.42</v>
      </c>
      <c r="DA178" s="228">
        <v>45.5</v>
      </c>
      <c r="DB178" s="228">
        <v>-0.08</v>
      </c>
      <c r="DC178" s="228">
        <v>-0.08</v>
      </c>
      <c r="DD178" s="228">
        <v>58.47</v>
      </c>
      <c r="DE178" s="228">
        <v>58.61</v>
      </c>
      <c r="DF178" s="228">
        <v>-13.05</v>
      </c>
      <c r="DG178" s="228">
        <v>-0.14000000000000001</v>
      </c>
      <c r="DH178" s="228">
        <v>44.78</v>
      </c>
      <c r="DI178" s="228">
        <v>44.62</v>
      </c>
      <c r="DJ178" s="228">
        <v>0.16</v>
      </c>
      <c r="DK178" s="228">
        <v>0.16</v>
      </c>
      <c r="DL178" s="228">
        <v>47.48</v>
      </c>
      <c r="DM178" s="228">
        <v>47.79</v>
      </c>
      <c r="DN178" s="228">
        <v>-0.31</v>
      </c>
      <c r="DO178" s="228">
        <v>-0.31</v>
      </c>
      <c r="DP178" s="228">
        <v>0.71</v>
      </c>
      <c r="DQ178" s="228">
        <v>0.73</v>
      </c>
      <c r="DR178" s="228">
        <v>-0.02</v>
      </c>
      <c r="DS178" s="229">
        <v>-2.7400000000000001E-2</v>
      </c>
      <c r="DT178" s="228">
        <v>300</v>
      </c>
      <c r="DU178" s="228">
        <v>250</v>
      </c>
      <c r="DV178" s="228">
        <v>0.31</v>
      </c>
      <c r="DW178" s="228">
        <v>0.38</v>
      </c>
      <c r="DX178" s="228">
        <v>-7.0000000000000007E-2</v>
      </c>
      <c r="DY178" s="229">
        <v>-0.1842</v>
      </c>
      <c r="DZ178" s="229">
        <v>0.1229</v>
      </c>
      <c r="EA178" s="230">
        <v>4976075</v>
      </c>
      <c r="EB178" s="229">
        <v>-3.78E-2</v>
      </c>
      <c r="EC178" s="229">
        <v>0.1229</v>
      </c>
      <c r="ED178" s="228">
        <v>-10.64</v>
      </c>
      <c r="EE178" s="229">
        <v>-3.9399999999999998E-2</v>
      </c>
      <c r="EF178" s="230">
        <v>1658056</v>
      </c>
      <c r="EG178" s="230">
        <v>2308758</v>
      </c>
      <c r="EH178" s="229">
        <v>-0.28179999999999999</v>
      </c>
      <c r="EI178" s="229">
        <v>0.19739999999999999</v>
      </c>
      <c r="EJ178" s="231">
        <v>39800.92</v>
      </c>
      <c r="EK178" s="231">
        <v>11409.53</v>
      </c>
      <c r="EL178" s="231">
        <v>24614.05</v>
      </c>
      <c r="EM178" s="231">
        <v>5018</v>
      </c>
      <c r="EN178" s="231">
        <v>75824.5</v>
      </c>
      <c r="EO178" s="231">
        <v>102899.15</v>
      </c>
      <c r="EP178" s="231">
        <v>-27074.65</v>
      </c>
      <c r="EQ178" s="229">
        <v>-0.2631</v>
      </c>
      <c r="ER178" s="231">
        <v>43639</v>
      </c>
      <c r="ES178" s="231">
        <v>28377</v>
      </c>
      <c r="ET178" s="231">
        <v>136056</v>
      </c>
      <c r="EU178" s="231">
        <v>84941460</v>
      </c>
      <c r="EV178" s="231">
        <v>208072</v>
      </c>
      <c r="EW178" s="231">
        <v>204259</v>
      </c>
      <c r="EX178" s="231">
        <v>3813</v>
      </c>
      <c r="EY178" s="229">
        <v>1.8700000000000001E-2</v>
      </c>
      <c r="EZ178" s="229">
        <v>0.89680000000000004</v>
      </c>
      <c r="FA178" s="227" t="s">
        <v>566</v>
      </c>
      <c r="FB178" s="161">
        <f t="shared" si="4"/>
        <v>0</v>
      </c>
    </row>
    <row r="179" spans="1:158" ht="17.25" thickBot="1" x14ac:dyDescent="0.3">
      <c r="A179" s="226">
        <v>46121</v>
      </c>
      <c r="B179" s="227" t="s">
        <v>227</v>
      </c>
      <c r="C179" s="227" t="s">
        <v>282</v>
      </c>
      <c r="D179" s="228">
        <v>4700</v>
      </c>
      <c r="E179" s="228">
        <v>166.73</v>
      </c>
      <c r="F179" s="228">
        <v>165.45</v>
      </c>
      <c r="G179" s="228">
        <v>1.28</v>
      </c>
      <c r="H179" s="229">
        <v>7.7000000000000002E-3</v>
      </c>
      <c r="I179" s="228">
        <v>163.35</v>
      </c>
      <c r="J179" s="228">
        <v>164.41</v>
      </c>
      <c r="K179" s="228">
        <v>-1.06</v>
      </c>
      <c r="L179" s="229">
        <v>-6.4000000000000003E-3</v>
      </c>
      <c r="M179" s="228">
        <v>166.73</v>
      </c>
      <c r="N179" s="228">
        <v>165.45</v>
      </c>
      <c r="O179" s="228">
        <v>1.28</v>
      </c>
      <c r="P179" s="229">
        <v>7.7000000000000002E-3</v>
      </c>
      <c r="Q179" s="228">
        <v>167.83</v>
      </c>
      <c r="R179" s="228">
        <v>166.26</v>
      </c>
      <c r="S179" s="228">
        <v>1.57</v>
      </c>
      <c r="T179" s="229">
        <v>9.4000000000000004E-3</v>
      </c>
      <c r="U179" s="228">
        <v>167.1</v>
      </c>
      <c r="V179" s="228">
        <v>168.11</v>
      </c>
      <c r="W179" s="228">
        <v>-1.01</v>
      </c>
      <c r="X179" s="229">
        <v>-6.0000000000000001E-3</v>
      </c>
      <c r="Y179" s="228">
        <v>3.38</v>
      </c>
      <c r="Z179" s="228">
        <v>1.04</v>
      </c>
      <c r="AA179" s="228">
        <v>2.34</v>
      </c>
      <c r="AB179" s="229">
        <v>2.07E-2</v>
      </c>
      <c r="AC179" s="228">
        <v>3.38</v>
      </c>
      <c r="AD179" s="228">
        <v>1.04</v>
      </c>
      <c r="AE179" s="228">
        <v>2.34</v>
      </c>
      <c r="AF179" s="229">
        <v>2.07E-2</v>
      </c>
      <c r="AG179" s="228">
        <v>4.4800000000000004</v>
      </c>
      <c r="AH179" s="228">
        <v>1.85</v>
      </c>
      <c r="AI179" s="228">
        <v>2.63</v>
      </c>
      <c r="AJ179" s="229">
        <v>2.7400000000000001E-2</v>
      </c>
      <c r="AK179" s="228">
        <v>3.75</v>
      </c>
      <c r="AL179" s="228">
        <v>3.7</v>
      </c>
      <c r="AM179" s="228">
        <v>0.05</v>
      </c>
      <c r="AN179" s="229">
        <v>2.3E-2</v>
      </c>
      <c r="AO179" s="228">
        <v>166.78</v>
      </c>
      <c r="AP179" s="228">
        <v>168.37</v>
      </c>
      <c r="AQ179" s="228">
        <v>0</v>
      </c>
      <c r="AR179" s="230">
        <v>4831600</v>
      </c>
      <c r="AS179" s="230">
        <v>31804900</v>
      </c>
      <c r="AT179" s="230">
        <v>-26973300</v>
      </c>
      <c r="AU179" s="229">
        <v>-0.84809999999999997</v>
      </c>
      <c r="AV179" s="230">
        <v>4667100</v>
      </c>
      <c r="AW179" s="230">
        <v>28373900</v>
      </c>
      <c r="AX179" s="230">
        <v>-23706800</v>
      </c>
      <c r="AY179" s="229">
        <v>-0.83550000000000002</v>
      </c>
      <c r="AZ179" s="230">
        <v>159800</v>
      </c>
      <c r="BA179" s="230">
        <v>3181900</v>
      </c>
      <c r="BB179" s="230">
        <v>-3022100</v>
      </c>
      <c r="BC179" s="229">
        <v>-0.94979999999999998</v>
      </c>
      <c r="BD179" s="230">
        <v>4700</v>
      </c>
      <c r="BE179" s="230">
        <v>249100</v>
      </c>
      <c r="BF179" s="230">
        <v>-244400</v>
      </c>
      <c r="BG179" s="229">
        <v>-0.98109999999999997</v>
      </c>
      <c r="BH179" s="230">
        <v>1673200</v>
      </c>
      <c r="BI179" s="230">
        <v>33355900</v>
      </c>
      <c r="BJ179" s="230">
        <v>-31682700</v>
      </c>
      <c r="BK179" s="229">
        <v>-0.94979999999999998</v>
      </c>
      <c r="BL179" s="230">
        <v>578100</v>
      </c>
      <c r="BM179" s="230">
        <v>15058800</v>
      </c>
      <c r="BN179" s="230">
        <v>-14480700</v>
      </c>
      <c r="BO179" s="229">
        <v>-0.96160000000000001</v>
      </c>
      <c r="BP179" s="230">
        <v>7082900</v>
      </c>
      <c r="BQ179" s="230">
        <v>80219600</v>
      </c>
      <c r="BR179" s="230">
        <v>-73136700</v>
      </c>
      <c r="BS179" s="229">
        <v>-0.91169999999999995</v>
      </c>
      <c r="BT179" s="230">
        <v>22693008</v>
      </c>
      <c r="BU179" s="230">
        <v>37878756</v>
      </c>
      <c r="BV179" s="230">
        <v>-15185748</v>
      </c>
      <c r="BW179" s="229">
        <v>-0.40089999999999998</v>
      </c>
      <c r="BX179" s="230">
        <v>208116000</v>
      </c>
      <c r="BY179" s="230">
        <v>211772600</v>
      </c>
      <c r="BZ179" s="230">
        <v>-3656600</v>
      </c>
      <c r="CA179" s="229">
        <v>-1.7299999999999999E-2</v>
      </c>
      <c r="CB179" s="230">
        <v>171723900</v>
      </c>
      <c r="CC179" s="230">
        <v>175314700</v>
      </c>
      <c r="CD179" s="230">
        <v>-3590800</v>
      </c>
      <c r="CE179" s="229">
        <v>-2.0500000000000001E-2</v>
      </c>
      <c r="CF179" s="230">
        <v>36030200</v>
      </c>
      <c r="CG179" s="230">
        <v>36091300</v>
      </c>
      <c r="CH179" s="230">
        <v>-61100</v>
      </c>
      <c r="CI179" s="229">
        <v>-1.6999999999999999E-3</v>
      </c>
      <c r="CJ179" s="230">
        <v>361900</v>
      </c>
      <c r="CK179" s="230">
        <v>366600</v>
      </c>
      <c r="CL179" s="230">
        <v>-4700</v>
      </c>
      <c r="CM179" s="229">
        <v>-1.2800000000000001E-2</v>
      </c>
      <c r="CN179" s="230">
        <v>12032000</v>
      </c>
      <c r="CO179" s="230">
        <v>12910900</v>
      </c>
      <c r="CP179" s="230">
        <v>-878900</v>
      </c>
      <c r="CQ179" s="229">
        <v>-6.8099999999999994E-2</v>
      </c>
      <c r="CR179" s="230">
        <v>8582200</v>
      </c>
      <c r="CS179" s="230">
        <v>8831300</v>
      </c>
      <c r="CT179" s="230">
        <v>-249100</v>
      </c>
      <c r="CU179" s="229">
        <v>-2.8199999999999999E-2</v>
      </c>
      <c r="CV179" s="230">
        <v>228730200</v>
      </c>
      <c r="CW179" s="230">
        <v>233514800</v>
      </c>
      <c r="CX179" s="230">
        <v>-4784600</v>
      </c>
      <c r="CY179" s="229">
        <v>-2.0500000000000001E-2</v>
      </c>
      <c r="CZ179" s="228">
        <v>33.799999999999997</v>
      </c>
      <c r="DA179" s="228">
        <v>38.75</v>
      </c>
      <c r="DB179" s="228">
        <v>-4.95</v>
      </c>
      <c r="DC179" s="228">
        <v>-4.95</v>
      </c>
      <c r="DD179" s="228">
        <v>45.05</v>
      </c>
      <c r="DE179" s="228">
        <v>45.15</v>
      </c>
      <c r="DF179" s="228">
        <v>-11.25</v>
      </c>
      <c r="DG179" s="228">
        <v>-0.1</v>
      </c>
      <c r="DH179" s="228">
        <v>32.46</v>
      </c>
      <c r="DI179" s="228">
        <v>38.590000000000003</v>
      </c>
      <c r="DJ179" s="228">
        <v>-6.13</v>
      </c>
      <c r="DK179" s="228">
        <v>-6.13</v>
      </c>
      <c r="DL179" s="228">
        <v>37.65</v>
      </c>
      <c r="DM179" s="228">
        <v>39.090000000000003</v>
      </c>
      <c r="DN179" s="228">
        <v>-1.44</v>
      </c>
      <c r="DO179" s="228">
        <v>-1.44</v>
      </c>
      <c r="DP179" s="228">
        <v>0.71</v>
      </c>
      <c r="DQ179" s="228">
        <v>0.68</v>
      </c>
      <c r="DR179" s="228">
        <v>0.03</v>
      </c>
      <c r="DS179" s="229">
        <v>4.41E-2</v>
      </c>
      <c r="DT179" s="228">
        <v>170</v>
      </c>
      <c r="DU179" s="228">
        <v>160</v>
      </c>
      <c r="DV179" s="228">
        <v>0.35</v>
      </c>
      <c r="DW179" s="228">
        <v>0.45</v>
      </c>
      <c r="DX179" s="228">
        <v>-0.1</v>
      </c>
      <c r="DY179" s="229">
        <v>-0.22220000000000001</v>
      </c>
      <c r="DZ179" s="229">
        <v>0.1749</v>
      </c>
      <c r="EA179" s="230">
        <v>36457900</v>
      </c>
      <c r="EB179" s="229">
        <v>6.6E-3</v>
      </c>
      <c r="EC179" s="229">
        <v>0.1749</v>
      </c>
      <c r="ED179" s="228">
        <v>1.59</v>
      </c>
      <c r="EE179" s="229">
        <v>9.4999999999999998E-3</v>
      </c>
      <c r="EF179" s="230">
        <v>8104126</v>
      </c>
      <c r="EG179" s="230">
        <v>18787898</v>
      </c>
      <c r="EH179" s="229">
        <v>-0.56869999999999998</v>
      </c>
      <c r="EI179" s="229">
        <v>0.35709999999999997</v>
      </c>
      <c r="EJ179" s="231">
        <v>2915.23</v>
      </c>
      <c r="EK179" s="228">
        <v>934.65</v>
      </c>
      <c r="EL179" s="231">
        <v>8060.74</v>
      </c>
      <c r="EM179" s="231">
        <v>8819</v>
      </c>
      <c r="EN179" s="231">
        <v>11910.62</v>
      </c>
      <c r="EO179" s="231">
        <v>135019.91</v>
      </c>
      <c r="EP179" s="231">
        <v>-123109.29</v>
      </c>
      <c r="EQ179" s="229">
        <v>-0.91180000000000005</v>
      </c>
      <c r="ER179" s="231">
        <v>19992</v>
      </c>
      <c r="ES179" s="231">
        <v>13162</v>
      </c>
      <c r="ET179" s="231">
        <v>347389</v>
      </c>
      <c r="EU179" s="231">
        <v>216861410</v>
      </c>
      <c r="EV179" s="231">
        <v>380543</v>
      </c>
      <c r="EW179" s="231">
        <v>385722</v>
      </c>
      <c r="EX179" s="231">
        <v>-5179</v>
      </c>
      <c r="EY179" s="229">
        <v>-1.34E-2</v>
      </c>
      <c r="EZ179" s="229">
        <v>1.0547</v>
      </c>
      <c r="FA179" s="227" t="s">
        <v>694</v>
      </c>
      <c r="FB179" s="161">
        <f t="shared" si="4"/>
        <v>0</v>
      </c>
    </row>
    <row r="180" spans="1:158" ht="17.25" thickBot="1" x14ac:dyDescent="0.3">
      <c r="A180" s="226">
        <v>46121</v>
      </c>
      <c r="B180" s="227" t="s">
        <v>175</v>
      </c>
      <c r="C180" s="227" t="s">
        <v>684</v>
      </c>
      <c r="D180" s="228">
        <v>4300</v>
      </c>
      <c r="E180" s="228">
        <v>153.91</v>
      </c>
      <c r="F180" s="228">
        <v>153.07</v>
      </c>
      <c r="G180" s="228">
        <v>0.84</v>
      </c>
      <c r="H180" s="229">
        <v>5.4999999999999997E-3</v>
      </c>
      <c r="I180" s="228">
        <v>153.55000000000001</v>
      </c>
      <c r="J180" s="228">
        <v>152.69999999999999</v>
      </c>
      <c r="K180" s="228">
        <v>0.85</v>
      </c>
      <c r="L180" s="229">
        <v>5.5999999999999999E-3</v>
      </c>
      <c r="M180" s="228">
        <v>153.91</v>
      </c>
      <c r="N180" s="228">
        <v>153.07</v>
      </c>
      <c r="O180" s="228">
        <v>0.84</v>
      </c>
      <c r="P180" s="229">
        <v>5.4999999999999997E-3</v>
      </c>
      <c r="Q180" s="228">
        <v>153.65</v>
      </c>
      <c r="R180" s="228">
        <v>153.76</v>
      </c>
      <c r="S180" s="228">
        <v>-0.11</v>
      </c>
      <c r="T180" s="229">
        <v>-6.9999999999999999E-4</v>
      </c>
      <c r="U180" s="228">
        <v>153.80000000000001</v>
      </c>
      <c r="V180" s="228">
        <v>153.80000000000001</v>
      </c>
      <c r="W180" s="228">
        <v>0</v>
      </c>
      <c r="X180" s="229">
        <v>0</v>
      </c>
      <c r="Y180" s="228">
        <v>0.36</v>
      </c>
      <c r="Z180" s="228">
        <v>0.37</v>
      </c>
      <c r="AA180" s="228">
        <v>-0.01</v>
      </c>
      <c r="AB180" s="229">
        <v>2.3E-3</v>
      </c>
      <c r="AC180" s="228">
        <v>0.36</v>
      </c>
      <c r="AD180" s="228">
        <v>0.37</v>
      </c>
      <c r="AE180" s="228">
        <v>-0.01</v>
      </c>
      <c r="AF180" s="229">
        <v>2.3E-3</v>
      </c>
      <c r="AG180" s="228">
        <v>0.1</v>
      </c>
      <c r="AH180" s="228">
        <v>1.06</v>
      </c>
      <c r="AI180" s="228">
        <v>-0.96</v>
      </c>
      <c r="AJ180" s="229">
        <v>6.9999999999999999E-4</v>
      </c>
      <c r="AK180" s="228">
        <v>0.25</v>
      </c>
      <c r="AL180" s="228">
        <v>1.1000000000000001</v>
      </c>
      <c r="AM180" s="228">
        <v>-0.85</v>
      </c>
      <c r="AN180" s="229">
        <v>1.6000000000000001E-3</v>
      </c>
      <c r="AO180" s="228">
        <v>153.37</v>
      </c>
      <c r="AP180" s="228">
        <v>153.19</v>
      </c>
      <c r="AQ180" s="228">
        <v>0</v>
      </c>
      <c r="AR180" s="230">
        <v>1204000</v>
      </c>
      <c r="AS180" s="230">
        <v>8372100</v>
      </c>
      <c r="AT180" s="230">
        <v>-7168100</v>
      </c>
      <c r="AU180" s="229">
        <v>-0.85619999999999996</v>
      </c>
      <c r="AV180" s="230">
        <v>1113700</v>
      </c>
      <c r="AW180" s="230">
        <v>8217300</v>
      </c>
      <c r="AX180" s="230">
        <v>-7103600</v>
      </c>
      <c r="AY180" s="229">
        <v>-0.86450000000000005</v>
      </c>
      <c r="AZ180" s="230">
        <v>90300</v>
      </c>
      <c r="BA180" s="230">
        <v>137600</v>
      </c>
      <c r="BB180" s="230">
        <v>-47300</v>
      </c>
      <c r="BC180" s="229">
        <v>-0.34379999999999999</v>
      </c>
      <c r="BD180" s="228">
        <v>0</v>
      </c>
      <c r="BE180" s="230">
        <v>17200</v>
      </c>
      <c r="BF180" s="230">
        <v>-17200</v>
      </c>
      <c r="BG180" s="229">
        <v>-1</v>
      </c>
      <c r="BH180" s="230">
        <v>739600</v>
      </c>
      <c r="BI180" s="230">
        <v>4368800</v>
      </c>
      <c r="BJ180" s="230">
        <v>-3629200</v>
      </c>
      <c r="BK180" s="229">
        <v>-0.83069999999999999</v>
      </c>
      <c r="BL180" s="230">
        <v>455800</v>
      </c>
      <c r="BM180" s="230">
        <v>3736700</v>
      </c>
      <c r="BN180" s="230">
        <v>-3280900</v>
      </c>
      <c r="BO180" s="229">
        <v>-0.878</v>
      </c>
      <c r="BP180" s="230">
        <v>2399400</v>
      </c>
      <c r="BQ180" s="230">
        <v>16477600</v>
      </c>
      <c r="BR180" s="230">
        <v>-14078200</v>
      </c>
      <c r="BS180" s="229">
        <v>-0.85440000000000005</v>
      </c>
      <c r="BT180" s="230">
        <v>10707020</v>
      </c>
      <c r="BU180" s="230">
        <v>22879444</v>
      </c>
      <c r="BV180" s="230">
        <v>-12172424</v>
      </c>
      <c r="BW180" s="229">
        <v>-0.53200000000000003</v>
      </c>
      <c r="BX180" s="230">
        <v>106855000</v>
      </c>
      <c r="BY180" s="230">
        <v>107934300</v>
      </c>
      <c r="BZ180" s="230">
        <v>-1079300</v>
      </c>
      <c r="CA180" s="229">
        <v>-0.01</v>
      </c>
      <c r="CB180" s="230">
        <v>102512000</v>
      </c>
      <c r="CC180" s="230">
        <v>103501000</v>
      </c>
      <c r="CD180" s="230">
        <v>-989000</v>
      </c>
      <c r="CE180" s="229">
        <v>-9.5999999999999992E-3</v>
      </c>
      <c r="CF180" s="230">
        <v>4054900</v>
      </c>
      <c r="CG180" s="230">
        <v>4145200</v>
      </c>
      <c r="CH180" s="230">
        <v>-90300</v>
      </c>
      <c r="CI180" s="229">
        <v>-2.18E-2</v>
      </c>
      <c r="CJ180" s="230">
        <v>288100</v>
      </c>
      <c r="CK180" s="230">
        <v>288100</v>
      </c>
      <c r="CL180" s="228">
        <v>0</v>
      </c>
      <c r="CM180" s="229">
        <v>0</v>
      </c>
      <c r="CN180" s="230">
        <v>19887500</v>
      </c>
      <c r="CO180" s="230">
        <v>20390600</v>
      </c>
      <c r="CP180" s="230">
        <v>-503100</v>
      </c>
      <c r="CQ180" s="229">
        <v>-2.47E-2</v>
      </c>
      <c r="CR180" s="230">
        <v>20799100</v>
      </c>
      <c r="CS180" s="230">
        <v>21052800</v>
      </c>
      <c r="CT180" s="230">
        <v>-253700</v>
      </c>
      <c r="CU180" s="229">
        <v>-1.21E-2</v>
      </c>
      <c r="CV180" s="230">
        <v>147541600</v>
      </c>
      <c r="CW180" s="230">
        <v>149377700</v>
      </c>
      <c r="CX180" s="230">
        <v>-1836100</v>
      </c>
      <c r="CY180" s="229">
        <v>-1.23E-2</v>
      </c>
      <c r="CZ180" s="228">
        <v>28.01</v>
      </c>
      <c r="DA180" s="228">
        <v>30.54</v>
      </c>
      <c r="DB180" s="228">
        <v>-2.5299999999999998</v>
      </c>
      <c r="DC180" s="228">
        <v>-2.5299999999999998</v>
      </c>
      <c r="DD180" s="228">
        <v>53.98</v>
      </c>
      <c r="DE180" s="228">
        <v>54.11</v>
      </c>
      <c r="DF180" s="228">
        <v>-25.97</v>
      </c>
      <c r="DG180" s="228">
        <v>-0.13</v>
      </c>
      <c r="DH180" s="228">
        <v>28.83</v>
      </c>
      <c r="DI180" s="228">
        <v>31.08</v>
      </c>
      <c r="DJ180" s="228">
        <v>-2.25</v>
      </c>
      <c r="DK180" s="228">
        <v>-2.25</v>
      </c>
      <c r="DL180" s="228">
        <v>26.69</v>
      </c>
      <c r="DM180" s="228">
        <v>29.9</v>
      </c>
      <c r="DN180" s="228">
        <v>-3.21</v>
      </c>
      <c r="DO180" s="228">
        <v>-3.21</v>
      </c>
      <c r="DP180" s="228">
        <v>1.05</v>
      </c>
      <c r="DQ180" s="228">
        <v>1.03</v>
      </c>
      <c r="DR180" s="228">
        <v>0.02</v>
      </c>
      <c r="DS180" s="229">
        <v>1.9400000000000001E-2</v>
      </c>
      <c r="DT180" s="228">
        <v>150</v>
      </c>
      <c r="DU180" s="228">
        <v>140</v>
      </c>
      <c r="DV180" s="228">
        <v>0.62</v>
      </c>
      <c r="DW180" s="228">
        <v>0.86</v>
      </c>
      <c r="DX180" s="228">
        <v>-0.24</v>
      </c>
      <c r="DY180" s="229">
        <v>-0.27910000000000001</v>
      </c>
      <c r="DZ180" s="229">
        <v>4.0599999999999997E-2</v>
      </c>
      <c r="EA180" s="230">
        <v>4433300</v>
      </c>
      <c r="EB180" s="229">
        <v>-1.6999999999999999E-3</v>
      </c>
      <c r="EC180" s="229">
        <v>4.0599999999999997E-2</v>
      </c>
      <c r="ED180" s="228">
        <v>-0.18</v>
      </c>
      <c r="EE180" s="229">
        <v>-1.1999999999999999E-3</v>
      </c>
      <c r="EF180" s="230">
        <v>4916434</v>
      </c>
      <c r="EG180" s="230">
        <v>11776908</v>
      </c>
      <c r="EH180" s="229">
        <v>-0.58250000000000002</v>
      </c>
      <c r="EI180" s="229">
        <v>0.4592</v>
      </c>
      <c r="EJ180" s="231">
        <v>1172.93</v>
      </c>
      <c r="EK180" s="228">
        <v>674.85</v>
      </c>
      <c r="EL180" s="231">
        <v>1846.39</v>
      </c>
      <c r="EM180" s="231">
        <v>1881</v>
      </c>
      <c r="EN180" s="231">
        <v>3694.17</v>
      </c>
      <c r="EO180" s="231">
        <v>24861.53</v>
      </c>
      <c r="EP180" s="231">
        <v>-21167.360000000001</v>
      </c>
      <c r="EQ180" s="229">
        <v>-0.85140000000000005</v>
      </c>
      <c r="ER180" s="231">
        <v>30982</v>
      </c>
      <c r="ES180" s="231">
        <v>29321</v>
      </c>
      <c r="ET180" s="231">
        <v>164450</v>
      </c>
      <c r="EU180" s="231">
        <v>122372064</v>
      </c>
      <c r="EV180" s="231">
        <v>224753</v>
      </c>
      <c r="EW180" s="231">
        <v>226706</v>
      </c>
      <c r="EX180" s="231">
        <v>-1953</v>
      </c>
      <c r="EY180" s="229">
        <v>-8.6E-3</v>
      </c>
      <c r="EZ180" s="229">
        <v>1.2057</v>
      </c>
      <c r="FA180" s="227" t="s">
        <v>694</v>
      </c>
      <c r="FB180" s="161">
        <f t="shared" si="4"/>
        <v>0</v>
      </c>
    </row>
    <row r="181" spans="1:158" ht="17.25" thickBot="1" x14ac:dyDescent="0.3">
      <c r="A181" s="226">
        <v>46121</v>
      </c>
      <c r="B181" s="227" t="s">
        <v>175</v>
      </c>
      <c r="C181" s="227" t="s">
        <v>536</v>
      </c>
      <c r="D181" s="228">
        <v>800</v>
      </c>
      <c r="E181" s="228">
        <v>666.5</v>
      </c>
      <c r="F181" s="228">
        <v>667.9</v>
      </c>
      <c r="G181" s="228">
        <v>-1.4</v>
      </c>
      <c r="H181" s="229">
        <v>-2.0999999999999999E-3</v>
      </c>
      <c r="I181" s="228">
        <v>668.9</v>
      </c>
      <c r="J181" s="228">
        <v>671.25</v>
      </c>
      <c r="K181" s="228">
        <v>-2.35</v>
      </c>
      <c r="L181" s="229">
        <v>-3.5000000000000001E-3</v>
      </c>
      <c r="M181" s="228">
        <v>666.5</v>
      </c>
      <c r="N181" s="228">
        <v>667.9</v>
      </c>
      <c r="O181" s="228">
        <v>-1.4</v>
      </c>
      <c r="P181" s="229">
        <v>-2.0999999999999999E-3</v>
      </c>
      <c r="Q181" s="228">
        <v>650.85</v>
      </c>
      <c r="R181" s="228">
        <v>653.15</v>
      </c>
      <c r="S181" s="228">
        <v>-2.2999999999999998</v>
      </c>
      <c r="T181" s="229">
        <v>-3.5000000000000001E-3</v>
      </c>
      <c r="U181" s="228">
        <v>640.45000000000005</v>
      </c>
      <c r="V181" s="228">
        <v>642.9</v>
      </c>
      <c r="W181" s="228">
        <v>-2.4500000000000002</v>
      </c>
      <c r="X181" s="229">
        <v>-3.8E-3</v>
      </c>
      <c r="Y181" s="228">
        <v>-2.4</v>
      </c>
      <c r="Z181" s="228">
        <v>-3.35</v>
      </c>
      <c r="AA181" s="228">
        <v>0.95</v>
      </c>
      <c r="AB181" s="229">
        <v>-3.5999999999999999E-3</v>
      </c>
      <c r="AC181" s="228">
        <v>-2.4</v>
      </c>
      <c r="AD181" s="228">
        <v>-3.35</v>
      </c>
      <c r="AE181" s="228">
        <v>0.95</v>
      </c>
      <c r="AF181" s="229">
        <v>-3.5999999999999999E-3</v>
      </c>
      <c r="AG181" s="228">
        <v>-18.05</v>
      </c>
      <c r="AH181" s="228">
        <v>-18.100000000000001</v>
      </c>
      <c r="AI181" s="228">
        <v>0.05</v>
      </c>
      <c r="AJ181" s="229">
        <v>-2.7E-2</v>
      </c>
      <c r="AK181" s="228">
        <v>-28.45</v>
      </c>
      <c r="AL181" s="228">
        <v>-28.35</v>
      </c>
      <c r="AM181" s="228">
        <v>-0.1</v>
      </c>
      <c r="AN181" s="229">
        <v>-4.2500000000000003E-2</v>
      </c>
      <c r="AO181" s="228">
        <v>665.78</v>
      </c>
      <c r="AP181" s="228">
        <v>649.69000000000005</v>
      </c>
      <c r="AQ181" s="228">
        <v>0</v>
      </c>
      <c r="AR181" s="230">
        <v>3127200</v>
      </c>
      <c r="AS181" s="230">
        <v>5757600</v>
      </c>
      <c r="AT181" s="230">
        <v>-2630400</v>
      </c>
      <c r="AU181" s="229">
        <v>-0.45689999999999997</v>
      </c>
      <c r="AV181" s="230">
        <v>2183200</v>
      </c>
      <c r="AW181" s="230">
        <v>4760000</v>
      </c>
      <c r="AX181" s="230">
        <v>-2576800</v>
      </c>
      <c r="AY181" s="229">
        <v>-0.5413</v>
      </c>
      <c r="AZ181" s="230">
        <v>702400</v>
      </c>
      <c r="BA181" s="230">
        <v>731200</v>
      </c>
      <c r="BB181" s="230">
        <v>-28800</v>
      </c>
      <c r="BC181" s="229">
        <v>-3.9399999999999998E-2</v>
      </c>
      <c r="BD181" s="230">
        <v>241600</v>
      </c>
      <c r="BE181" s="230">
        <v>266400</v>
      </c>
      <c r="BF181" s="230">
        <v>-24800</v>
      </c>
      <c r="BG181" s="229">
        <v>-9.3100000000000002E-2</v>
      </c>
      <c r="BH181" s="230">
        <v>3576800</v>
      </c>
      <c r="BI181" s="230">
        <v>8734400</v>
      </c>
      <c r="BJ181" s="230">
        <v>-5157600</v>
      </c>
      <c r="BK181" s="229">
        <v>-0.59050000000000002</v>
      </c>
      <c r="BL181" s="230">
        <v>2213600</v>
      </c>
      <c r="BM181" s="230">
        <v>3968000</v>
      </c>
      <c r="BN181" s="230">
        <v>-1754400</v>
      </c>
      <c r="BO181" s="229">
        <v>-0.44209999999999999</v>
      </c>
      <c r="BP181" s="230">
        <v>8917600</v>
      </c>
      <c r="BQ181" s="230">
        <v>18460000</v>
      </c>
      <c r="BR181" s="230">
        <v>-9542400</v>
      </c>
      <c r="BS181" s="229">
        <v>-0.51690000000000003</v>
      </c>
      <c r="BT181" s="230">
        <v>968249</v>
      </c>
      <c r="BU181" s="230">
        <v>1796242</v>
      </c>
      <c r="BV181" s="230">
        <v>-827993</v>
      </c>
      <c r="BW181" s="229">
        <v>-0.46100000000000002</v>
      </c>
      <c r="BX181" s="230">
        <v>24935200</v>
      </c>
      <c r="BY181" s="230">
        <v>24743200</v>
      </c>
      <c r="BZ181" s="230">
        <v>192000</v>
      </c>
      <c r="CA181" s="229">
        <v>7.7999999999999996E-3</v>
      </c>
      <c r="CB181" s="230">
        <v>22978400</v>
      </c>
      <c r="CC181" s="230">
        <v>23064800</v>
      </c>
      <c r="CD181" s="230">
        <v>-86400</v>
      </c>
      <c r="CE181" s="229">
        <v>-3.7000000000000002E-3</v>
      </c>
      <c r="CF181" s="230">
        <v>1464800</v>
      </c>
      <c r="CG181" s="230">
        <v>1337600</v>
      </c>
      <c r="CH181" s="230">
        <v>127200</v>
      </c>
      <c r="CI181" s="229">
        <v>9.5100000000000004E-2</v>
      </c>
      <c r="CJ181" s="230">
        <v>492000</v>
      </c>
      <c r="CK181" s="230">
        <v>340800</v>
      </c>
      <c r="CL181" s="230">
        <v>151200</v>
      </c>
      <c r="CM181" s="229">
        <v>0.44369999999999998</v>
      </c>
      <c r="CN181" s="230">
        <v>6051200</v>
      </c>
      <c r="CO181" s="230">
        <v>5653600</v>
      </c>
      <c r="CP181" s="230">
        <v>397600</v>
      </c>
      <c r="CQ181" s="229">
        <v>7.0300000000000001E-2</v>
      </c>
      <c r="CR181" s="230">
        <v>4574400</v>
      </c>
      <c r="CS181" s="230">
        <v>4752800</v>
      </c>
      <c r="CT181" s="230">
        <v>-178400</v>
      </c>
      <c r="CU181" s="229">
        <v>-3.7499999999999999E-2</v>
      </c>
      <c r="CV181" s="230">
        <v>35560800</v>
      </c>
      <c r="CW181" s="230">
        <v>35149600</v>
      </c>
      <c r="CX181" s="230">
        <v>411200</v>
      </c>
      <c r="CY181" s="229">
        <v>1.17E-2</v>
      </c>
      <c r="CZ181" s="228">
        <v>36.83</v>
      </c>
      <c r="DA181" s="228">
        <v>36.06</v>
      </c>
      <c r="DB181" s="228">
        <v>0.77</v>
      </c>
      <c r="DC181" s="228">
        <v>0.77</v>
      </c>
      <c r="DD181" s="228">
        <v>32.35</v>
      </c>
      <c r="DE181" s="228">
        <v>32.42</v>
      </c>
      <c r="DF181" s="228">
        <v>4.4800000000000004</v>
      </c>
      <c r="DG181" s="228">
        <v>-7.0000000000000007E-2</v>
      </c>
      <c r="DH181" s="228">
        <v>35.549999999999997</v>
      </c>
      <c r="DI181" s="228">
        <v>35.17</v>
      </c>
      <c r="DJ181" s="228">
        <v>0.38</v>
      </c>
      <c r="DK181" s="228">
        <v>0.38</v>
      </c>
      <c r="DL181" s="228">
        <v>38.9</v>
      </c>
      <c r="DM181" s="228">
        <v>38.03</v>
      </c>
      <c r="DN181" s="228">
        <v>0.87</v>
      </c>
      <c r="DO181" s="228">
        <v>0.87</v>
      </c>
      <c r="DP181" s="228">
        <v>0.76</v>
      </c>
      <c r="DQ181" s="228">
        <v>0.84</v>
      </c>
      <c r="DR181" s="228">
        <v>-0.08</v>
      </c>
      <c r="DS181" s="229">
        <v>-9.5200000000000007E-2</v>
      </c>
      <c r="DT181" s="228">
        <v>800</v>
      </c>
      <c r="DU181" s="228">
        <v>700</v>
      </c>
      <c r="DV181" s="228">
        <v>0.62</v>
      </c>
      <c r="DW181" s="228">
        <v>0.45</v>
      </c>
      <c r="DX181" s="228">
        <v>0.17</v>
      </c>
      <c r="DY181" s="229">
        <v>0.37780000000000002</v>
      </c>
      <c r="DZ181" s="229">
        <v>7.85E-2</v>
      </c>
      <c r="EA181" s="230">
        <v>1678400</v>
      </c>
      <c r="EB181" s="229">
        <v>-2.35E-2</v>
      </c>
      <c r="EC181" s="229">
        <v>7.85E-2</v>
      </c>
      <c r="ED181" s="228">
        <v>-16.09</v>
      </c>
      <c r="EE181" s="229">
        <v>-2.4199999999999999E-2</v>
      </c>
      <c r="EF181" s="230">
        <v>438572</v>
      </c>
      <c r="EG181" s="230">
        <v>757978</v>
      </c>
      <c r="EH181" s="229">
        <v>-0.4214</v>
      </c>
      <c r="EI181" s="229">
        <v>0.45300000000000001</v>
      </c>
      <c r="EJ181" s="231">
        <v>25925.08</v>
      </c>
      <c r="EK181" s="231">
        <v>14180.85</v>
      </c>
      <c r="EL181" s="231">
        <v>20646.2</v>
      </c>
      <c r="EM181" s="231">
        <v>4763</v>
      </c>
      <c r="EN181" s="231">
        <v>60752.13</v>
      </c>
      <c r="EO181" s="231">
        <v>126235.55</v>
      </c>
      <c r="EP181" s="231">
        <v>-65483.42</v>
      </c>
      <c r="EQ181" s="229">
        <v>-0.51870000000000005</v>
      </c>
      <c r="ER181" s="231">
        <v>43072</v>
      </c>
      <c r="ES181" s="231">
        <v>30211</v>
      </c>
      <c r="ET181" s="231">
        <v>165836</v>
      </c>
      <c r="EU181" s="231">
        <v>44841373</v>
      </c>
      <c r="EV181" s="231">
        <v>239119</v>
      </c>
      <c r="EW181" s="231">
        <v>236176</v>
      </c>
      <c r="EX181" s="231">
        <v>2943</v>
      </c>
      <c r="EY181" s="229">
        <v>1.2500000000000001E-2</v>
      </c>
      <c r="EZ181" s="229">
        <v>0.79300000000000004</v>
      </c>
      <c r="FA181" s="227" t="s">
        <v>566</v>
      </c>
      <c r="FB181" s="161">
        <f t="shared" si="4"/>
        <v>0</v>
      </c>
    </row>
    <row r="182" spans="1:158" ht="17.25" thickBot="1" x14ac:dyDescent="0.3">
      <c r="A182" s="226">
        <v>46121</v>
      </c>
      <c r="B182" s="227" t="s">
        <v>175</v>
      </c>
      <c r="C182" s="227" t="s">
        <v>462</v>
      </c>
      <c r="D182" s="228">
        <v>375</v>
      </c>
      <c r="E182" s="231">
        <v>1911.9</v>
      </c>
      <c r="F182" s="231">
        <v>1917.6</v>
      </c>
      <c r="G182" s="228">
        <v>-5.7</v>
      </c>
      <c r="H182" s="229">
        <v>-3.0000000000000001E-3</v>
      </c>
      <c r="I182" s="231">
        <v>1904</v>
      </c>
      <c r="J182" s="231">
        <v>1907.6</v>
      </c>
      <c r="K182" s="228">
        <v>-3.6</v>
      </c>
      <c r="L182" s="229">
        <v>-1.9E-3</v>
      </c>
      <c r="M182" s="231">
        <v>1911.9</v>
      </c>
      <c r="N182" s="231">
        <v>1917.6</v>
      </c>
      <c r="O182" s="228">
        <v>-5.7</v>
      </c>
      <c r="P182" s="229">
        <v>-3.0000000000000001E-3</v>
      </c>
      <c r="Q182" s="231">
        <v>1924.9</v>
      </c>
      <c r="R182" s="231">
        <v>1929.5</v>
      </c>
      <c r="S182" s="228">
        <v>-4.5999999999999996</v>
      </c>
      <c r="T182" s="229">
        <v>-2.3999999999999998E-3</v>
      </c>
      <c r="U182" s="231">
        <v>1920.1</v>
      </c>
      <c r="V182" s="231">
        <v>1939</v>
      </c>
      <c r="W182" s="228">
        <v>-18.899999999999999</v>
      </c>
      <c r="X182" s="229">
        <v>-9.7000000000000003E-3</v>
      </c>
      <c r="Y182" s="228">
        <v>7.9</v>
      </c>
      <c r="Z182" s="228">
        <v>10</v>
      </c>
      <c r="AA182" s="228">
        <v>-2.1</v>
      </c>
      <c r="AB182" s="229">
        <v>4.1000000000000003E-3</v>
      </c>
      <c r="AC182" s="228">
        <v>7.9</v>
      </c>
      <c r="AD182" s="228">
        <v>10</v>
      </c>
      <c r="AE182" s="228">
        <v>-2.1</v>
      </c>
      <c r="AF182" s="229">
        <v>4.1000000000000003E-3</v>
      </c>
      <c r="AG182" s="228">
        <v>20.9</v>
      </c>
      <c r="AH182" s="228">
        <v>21.9</v>
      </c>
      <c r="AI182" s="228">
        <v>-1</v>
      </c>
      <c r="AJ182" s="229">
        <v>1.0999999999999999E-2</v>
      </c>
      <c r="AK182" s="228">
        <v>16.100000000000001</v>
      </c>
      <c r="AL182" s="228">
        <v>31.4</v>
      </c>
      <c r="AM182" s="228">
        <v>-15.3</v>
      </c>
      <c r="AN182" s="229">
        <v>8.5000000000000006E-3</v>
      </c>
      <c r="AO182" s="231">
        <v>1916.19</v>
      </c>
      <c r="AP182" s="231">
        <v>1929.87</v>
      </c>
      <c r="AQ182" s="228">
        <v>0</v>
      </c>
      <c r="AR182" s="230">
        <v>822000</v>
      </c>
      <c r="AS182" s="230">
        <v>1454625</v>
      </c>
      <c r="AT182" s="230">
        <v>-632625</v>
      </c>
      <c r="AU182" s="229">
        <v>-0.43490000000000001</v>
      </c>
      <c r="AV182" s="230">
        <v>771750</v>
      </c>
      <c r="AW182" s="230">
        <v>1378500</v>
      </c>
      <c r="AX182" s="230">
        <v>-606750</v>
      </c>
      <c r="AY182" s="229">
        <v>-0.44019999999999998</v>
      </c>
      <c r="AZ182" s="230">
        <v>47625</v>
      </c>
      <c r="BA182" s="230">
        <v>63750</v>
      </c>
      <c r="BB182" s="230">
        <v>-16125</v>
      </c>
      <c r="BC182" s="229">
        <v>-0.25290000000000001</v>
      </c>
      <c r="BD182" s="230">
        <v>2625</v>
      </c>
      <c r="BE182" s="230">
        <v>12375</v>
      </c>
      <c r="BF182" s="230">
        <v>-9750</v>
      </c>
      <c r="BG182" s="229">
        <v>-0.78790000000000004</v>
      </c>
      <c r="BH182" s="230">
        <v>919125</v>
      </c>
      <c r="BI182" s="230">
        <v>1337250</v>
      </c>
      <c r="BJ182" s="230">
        <v>-418125</v>
      </c>
      <c r="BK182" s="229">
        <v>-0.31269999999999998</v>
      </c>
      <c r="BL182" s="230">
        <v>767625</v>
      </c>
      <c r="BM182" s="230">
        <v>1357500</v>
      </c>
      <c r="BN182" s="230">
        <v>-589875</v>
      </c>
      <c r="BO182" s="229">
        <v>-0.4345</v>
      </c>
      <c r="BP182" s="230">
        <v>2508750</v>
      </c>
      <c r="BQ182" s="230">
        <v>4149375</v>
      </c>
      <c r="BR182" s="230">
        <v>-1640625</v>
      </c>
      <c r="BS182" s="229">
        <v>-0.39539999999999997</v>
      </c>
      <c r="BT182" s="230">
        <v>1352490</v>
      </c>
      <c r="BU182" s="230">
        <v>1121085</v>
      </c>
      <c r="BV182" s="230">
        <v>231405</v>
      </c>
      <c r="BW182" s="229">
        <v>0.2064</v>
      </c>
      <c r="BX182" s="230">
        <v>10715625</v>
      </c>
      <c r="BY182" s="230">
        <v>10805625</v>
      </c>
      <c r="BZ182" s="230">
        <v>-90000</v>
      </c>
      <c r="CA182" s="229">
        <v>-8.3000000000000001E-3</v>
      </c>
      <c r="CB182" s="230">
        <v>10456875</v>
      </c>
      <c r="CC182" s="230">
        <v>10564500</v>
      </c>
      <c r="CD182" s="230">
        <v>-107625</v>
      </c>
      <c r="CE182" s="229">
        <v>-1.0200000000000001E-2</v>
      </c>
      <c r="CF182" s="230">
        <v>217500</v>
      </c>
      <c r="CG182" s="230">
        <v>201000</v>
      </c>
      <c r="CH182" s="230">
        <v>16500</v>
      </c>
      <c r="CI182" s="229">
        <v>8.2100000000000006E-2</v>
      </c>
      <c r="CJ182" s="230">
        <v>41250</v>
      </c>
      <c r="CK182" s="230">
        <v>40125</v>
      </c>
      <c r="CL182" s="230">
        <v>1125</v>
      </c>
      <c r="CM182" s="229">
        <v>2.8000000000000001E-2</v>
      </c>
      <c r="CN182" s="230">
        <v>800250</v>
      </c>
      <c r="CO182" s="230">
        <v>687750</v>
      </c>
      <c r="CP182" s="230">
        <v>112500</v>
      </c>
      <c r="CQ182" s="229">
        <v>0.1636</v>
      </c>
      <c r="CR182" s="230">
        <v>1203375</v>
      </c>
      <c r="CS182" s="230">
        <v>1216500</v>
      </c>
      <c r="CT182" s="230">
        <v>-13125</v>
      </c>
      <c r="CU182" s="229">
        <v>-1.0800000000000001E-2</v>
      </c>
      <c r="CV182" s="230">
        <v>12719250</v>
      </c>
      <c r="CW182" s="230">
        <v>12709875</v>
      </c>
      <c r="CX182" s="230">
        <v>9375</v>
      </c>
      <c r="CY182" s="229">
        <v>6.9999999999999999E-4</v>
      </c>
      <c r="CZ182" s="228">
        <v>27.83</v>
      </c>
      <c r="DA182" s="228">
        <v>27.49</v>
      </c>
      <c r="DB182" s="228">
        <v>0.34</v>
      </c>
      <c r="DC182" s="228">
        <v>0.34</v>
      </c>
      <c r="DD182" s="228">
        <v>25.9</v>
      </c>
      <c r="DE182" s="228">
        <v>25.96</v>
      </c>
      <c r="DF182" s="228">
        <v>1.93</v>
      </c>
      <c r="DG182" s="228">
        <v>-0.06</v>
      </c>
      <c r="DH182" s="228">
        <v>26.54</v>
      </c>
      <c r="DI182" s="228">
        <v>26.04</v>
      </c>
      <c r="DJ182" s="228">
        <v>0.5</v>
      </c>
      <c r="DK182" s="228">
        <v>0.5</v>
      </c>
      <c r="DL182" s="228">
        <v>29.38</v>
      </c>
      <c r="DM182" s="228">
        <v>28.93</v>
      </c>
      <c r="DN182" s="228">
        <v>0.45</v>
      </c>
      <c r="DO182" s="228">
        <v>0.45</v>
      </c>
      <c r="DP182" s="228">
        <v>1.5</v>
      </c>
      <c r="DQ182" s="228">
        <v>1.77</v>
      </c>
      <c r="DR182" s="228">
        <v>-0.27</v>
      </c>
      <c r="DS182" s="229">
        <v>-0.1525</v>
      </c>
      <c r="DT182" s="231">
        <v>2100</v>
      </c>
      <c r="DU182" s="231">
        <v>1600</v>
      </c>
      <c r="DV182" s="228">
        <v>0.84</v>
      </c>
      <c r="DW182" s="228">
        <v>1.02</v>
      </c>
      <c r="DX182" s="228">
        <v>-0.18</v>
      </c>
      <c r="DY182" s="229">
        <v>-0.17649999999999999</v>
      </c>
      <c r="DZ182" s="229">
        <v>2.41E-2</v>
      </c>
      <c r="EA182" s="230">
        <v>241125</v>
      </c>
      <c r="EB182" s="229">
        <v>6.7999999999999996E-3</v>
      </c>
      <c r="EC182" s="229">
        <v>2.41E-2</v>
      </c>
      <c r="ED182" s="228">
        <v>13.68</v>
      </c>
      <c r="EE182" s="229">
        <v>7.1000000000000004E-3</v>
      </c>
      <c r="EF182" s="230">
        <v>727618</v>
      </c>
      <c r="EG182" s="230">
        <v>642644</v>
      </c>
      <c r="EH182" s="229">
        <v>0.13220000000000001</v>
      </c>
      <c r="EI182" s="229">
        <v>0.53800000000000003</v>
      </c>
      <c r="EJ182" s="231">
        <v>18492.009999999998</v>
      </c>
      <c r="EK182" s="231">
        <v>14323.4</v>
      </c>
      <c r="EL182" s="231">
        <v>15758.2</v>
      </c>
      <c r="EM182" s="231">
        <v>2964</v>
      </c>
      <c r="EN182" s="231">
        <v>48573.61</v>
      </c>
      <c r="EO182" s="231">
        <v>79061.649999999994</v>
      </c>
      <c r="EP182" s="231">
        <v>-30488.04</v>
      </c>
      <c r="EQ182" s="229">
        <v>-0.3856</v>
      </c>
      <c r="ER182" s="231">
        <v>15641</v>
      </c>
      <c r="ES182" s="231">
        <v>20558</v>
      </c>
      <c r="ET182" s="231">
        <v>204904</v>
      </c>
      <c r="EU182" s="231">
        <v>45527821</v>
      </c>
      <c r="EV182" s="231">
        <v>241102</v>
      </c>
      <c r="EW182" s="231">
        <v>241315</v>
      </c>
      <c r="EX182" s="228">
        <v>-213</v>
      </c>
      <c r="EY182" s="229">
        <v>-8.9999999999999998E-4</v>
      </c>
      <c r="EZ182" s="229">
        <v>0.27939999999999998</v>
      </c>
      <c r="FA182" s="227" t="s">
        <v>567</v>
      </c>
      <c r="FB182" s="161">
        <f t="shared" si="4"/>
        <v>0</v>
      </c>
    </row>
    <row r="183" spans="1:158" ht="17.25" thickBot="1" x14ac:dyDescent="0.3">
      <c r="A183" s="226">
        <v>46121</v>
      </c>
      <c r="B183" s="227" t="s">
        <v>172</v>
      </c>
      <c r="C183" s="227" t="s">
        <v>283</v>
      </c>
      <c r="D183" s="228">
        <v>750</v>
      </c>
      <c r="E183" s="231">
        <v>1045.7</v>
      </c>
      <c r="F183" s="231">
        <v>1067.2</v>
      </c>
      <c r="G183" s="228">
        <v>-21.5</v>
      </c>
      <c r="H183" s="229">
        <v>-2.01E-2</v>
      </c>
      <c r="I183" s="231">
        <v>1040.95</v>
      </c>
      <c r="J183" s="231">
        <v>1061.45</v>
      </c>
      <c r="K183" s="228">
        <v>-20.5</v>
      </c>
      <c r="L183" s="229">
        <v>-1.9300000000000001E-2</v>
      </c>
      <c r="M183" s="231">
        <v>1045.7</v>
      </c>
      <c r="N183" s="231">
        <v>1067.2</v>
      </c>
      <c r="O183" s="228">
        <v>-21.5</v>
      </c>
      <c r="P183" s="229">
        <v>-2.01E-2</v>
      </c>
      <c r="Q183" s="231">
        <v>1040.95</v>
      </c>
      <c r="R183" s="231">
        <v>1062.6500000000001</v>
      </c>
      <c r="S183" s="228">
        <v>-21.7</v>
      </c>
      <c r="T183" s="229">
        <v>-2.0400000000000001E-2</v>
      </c>
      <c r="U183" s="231">
        <v>1042.7</v>
      </c>
      <c r="V183" s="231">
        <v>1064.4000000000001</v>
      </c>
      <c r="W183" s="228">
        <v>-21.7</v>
      </c>
      <c r="X183" s="229">
        <v>-2.0400000000000001E-2</v>
      </c>
      <c r="Y183" s="228">
        <v>4.75</v>
      </c>
      <c r="Z183" s="228">
        <v>5.75</v>
      </c>
      <c r="AA183" s="228">
        <v>-1</v>
      </c>
      <c r="AB183" s="229">
        <v>4.5999999999999999E-3</v>
      </c>
      <c r="AC183" s="228">
        <v>4.75</v>
      </c>
      <c r="AD183" s="228">
        <v>5.75</v>
      </c>
      <c r="AE183" s="228">
        <v>-1</v>
      </c>
      <c r="AF183" s="229">
        <v>4.5999999999999999E-3</v>
      </c>
      <c r="AG183" s="228">
        <v>0</v>
      </c>
      <c r="AH183" s="228">
        <v>1.2</v>
      </c>
      <c r="AI183" s="228">
        <v>-1.2</v>
      </c>
      <c r="AJ183" s="229">
        <v>0</v>
      </c>
      <c r="AK183" s="228">
        <v>1.75</v>
      </c>
      <c r="AL183" s="228">
        <v>2.95</v>
      </c>
      <c r="AM183" s="228">
        <v>-1.2</v>
      </c>
      <c r="AN183" s="229">
        <v>1.6999999999999999E-3</v>
      </c>
      <c r="AO183" s="231">
        <v>1053.8599999999999</v>
      </c>
      <c r="AP183" s="231">
        <v>1047.8900000000001</v>
      </c>
      <c r="AQ183" s="228">
        <v>0</v>
      </c>
      <c r="AR183" s="230">
        <v>12918000</v>
      </c>
      <c r="AS183" s="230">
        <v>22361250</v>
      </c>
      <c r="AT183" s="230">
        <v>-9443250</v>
      </c>
      <c r="AU183" s="229">
        <v>-0.42230000000000001</v>
      </c>
      <c r="AV183" s="230">
        <v>11436000</v>
      </c>
      <c r="AW183" s="230">
        <v>20548500</v>
      </c>
      <c r="AX183" s="230">
        <v>-9112500</v>
      </c>
      <c r="AY183" s="229">
        <v>-0.44350000000000001</v>
      </c>
      <c r="AZ183" s="230">
        <v>1292250</v>
      </c>
      <c r="BA183" s="230">
        <v>1525500</v>
      </c>
      <c r="BB183" s="230">
        <v>-233250</v>
      </c>
      <c r="BC183" s="229">
        <v>-0.15290000000000001</v>
      </c>
      <c r="BD183" s="230">
        <v>189750</v>
      </c>
      <c r="BE183" s="230">
        <v>287250</v>
      </c>
      <c r="BF183" s="230">
        <v>-97500</v>
      </c>
      <c r="BG183" s="229">
        <v>-0.33939999999999998</v>
      </c>
      <c r="BH183" s="230">
        <v>55998000</v>
      </c>
      <c r="BI183" s="230">
        <v>87989250</v>
      </c>
      <c r="BJ183" s="230">
        <v>-31991250</v>
      </c>
      <c r="BK183" s="229">
        <v>-0.36359999999999998</v>
      </c>
      <c r="BL183" s="230">
        <v>38420250</v>
      </c>
      <c r="BM183" s="230">
        <v>50241000</v>
      </c>
      <c r="BN183" s="230">
        <v>-11820750</v>
      </c>
      <c r="BO183" s="229">
        <v>-0.23530000000000001</v>
      </c>
      <c r="BP183" s="230">
        <v>107336250</v>
      </c>
      <c r="BQ183" s="230">
        <v>160591500</v>
      </c>
      <c r="BR183" s="230">
        <v>-53255250</v>
      </c>
      <c r="BS183" s="229">
        <v>-0.33160000000000001</v>
      </c>
      <c r="BT183" s="230">
        <v>27146495</v>
      </c>
      <c r="BU183" s="230">
        <v>29963002</v>
      </c>
      <c r="BV183" s="230">
        <v>-2816507</v>
      </c>
      <c r="BW183" s="229">
        <v>-9.4E-2</v>
      </c>
      <c r="BX183" s="230">
        <v>82201500</v>
      </c>
      <c r="BY183" s="230">
        <v>79862250</v>
      </c>
      <c r="BZ183" s="230">
        <v>2339250</v>
      </c>
      <c r="CA183" s="229">
        <v>2.93E-2</v>
      </c>
      <c r="CB183" s="230">
        <v>77110500</v>
      </c>
      <c r="CC183" s="230">
        <v>75561750</v>
      </c>
      <c r="CD183" s="230">
        <v>1548750</v>
      </c>
      <c r="CE183" s="229">
        <v>2.0500000000000001E-2</v>
      </c>
      <c r="CF183" s="230">
        <v>3620250</v>
      </c>
      <c r="CG183" s="230">
        <v>2922750</v>
      </c>
      <c r="CH183" s="230">
        <v>697500</v>
      </c>
      <c r="CI183" s="229">
        <v>0.23860000000000001</v>
      </c>
      <c r="CJ183" s="230">
        <v>1470750</v>
      </c>
      <c r="CK183" s="230">
        <v>1377750</v>
      </c>
      <c r="CL183" s="230">
        <v>93000</v>
      </c>
      <c r="CM183" s="229">
        <v>6.7500000000000004E-2</v>
      </c>
      <c r="CN183" s="230">
        <v>42215250</v>
      </c>
      <c r="CO183" s="230">
        <v>37205250</v>
      </c>
      <c r="CP183" s="230">
        <v>5010000</v>
      </c>
      <c r="CQ183" s="229">
        <v>0.13469999999999999</v>
      </c>
      <c r="CR183" s="230">
        <v>27324750</v>
      </c>
      <c r="CS183" s="230">
        <v>26550750</v>
      </c>
      <c r="CT183" s="230">
        <v>774000</v>
      </c>
      <c r="CU183" s="229">
        <v>2.92E-2</v>
      </c>
      <c r="CV183" s="230">
        <v>151741500</v>
      </c>
      <c r="CW183" s="230">
        <v>143618250</v>
      </c>
      <c r="CX183" s="230">
        <v>8123250</v>
      </c>
      <c r="CY183" s="229">
        <v>5.6599999999999998E-2</v>
      </c>
      <c r="CZ183" s="228">
        <v>30.48</v>
      </c>
      <c r="DA183" s="228">
        <v>30.46</v>
      </c>
      <c r="DB183" s="228">
        <v>0.02</v>
      </c>
      <c r="DC183" s="228">
        <v>0.02</v>
      </c>
      <c r="DD183" s="228">
        <v>29.29</v>
      </c>
      <c r="DE183" s="228">
        <v>29.24</v>
      </c>
      <c r="DF183" s="228">
        <v>1.19</v>
      </c>
      <c r="DG183" s="228">
        <v>0.05</v>
      </c>
      <c r="DH183" s="228">
        <v>30</v>
      </c>
      <c r="DI183" s="228">
        <v>29.33</v>
      </c>
      <c r="DJ183" s="228">
        <v>0.67</v>
      </c>
      <c r="DK183" s="228">
        <v>0.67</v>
      </c>
      <c r="DL183" s="228">
        <v>31.17</v>
      </c>
      <c r="DM183" s="228">
        <v>32.43</v>
      </c>
      <c r="DN183" s="228">
        <v>-1.26</v>
      </c>
      <c r="DO183" s="228">
        <v>-1.26</v>
      </c>
      <c r="DP183" s="228">
        <v>0.65</v>
      </c>
      <c r="DQ183" s="228">
        <v>0.71</v>
      </c>
      <c r="DR183" s="228">
        <v>-0.06</v>
      </c>
      <c r="DS183" s="229">
        <v>-8.4500000000000006E-2</v>
      </c>
      <c r="DT183" s="231">
        <v>1100</v>
      </c>
      <c r="DU183" s="231">
        <v>1100</v>
      </c>
      <c r="DV183" s="228">
        <v>0.69</v>
      </c>
      <c r="DW183" s="228">
        <v>0.56999999999999995</v>
      </c>
      <c r="DX183" s="228">
        <v>0.12</v>
      </c>
      <c r="DY183" s="229">
        <v>0.21049999999999999</v>
      </c>
      <c r="DZ183" s="229">
        <v>6.1899999999999997E-2</v>
      </c>
      <c r="EA183" s="230">
        <v>4300500</v>
      </c>
      <c r="EB183" s="229">
        <v>-4.4999999999999997E-3</v>
      </c>
      <c r="EC183" s="229">
        <v>6.1899999999999997E-2</v>
      </c>
      <c r="ED183" s="228">
        <v>-5.97</v>
      </c>
      <c r="EE183" s="229">
        <v>-5.7000000000000002E-3</v>
      </c>
      <c r="EF183" s="230">
        <v>11070557</v>
      </c>
      <c r="EG183" s="230">
        <v>15304014</v>
      </c>
      <c r="EH183" s="229">
        <v>-0.27660000000000001</v>
      </c>
      <c r="EI183" s="229">
        <v>0.4078</v>
      </c>
      <c r="EJ183" s="231">
        <v>623414.18000000005</v>
      </c>
      <c r="EK183" s="231">
        <v>399508.06</v>
      </c>
      <c r="EL183" s="231">
        <v>136055.29999999999</v>
      </c>
      <c r="EM183" s="231">
        <v>23972</v>
      </c>
      <c r="EN183" s="231">
        <v>1158977.54</v>
      </c>
      <c r="EO183" s="231">
        <v>1751552.84</v>
      </c>
      <c r="EP183" s="231">
        <v>-592575.30000000005</v>
      </c>
      <c r="EQ183" s="229">
        <v>-0.33829999999999999</v>
      </c>
      <c r="ER183" s="231">
        <v>466897</v>
      </c>
      <c r="ES183" s="231">
        <v>279966</v>
      </c>
      <c r="ET183" s="231">
        <v>859365</v>
      </c>
      <c r="EU183" s="231">
        <v>580324288</v>
      </c>
      <c r="EV183" s="231">
        <v>1606227</v>
      </c>
      <c r="EW183" s="231">
        <v>1535710</v>
      </c>
      <c r="EX183" s="231">
        <v>70517</v>
      </c>
      <c r="EY183" s="229">
        <v>4.5900000000000003E-2</v>
      </c>
      <c r="EZ183" s="229">
        <v>0.26150000000000001</v>
      </c>
      <c r="FA183" s="227" t="s">
        <v>566</v>
      </c>
      <c r="FB183" s="161">
        <f t="shared" si="4"/>
        <v>0</v>
      </c>
    </row>
    <row r="184" spans="1:158" ht="17.25" thickBot="1" x14ac:dyDescent="0.3">
      <c r="A184" s="226">
        <v>46121</v>
      </c>
      <c r="B184" s="227" t="s">
        <v>157</v>
      </c>
      <c r="C184" s="227" t="s">
        <v>284</v>
      </c>
      <c r="D184" s="228">
        <v>25</v>
      </c>
      <c r="E184" s="231">
        <v>23975</v>
      </c>
      <c r="F184" s="231">
        <v>24375</v>
      </c>
      <c r="G184" s="228">
        <v>-400</v>
      </c>
      <c r="H184" s="229">
        <v>-1.6400000000000001E-2</v>
      </c>
      <c r="I184" s="231">
        <v>23990</v>
      </c>
      <c r="J184" s="231">
        <v>24360</v>
      </c>
      <c r="K184" s="228">
        <v>-370</v>
      </c>
      <c r="L184" s="229">
        <v>-1.52E-2</v>
      </c>
      <c r="M184" s="231">
        <v>23975</v>
      </c>
      <c r="N184" s="231">
        <v>24375</v>
      </c>
      <c r="O184" s="228">
        <v>-400</v>
      </c>
      <c r="P184" s="229">
        <v>-1.6400000000000001E-2</v>
      </c>
      <c r="Q184" s="231">
        <v>23800</v>
      </c>
      <c r="R184" s="231">
        <v>24220</v>
      </c>
      <c r="S184" s="228">
        <v>-420</v>
      </c>
      <c r="T184" s="229">
        <v>-1.7299999999999999E-2</v>
      </c>
      <c r="U184" s="231">
        <v>23745</v>
      </c>
      <c r="V184" s="231">
        <v>24005</v>
      </c>
      <c r="W184" s="228">
        <v>-260</v>
      </c>
      <c r="X184" s="229">
        <v>-1.0800000000000001E-2</v>
      </c>
      <c r="Y184" s="228">
        <v>-15</v>
      </c>
      <c r="Z184" s="228">
        <v>15</v>
      </c>
      <c r="AA184" s="228">
        <v>-30</v>
      </c>
      <c r="AB184" s="229">
        <v>-5.9999999999999995E-4</v>
      </c>
      <c r="AC184" s="228">
        <v>-15</v>
      </c>
      <c r="AD184" s="228">
        <v>15</v>
      </c>
      <c r="AE184" s="228">
        <v>-30</v>
      </c>
      <c r="AF184" s="229">
        <v>-5.9999999999999995E-4</v>
      </c>
      <c r="AG184" s="228">
        <v>-190</v>
      </c>
      <c r="AH184" s="228">
        <v>-140</v>
      </c>
      <c r="AI184" s="228">
        <v>-50</v>
      </c>
      <c r="AJ184" s="229">
        <v>-7.9000000000000008E-3</v>
      </c>
      <c r="AK184" s="228">
        <v>-245</v>
      </c>
      <c r="AL184" s="228">
        <v>-355</v>
      </c>
      <c r="AM184" s="228">
        <v>110</v>
      </c>
      <c r="AN184" s="229">
        <v>-1.0200000000000001E-2</v>
      </c>
      <c r="AO184" s="231">
        <v>24012.13</v>
      </c>
      <c r="AP184" s="231">
        <v>23831.919999999998</v>
      </c>
      <c r="AQ184" s="228">
        <v>0</v>
      </c>
      <c r="AR184" s="230">
        <v>59975</v>
      </c>
      <c r="AS184" s="230">
        <v>60950</v>
      </c>
      <c r="AT184" s="228">
        <v>-975</v>
      </c>
      <c r="AU184" s="229">
        <v>-1.6E-2</v>
      </c>
      <c r="AV184" s="230">
        <v>57275</v>
      </c>
      <c r="AW184" s="230">
        <v>57750</v>
      </c>
      <c r="AX184" s="228">
        <v>-475</v>
      </c>
      <c r="AY184" s="229">
        <v>-8.2000000000000007E-3</v>
      </c>
      <c r="AZ184" s="230">
        <v>2475</v>
      </c>
      <c r="BA184" s="230">
        <v>2825</v>
      </c>
      <c r="BB184" s="228">
        <v>-350</v>
      </c>
      <c r="BC184" s="229">
        <v>-0.1239</v>
      </c>
      <c r="BD184" s="228">
        <v>225</v>
      </c>
      <c r="BE184" s="228">
        <v>375</v>
      </c>
      <c r="BF184" s="228">
        <v>-150</v>
      </c>
      <c r="BG184" s="229">
        <v>-0.4</v>
      </c>
      <c r="BH184" s="230">
        <v>52150</v>
      </c>
      <c r="BI184" s="230">
        <v>99600</v>
      </c>
      <c r="BJ184" s="230">
        <v>-47450</v>
      </c>
      <c r="BK184" s="229">
        <v>-0.47639999999999999</v>
      </c>
      <c r="BL184" s="230">
        <v>15875</v>
      </c>
      <c r="BM184" s="230">
        <v>39825</v>
      </c>
      <c r="BN184" s="230">
        <v>-23950</v>
      </c>
      <c r="BO184" s="229">
        <v>-0.60140000000000005</v>
      </c>
      <c r="BP184" s="230">
        <v>128000</v>
      </c>
      <c r="BQ184" s="230">
        <v>200375</v>
      </c>
      <c r="BR184" s="230">
        <v>-72375</v>
      </c>
      <c r="BS184" s="229">
        <v>-0.36120000000000002</v>
      </c>
      <c r="BT184" s="230">
        <v>106793</v>
      </c>
      <c r="BU184" s="230">
        <v>32719</v>
      </c>
      <c r="BV184" s="230">
        <v>74074</v>
      </c>
      <c r="BW184" s="229">
        <v>2.2639</v>
      </c>
      <c r="BX184" s="230">
        <v>386775</v>
      </c>
      <c r="BY184" s="230">
        <v>372375</v>
      </c>
      <c r="BZ184" s="230">
        <v>14400</v>
      </c>
      <c r="CA184" s="229">
        <v>3.8699999999999998E-2</v>
      </c>
      <c r="CB184" s="230">
        <v>375825</v>
      </c>
      <c r="CC184" s="230">
        <v>362475</v>
      </c>
      <c r="CD184" s="230">
        <v>13350</v>
      </c>
      <c r="CE184" s="229">
        <v>3.6799999999999999E-2</v>
      </c>
      <c r="CF184" s="230">
        <v>10400</v>
      </c>
      <c r="CG184" s="230">
        <v>9525</v>
      </c>
      <c r="CH184" s="228">
        <v>875</v>
      </c>
      <c r="CI184" s="229">
        <v>9.1899999999999996E-2</v>
      </c>
      <c r="CJ184" s="228">
        <v>550</v>
      </c>
      <c r="CK184" s="228">
        <v>375</v>
      </c>
      <c r="CL184" s="228">
        <v>175</v>
      </c>
      <c r="CM184" s="229">
        <v>0.4667</v>
      </c>
      <c r="CN184" s="230">
        <v>57125</v>
      </c>
      <c r="CO184" s="230">
        <v>50450</v>
      </c>
      <c r="CP184" s="230">
        <v>6675</v>
      </c>
      <c r="CQ184" s="229">
        <v>0.1323</v>
      </c>
      <c r="CR184" s="230">
        <v>38000</v>
      </c>
      <c r="CS184" s="230">
        <v>35925</v>
      </c>
      <c r="CT184" s="230">
        <v>2075</v>
      </c>
      <c r="CU184" s="229">
        <v>5.7799999999999997E-2</v>
      </c>
      <c r="CV184" s="230">
        <v>481900</v>
      </c>
      <c r="CW184" s="230">
        <v>458750</v>
      </c>
      <c r="CX184" s="230">
        <v>23150</v>
      </c>
      <c r="CY184" s="229">
        <v>5.0500000000000003E-2</v>
      </c>
      <c r="CZ184" s="228">
        <v>29.76</v>
      </c>
      <c r="DA184" s="228">
        <v>28.56</v>
      </c>
      <c r="DB184" s="228">
        <v>1.2</v>
      </c>
      <c r="DC184" s="228">
        <v>1.2</v>
      </c>
      <c r="DD184" s="228">
        <v>27.77</v>
      </c>
      <c r="DE184" s="228">
        <v>27.75</v>
      </c>
      <c r="DF184" s="228">
        <v>1.99</v>
      </c>
      <c r="DG184" s="228">
        <v>0.02</v>
      </c>
      <c r="DH184" s="228">
        <v>28.97</v>
      </c>
      <c r="DI184" s="228">
        <v>27.99</v>
      </c>
      <c r="DJ184" s="228">
        <v>0.98</v>
      </c>
      <c r="DK184" s="228">
        <v>0.98</v>
      </c>
      <c r="DL184" s="228">
        <v>32.369999999999997</v>
      </c>
      <c r="DM184" s="228">
        <v>29.99</v>
      </c>
      <c r="DN184" s="228">
        <v>2.38</v>
      </c>
      <c r="DO184" s="228">
        <v>2.38</v>
      </c>
      <c r="DP184" s="228">
        <v>0.67</v>
      </c>
      <c r="DQ184" s="228">
        <v>0.71</v>
      </c>
      <c r="DR184" s="228">
        <v>-0.04</v>
      </c>
      <c r="DS184" s="229">
        <v>-5.6300000000000003E-2</v>
      </c>
      <c r="DT184" s="231">
        <v>24000</v>
      </c>
      <c r="DU184" s="231">
        <v>24000</v>
      </c>
      <c r="DV184" s="228">
        <v>0.3</v>
      </c>
      <c r="DW184" s="228">
        <v>0.4</v>
      </c>
      <c r="DX184" s="228">
        <v>-0.1</v>
      </c>
      <c r="DY184" s="229">
        <v>-0.25</v>
      </c>
      <c r="DZ184" s="229">
        <v>2.8299999999999999E-2</v>
      </c>
      <c r="EA184" s="230">
        <v>9900</v>
      </c>
      <c r="EB184" s="229">
        <v>-7.3000000000000001E-3</v>
      </c>
      <c r="EC184" s="229">
        <v>2.8299999999999999E-2</v>
      </c>
      <c r="ED184" s="228">
        <v>-180.21</v>
      </c>
      <c r="EE184" s="229">
        <v>-7.4999999999999997E-3</v>
      </c>
      <c r="EF184" s="230">
        <v>58612</v>
      </c>
      <c r="EG184" s="230">
        <v>14112</v>
      </c>
      <c r="EH184" s="229">
        <v>3.1533000000000002</v>
      </c>
      <c r="EI184" s="229">
        <v>0.54879999999999995</v>
      </c>
      <c r="EJ184" s="231">
        <v>13204.38</v>
      </c>
      <c r="EK184" s="231">
        <v>3689.06</v>
      </c>
      <c r="EL184" s="231">
        <v>14396.26</v>
      </c>
      <c r="EM184" s="231">
        <v>1790</v>
      </c>
      <c r="EN184" s="231">
        <v>31289.7</v>
      </c>
      <c r="EO184" s="231">
        <v>49719.59</v>
      </c>
      <c r="EP184" s="231">
        <v>-18429.89</v>
      </c>
      <c r="EQ184" s="229">
        <v>-0.37069999999999997</v>
      </c>
      <c r="ER184" s="231">
        <v>13862</v>
      </c>
      <c r="ES184" s="231">
        <v>8803</v>
      </c>
      <c r="ET184" s="231">
        <v>92710</v>
      </c>
      <c r="EU184" s="231">
        <v>1655049</v>
      </c>
      <c r="EV184" s="231">
        <v>115375</v>
      </c>
      <c r="EW184" s="231">
        <v>111237</v>
      </c>
      <c r="EX184" s="231">
        <v>4138</v>
      </c>
      <c r="EY184" s="229">
        <v>3.7199999999999997E-2</v>
      </c>
      <c r="EZ184" s="229">
        <v>0.29120000000000001</v>
      </c>
      <c r="FA184" s="227" t="s">
        <v>566</v>
      </c>
      <c r="FB184" s="161">
        <f t="shared" si="4"/>
        <v>0</v>
      </c>
    </row>
    <row r="185" spans="1:158" ht="17.25" thickBot="1" x14ac:dyDescent="0.3">
      <c r="A185" s="226">
        <v>46121</v>
      </c>
      <c r="B185" s="227" t="s">
        <v>175</v>
      </c>
      <c r="C185" s="227" t="s">
        <v>561</v>
      </c>
      <c r="D185" s="228">
        <v>825</v>
      </c>
      <c r="E185" s="228">
        <v>999.8</v>
      </c>
      <c r="F185" s="231">
        <v>1026.1500000000001</v>
      </c>
      <c r="G185" s="228">
        <v>-26.35</v>
      </c>
      <c r="H185" s="229">
        <v>-2.5700000000000001E-2</v>
      </c>
      <c r="I185" s="228">
        <v>996.3</v>
      </c>
      <c r="J185" s="231">
        <v>1023.2</v>
      </c>
      <c r="K185" s="228">
        <v>-26.9</v>
      </c>
      <c r="L185" s="229">
        <v>-2.63E-2</v>
      </c>
      <c r="M185" s="228">
        <v>999.8</v>
      </c>
      <c r="N185" s="231">
        <v>1026.1500000000001</v>
      </c>
      <c r="O185" s="228">
        <v>-26.35</v>
      </c>
      <c r="P185" s="229">
        <v>-2.5700000000000001E-2</v>
      </c>
      <c r="Q185" s="231">
        <v>1006.1</v>
      </c>
      <c r="R185" s="231">
        <v>1032.3499999999999</v>
      </c>
      <c r="S185" s="228">
        <v>-26.25</v>
      </c>
      <c r="T185" s="229">
        <v>-2.5399999999999999E-2</v>
      </c>
      <c r="U185" s="231">
        <v>1010.2</v>
      </c>
      <c r="V185" s="231">
        <v>1036.45</v>
      </c>
      <c r="W185" s="228">
        <v>-26.25</v>
      </c>
      <c r="X185" s="229">
        <v>-2.53E-2</v>
      </c>
      <c r="Y185" s="228">
        <v>3.5</v>
      </c>
      <c r="Z185" s="228">
        <v>2.95</v>
      </c>
      <c r="AA185" s="228">
        <v>0.55000000000000004</v>
      </c>
      <c r="AB185" s="229">
        <v>3.5000000000000001E-3</v>
      </c>
      <c r="AC185" s="228">
        <v>3.5</v>
      </c>
      <c r="AD185" s="228">
        <v>2.95</v>
      </c>
      <c r="AE185" s="228">
        <v>0.55000000000000004</v>
      </c>
      <c r="AF185" s="229">
        <v>3.5000000000000001E-3</v>
      </c>
      <c r="AG185" s="228">
        <v>9.8000000000000007</v>
      </c>
      <c r="AH185" s="228">
        <v>9.15</v>
      </c>
      <c r="AI185" s="228">
        <v>0.65</v>
      </c>
      <c r="AJ185" s="229">
        <v>9.7999999999999997E-3</v>
      </c>
      <c r="AK185" s="228">
        <v>13.9</v>
      </c>
      <c r="AL185" s="228">
        <v>13.25</v>
      </c>
      <c r="AM185" s="228">
        <v>0.65</v>
      </c>
      <c r="AN185" s="229">
        <v>1.4E-2</v>
      </c>
      <c r="AO185" s="231">
        <v>1005.09</v>
      </c>
      <c r="AP185" s="231">
        <v>1012.36</v>
      </c>
      <c r="AQ185" s="228">
        <v>0</v>
      </c>
      <c r="AR185" s="230">
        <v>6588450</v>
      </c>
      <c r="AS185" s="230">
        <v>16733475</v>
      </c>
      <c r="AT185" s="230">
        <v>-10145025</v>
      </c>
      <c r="AU185" s="229">
        <v>-0.60629999999999995</v>
      </c>
      <c r="AV185" s="230">
        <v>6162750</v>
      </c>
      <c r="AW185" s="230">
        <v>15656025</v>
      </c>
      <c r="AX185" s="230">
        <v>-9493275</v>
      </c>
      <c r="AY185" s="229">
        <v>-0.60640000000000005</v>
      </c>
      <c r="AZ185" s="230">
        <v>355575</v>
      </c>
      <c r="BA185" s="230">
        <v>904200</v>
      </c>
      <c r="BB185" s="230">
        <v>-548625</v>
      </c>
      <c r="BC185" s="229">
        <v>-0.60680000000000001</v>
      </c>
      <c r="BD185" s="230">
        <v>70125</v>
      </c>
      <c r="BE185" s="230">
        <v>173250</v>
      </c>
      <c r="BF185" s="230">
        <v>-103125</v>
      </c>
      <c r="BG185" s="229">
        <v>-0.59519999999999995</v>
      </c>
      <c r="BH185" s="230">
        <v>15918375</v>
      </c>
      <c r="BI185" s="230">
        <v>48128850</v>
      </c>
      <c r="BJ185" s="230">
        <v>-32210475</v>
      </c>
      <c r="BK185" s="229">
        <v>-0.66930000000000001</v>
      </c>
      <c r="BL185" s="230">
        <v>11668800</v>
      </c>
      <c r="BM185" s="230">
        <v>22171050</v>
      </c>
      <c r="BN185" s="230">
        <v>-10502250</v>
      </c>
      <c r="BO185" s="229">
        <v>-0.47370000000000001</v>
      </c>
      <c r="BP185" s="230">
        <v>34175625</v>
      </c>
      <c r="BQ185" s="230">
        <v>87033375</v>
      </c>
      <c r="BR185" s="230">
        <v>-52857750</v>
      </c>
      <c r="BS185" s="229">
        <v>-0.60729999999999995</v>
      </c>
      <c r="BT185" s="230">
        <v>7945220</v>
      </c>
      <c r="BU185" s="230">
        <v>18717276</v>
      </c>
      <c r="BV185" s="230">
        <v>-10772056</v>
      </c>
      <c r="BW185" s="229">
        <v>-0.57550000000000001</v>
      </c>
      <c r="BX185" s="230">
        <v>42706950</v>
      </c>
      <c r="BY185" s="230">
        <v>43198650</v>
      </c>
      <c r="BZ185" s="230">
        <v>-491700</v>
      </c>
      <c r="CA185" s="229">
        <v>-1.14E-2</v>
      </c>
      <c r="CB185" s="230">
        <v>40404375</v>
      </c>
      <c r="CC185" s="230">
        <v>41075100</v>
      </c>
      <c r="CD185" s="230">
        <v>-670725</v>
      </c>
      <c r="CE185" s="229">
        <v>-1.6299999999999999E-2</v>
      </c>
      <c r="CF185" s="230">
        <v>2023725</v>
      </c>
      <c r="CG185" s="230">
        <v>1877700</v>
      </c>
      <c r="CH185" s="230">
        <v>146025</v>
      </c>
      <c r="CI185" s="229">
        <v>7.7799999999999994E-2</v>
      </c>
      <c r="CJ185" s="230">
        <v>278850</v>
      </c>
      <c r="CK185" s="230">
        <v>245850</v>
      </c>
      <c r="CL185" s="230">
        <v>33000</v>
      </c>
      <c r="CM185" s="229">
        <v>0.13420000000000001</v>
      </c>
      <c r="CN185" s="230">
        <v>11757075</v>
      </c>
      <c r="CO185" s="230">
        <v>10917225</v>
      </c>
      <c r="CP185" s="230">
        <v>839850</v>
      </c>
      <c r="CQ185" s="229">
        <v>7.6899999999999996E-2</v>
      </c>
      <c r="CR185" s="230">
        <v>8203800</v>
      </c>
      <c r="CS185" s="230">
        <v>8172450</v>
      </c>
      <c r="CT185" s="230">
        <v>31350</v>
      </c>
      <c r="CU185" s="229">
        <v>3.8E-3</v>
      </c>
      <c r="CV185" s="230">
        <v>62667825</v>
      </c>
      <c r="CW185" s="230">
        <v>62288325</v>
      </c>
      <c r="CX185" s="230">
        <v>379500</v>
      </c>
      <c r="CY185" s="229">
        <v>6.1000000000000004E-3</v>
      </c>
      <c r="CZ185" s="228">
        <v>42.94</v>
      </c>
      <c r="DA185" s="228">
        <v>43</v>
      </c>
      <c r="DB185" s="228">
        <v>-0.06</v>
      </c>
      <c r="DC185" s="228">
        <v>-0.06</v>
      </c>
      <c r="DD185" s="228">
        <v>45.29</v>
      </c>
      <c r="DE185" s="228">
        <v>45.26</v>
      </c>
      <c r="DF185" s="228">
        <v>-2.35</v>
      </c>
      <c r="DG185" s="228">
        <v>0.03</v>
      </c>
      <c r="DH185" s="228">
        <v>42.39</v>
      </c>
      <c r="DI185" s="228">
        <v>41.73</v>
      </c>
      <c r="DJ185" s="228">
        <v>0.66</v>
      </c>
      <c r="DK185" s="228">
        <v>0.66</v>
      </c>
      <c r="DL185" s="228">
        <v>43.69</v>
      </c>
      <c r="DM185" s="228">
        <v>45.76</v>
      </c>
      <c r="DN185" s="228">
        <v>-2.0699999999999998</v>
      </c>
      <c r="DO185" s="228">
        <v>-2.0699999999999998</v>
      </c>
      <c r="DP185" s="228">
        <v>0.7</v>
      </c>
      <c r="DQ185" s="228">
        <v>0.75</v>
      </c>
      <c r="DR185" s="228">
        <v>-0.05</v>
      </c>
      <c r="DS185" s="229">
        <v>-6.6699999999999995E-2</v>
      </c>
      <c r="DT185" s="231">
        <v>1000</v>
      </c>
      <c r="DU185" s="231">
        <v>1000</v>
      </c>
      <c r="DV185" s="228">
        <v>0.73</v>
      </c>
      <c r="DW185" s="228">
        <v>0.46</v>
      </c>
      <c r="DX185" s="228">
        <v>0.27</v>
      </c>
      <c r="DY185" s="229">
        <v>0.58699999999999997</v>
      </c>
      <c r="DZ185" s="229">
        <v>5.3900000000000003E-2</v>
      </c>
      <c r="EA185" s="230">
        <v>2123550</v>
      </c>
      <c r="EB185" s="229">
        <v>6.3E-3</v>
      </c>
      <c r="EC185" s="229">
        <v>5.3900000000000003E-2</v>
      </c>
      <c r="ED185" s="228">
        <v>7.27</v>
      </c>
      <c r="EE185" s="229">
        <v>7.1999999999999998E-3</v>
      </c>
      <c r="EF185" s="230">
        <v>3562398</v>
      </c>
      <c r="EG185" s="230">
        <v>8709692</v>
      </c>
      <c r="EH185" s="229">
        <v>-0.59099999999999997</v>
      </c>
      <c r="EI185" s="229">
        <v>0.44840000000000002</v>
      </c>
      <c r="EJ185" s="231">
        <v>170797.86</v>
      </c>
      <c r="EK185" s="231">
        <v>116313.76</v>
      </c>
      <c r="EL185" s="231">
        <v>66253.67</v>
      </c>
      <c r="EM185" s="231">
        <v>11611</v>
      </c>
      <c r="EN185" s="231">
        <v>353365.29</v>
      </c>
      <c r="EO185" s="231">
        <v>907197.9</v>
      </c>
      <c r="EP185" s="231">
        <v>-553832.61</v>
      </c>
      <c r="EQ185" s="229">
        <v>-0.61050000000000004</v>
      </c>
      <c r="ER185" s="231">
        <v>119231</v>
      </c>
      <c r="ES185" s="231">
        <v>76180</v>
      </c>
      <c r="ET185" s="231">
        <v>427141</v>
      </c>
      <c r="EU185" s="231">
        <v>210567108</v>
      </c>
      <c r="EV185" s="231">
        <v>622551</v>
      </c>
      <c r="EW185" s="231">
        <v>629638</v>
      </c>
      <c r="EX185" s="231">
        <v>-7087</v>
      </c>
      <c r="EY185" s="229">
        <v>-1.1299999999999999E-2</v>
      </c>
      <c r="EZ185" s="229">
        <v>0.29759999999999998</v>
      </c>
      <c r="FA185" s="227" t="s">
        <v>567</v>
      </c>
      <c r="FB185" s="161">
        <f t="shared" si="4"/>
        <v>0</v>
      </c>
    </row>
    <row r="186" spans="1:158" ht="17.25" thickBot="1" x14ac:dyDescent="0.3">
      <c r="A186" s="226">
        <v>46121</v>
      </c>
      <c r="B186" s="227" t="s">
        <v>184</v>
      </c>
      <c r="C186" s="227" t="s">
        <v>285</v>
      </c>
      <c r="D186" s="228">
        <v>175</v>
      </c>
      <c r="E186" s="231">
        <v>3238.6</v>
      </c>
      <c r="F186" s="231">
        <v>3242.9</v>
      </c>
      <c r="G186" s="228">
        <v>-4.3</v>
      </c>
      <c r="H186" s="229">
        <v>-1.2999999999999999E-3</v>
      </c>
      <c r="I186" s="231">
        <v>3222.5</v>
      </c>
      <c r="J186" s="231">
        <v>3226.1</v>
      </c>
      <c r="K186" s="228">
        <v>-3.6</v>
      </c>
      <c r="L186" s="229">
        <v>-1.1000000000000001E-3</v>
      </c>
      <c r="M186" s="231">
        <v>3238.6</v>
      </c>
      <c r="N186" s="231">
        <v>3242.9</v>
      </c>
      <c r="O186" s="228">
        <v>-4.3</v>
      </c>
      <c r="P186" s="229">
        <v>-1.2999999999999999E-3</v>
      </c>
      <c r="Q186" s="231">
        <v>3244.7</v>
      </c>
      <c r="R186" s="231">
        <v>3247.2</v>
      </c>
      <c r="S186" s="228">
        <v>-2.5</v>
      </c>
      <c r="T186" s="229">
        <v>-8.0000000000000004E-4</v>
      </c>
      <c r="U186" s="231">
        <v>3244</v>
      </c>
      <c r="V186" s="231">
        <v>3255.4</v>
      </c>
      <c r="W186" s="228">
        <v>-11.4</v>
      </c>
      <c r="X186" s="229">
        <v>-3.5000000000000001E-3</v>
      </c>
      <c r="Y186" s="228">
        <v>16.100000000000001</v>
      </c>
      <c r="Z186" s="228">
        <v>16.8</v>
      </c>
      <c r="AA186" s="228">
        <v>-0.7</v>
      </c>
      <c r="AB186" s="229">
        <v>5.0000000000000001E-3</v>
      </c>
      <c r="AC186" s="228">
        <v>16.100000000000001</v>
      </c>
      <c r="AD186" s="228">
        <v>16.8</v>
      </c>
      <c r="AE186" s="228">
        <v>-0.7</v>
      </c>
      <c r="AF186" s="229">
        <v>5.0000000000000001E-3</v>
      </c>
      <c r="AG186" s="228">
        <v>22.2</v>
      </c>
      <c r="AH186" s="228">
        <v>21.1</v>
      </c>
      <c r="AI186" s="228">
        <v>1.1000000000000001</v>
      </c>
      <c r="AJ186" s="229">
        <v>6.8999999999999999E-3</v>
      </c>
      <c r="AK186" s="228">
        <v>21.5</v>
      </c>
      <c r="AL186" s="228">
        <v>29.3</v>
      </c>
      <c r="AM186" s="228">
        <v>-7.8</v>
      </c>
      <c r="AN186" s="229">
        <v>6.7000000000000002E-3</v>
      </c>
      <c r="AO186" s="231">
        <v>3235.53</v>
      </c>
      <c r="AP186" s="231">
        <v>3240.67</v>
      </c>
      <c r="AQ186" s="228">
        <v>0</v>
      </c>
      <c r="AR186" s="230">
        <v>444150</v>
      </c>
      <c r="AS186" s="230">
        <v>672875</v>
      </c>
      <c r="AT186" s="230">
        <v>-228725</v>
      </c>
      <c r="AU186" s="229">
        <v>-0.33989999999999998</v>
      </c>
      <c r="AV186" s="230">
        <v>415450</v>
      </c>
      <c r="AW186" s="230">
        <v>636475</v>
      </c>
      <c r="AX186" s="230">
        <v>-221025</v>
      </c>
      <c r="AY186" s="229">
        <v>-0.3473</v>
      </c>
      <c r="AZ186" s="230">
        <v>25550</v>
      </c>
      <c r="BA186" s="230">
        <v>34825</v>
      </c>
      <c r="BB186" s="230">
        <v>-9275</v>
      </c>
      <c r="BC186" s="229">
        <v>-0.26629999999999998</v>
      </c>
      <c r="BD186" s="230">
        <v>3150</v>
      </c>
      <c r="BE186" s="230">
        <v>1575</v>
      </c>
      <c r="BF186" s="230">
        <v>1575</v>
      </c>
      <c r="BG186" s="229">
        <v>1</v>
      </c>
      <c r="BH186" s="230">
        <v>1214150</v>
      </c>
      <c r="BI186" s="230">
        <v>2359525</v>
      </c>
      <c r="BJ186" s="230">
        <v>-1145375</v>
      </c>
      <c r="BK186" s="229">
        <v>-0.4854</v>
      </c>
      <c r="BL186" s="230">
        <v>565425</v>
      </c>
      <c r="BM186" s="230">
        <v>784525</v>
      </c>
      <c r="BN186" s="230">
        <v>-219100</v>
      </c>
      <c r="BO186" s="229">
        <v>-0.27929999999999999</v>
      </c>
      <c r="BP186" s="230">
        <v>2223725</v>
      </c>
      <c r="BQ186" s="230">
        <v>3816925</v>
      </c>
      <c r="BR186" s="230">
        <v>-1593200</v>
      </c>
      <c r="BS186" s="229">
        <v>-0.41739999999999999</v>
      </c>
      <c r="BT186" s="230">
        <v>295563</v>
      </c>
      <c r="BU186" s="230">
        <v>411649</v>
      </c>
      <c r="BV186" s="230">
        <v>-116086</v>
      </c>
      <c r="BW186" s="229">
        <v>-0.28199999999999997</v>
      </c>
      <c r="BX186" s="230">
        <v>2600675</v>
      </c>
      <c r="BY186" s="230">
        <v>2602775</v>
      </c>
      <c r="BZ186" s="230">
        <v>-2100</v>
      </c>
      <c r="CA186" s="229">
        <v>-8.0000000000000004E-4</v>
      </c>
      <c r="CB186" s="230">
        <v>2555700</v>
      </c>
      <c r="CC186" s="230">
        <v>2559725</v>
      </c>
      <c r="CD186" s="230">
        <v>-4025</v>
      </c>
      <c r="CE186" s="229">
        <v>-1.6000000000000001E-3</v>
      </c>
      <c r="CF186" s="230">
        <v>42350</v>
      </c>
      <c r="CG186" s="230">
        <v>42000</v>
      </c>
      <c r="CH186" s="228">
        <v>350</v>
      </c>
      <c r="CI186" s="229">
        <v>8.3000000000000001E-3</v>
      </c>
      <c r="CJ186" s="230">
        <v>2625</v>
      </c>
      <c r="CK186" s="230">
        <v>1050</v>
      </c>
      <c r="CL186" s="230">
        <v>1575</v>
      </c>
      <c r="CM186" s="229">
        <v>1.5</v>
      </c>
      <c r="CN186" s="230">
        <v>545825</v>
      </c>
      <c r="CO186" s="230">
        <v>522900</v>
      </c>
      <c r="CP186" s="230">
        <v>22925</v>
      </c>
      <c r="CQ186" s="229">
        <v>4.3799999999999999E-2</v>
      </c>
      <c r="CR186" s="230">
        <v>377475</v>
      </c>
      <c r="CS186" s="230">
        <v>347550</v>
      </c>
      <c r="CT186" s="230">
        <v>29925</v>
      </c>
      <c r="CU186" s="229">
        <v>8.6099999999999996E-2</v>
      </c>
      <c r="CV186" s="230">
        <v>3523975</v>
      </c>
      <c r="CW186" s="230">
        <v>3473225</v>
      </c>
      <c r="CX186" s="230">
        <v>50750</v>
      </c>
      <c r="CY186" s="229">
        <v>1.46E-2</v>
      </c>
      <c r="CZ186" s="228">
        <v>36.11</v>
      </c>
      <c r="DA186" s="228">
        <v>37.79</v>
      </c>
      <c r="DB186" s="228">
        <v>-1.68</v>
      </c>
      <c r="DC186" s="228">
        <v>-1.68</v>
      </c>
      <c r="DD186" s="228">
        <v>40.11</v>
      </c>
      <c r="DE186" s="228">
        <v>40.21</v>
      </c>
      <c r="DF186" s="228">
        <v>-4</v>
      </c>
      <c r="DG186" s="228">
        <v>-0.1</v>
      </c>
      <c r="DH186" s="228">
        <v>35.51</v>
      </c>
      <c r="DI186" s="228">
        <v>36.5</v>
      </c>
      <c r="DJ186" s="228">
        <v>-0.99</v>
      </c>
      <c r="DK186" s="228">
        <v>-0.99</v>
      </c>
      <c r="DL186" s="228">
        <v>37.380000000000003</v>
      </c>
      <c r="DM186" s="228">
        <v>41.66</v>
      </c>
      <c r="DN186" s="228">
        <v>-4.28</v>
      </c>
      <c r="DO186" s="228">
        <v>-4.28</v>
      </c>
      <c r="DP186" s="228">
        <v>0.69</v>
      </c>
      <c r="DQ186" s="228">
        <v>0.66</v>
      </c>
      <c r="DR186" s="228">
        <v>0.03</v>
      </c>
      <c r="DS186" s="229">
        <v>4.5499999999999999E-2</v>
      </c>
      <c r="DT186" s="231">
        <v>3500</v>
      </c>
      <c r="DU186" s="231">
        <v>3200</v>
      </c>
      <c r="DV186" s="228">
        <v>0.47</v>
      </c>
      <c r="DW186" s="228">
        <v>0.33</v>
      </c>
      <c r="DX186" s="228">
        <v>0.14000000000000001</v>
      </c>
      <c r="DY186" s="229">
        <v>0.42420000000000002</v>
      </c>
      <c r="DZ186" s="229">
        <v>1.7299999999999999E-2</v>
      </c>
      <c r="EA186" s="230">
        <v>43050</v>
      </c>
      <c r="EB186" s="229">
        <v>1.9E-3</v>
      </c>
      <c r="EC186" s="229">
        <v>1.7299999999999999E-2</v>
      </c>
      <c r="ED186" s="228">
        <v>5.14</v>
      </c>
      <c r="EE186" s="229">
        <v>1.6000000000000001E-3</v>
      </c>
      <c r="EF186" s="230">
        <v>116470</v>
      </c>
      <c r="EG186" s="230">
        <v>175556</v>
      </c>
      <c r="EH186" s="229">
        <v>-0.33660000000000001</v>
      </c>
      <c r="EI186" s="229">
        <v>0.39410000000000001</v>
      </c>
      <c r="EJ186" s="231">
        <v>41699.74</v>
      </c>
      <c r="EK186" s="231">
        <v>18000.37</v>
      </c>
      <c r="EL186" s="231">
        <v>14372.01</v>
      </c>
      <c r="EM186" s="231">
        <v>2341</v>
      </c>
      <c r="EN186" s="231">
        <v>74072.12</v>
      </c>
      <c r="EO186" s="231">
        <v>124896.07</v>
      </c>
      <c r="EP186" s="231">
        <v>-50823.95</v>
      </c>
      <c r="EQ186" s="229">
        <v>-0.40689999999999998</v>
      </c>
      <c r="ER186" s="231">
        <v>18087</v>
      </c>
      <c r="ES186" s="231">
        <v>11428</v>
      </c>
      <c r="ET186" s="231">
        <v>84228</v>
      </c>
      <c r="EU186" s="231">
        <v>10374894</v>
      </c>
      <c r="EV186" s="231">
        <v>113743</v>
      </c>
      <c r="EW186" s="231">
        <v>112082</v>
      </c>
      <c r="EX186" s="231">
        <v>1661</v>
      </c>
      <c r="EY186" s="229">
        <v>1.4800000000000001E-2</v>
      </c>
      <c r="EZ186" s="229">
        <v>0.3397</v>
      </c>
      <c r="FA186" s="227" t="s">
        <v>567</v>
      </c>
      <c r="FB186" s="161">
        <f t="shared" si="4"/>
        <v>0</v>
      </c>
    </row>
    <row r="187" spans="1:158" ht="17.25" thickBot="1" x14ac:dyDescent="0.3">
      <c r="A187" s="226">
        <v>46121</v>
      </c>
      <c r="B187" s="227" t="s">
        <v>498</v>
      </c>
      <c r="C187" s="227" t="s">
        <v>645</v>
      </c>
      <c r="D187" s="228">
        <v>50</v>
      </c>
      <c r="E187" s="231">
        <v>13996</v>
      </c>
      <c r="F187" s="231">
        <v>13689</v>
      </c>
      <c r="G187" s="228">
        <v>307</v>
      </c>
      <c r="H187" s="229">
        <v>2.24E-2</v>
      </c>
      <c r="I187" s="231">
        <v>13928</v>
      </c>
      <c r="J187" s="231">
        <v>13662</v>
      </c>
      <c r="K187" s="228">
        <v>266</v>
      </c>
      <c r="L187" s="229">
        <v>1.95E-2</v>
      </c>
      <c r="M187" s="231">
        <v>13996</v>
      </c>
      <c r="N187" s="231">
        <v>13689</v>
      </c>
      <c r="O187" s="228">
        <v>307</v>
      </c>
      <c r="P187" s="229">
        <v>2.24E-2</v>
      </c>
      <c r="Q187" s="231">
        <v>14045</v>
      </c>
      <c r="R187" s="231">
        <v>13756</v>
      </c>
      <c r="S187" s="228">
        <v>289</v>
      </c>
      <c r="T187" s="229">
        <v>2.1000000000000001E-2</v>
      </c>
      <c r="U187" s="231">
        <v>14133</v>
      </c>
      <c r="V187" s="231">
        <v>13820</v>
      </c>
      <c r="W187" s="228">
        <v>313</v>
      </c>
      <c r="X187" s="229">
        <v>2.2599999999999999E-2</v>
      </c>
      <c r="Y187" s="228">
        <v>68</v>
      </c>
      <c r="Z187" s="228">
        <v>27</v>
      </c>
      <c r="AA187" s="228">
        <v>41</v>
      </c>
      <c r="AB187" s="229">
        <v>4.8999999999999998E-3</v>
      </c>
      <c r="AC187" s="228">
        <v>68</v>
      </c>
      <c r="AD187" s="228">
        <v>27</v>
      </c>
      <c r="AE187" s="228">
        <v>41</v>
      </c>
      <c r="AF187" s="229">
        <v>4.8999999999999998E-3</v>
      </c>
      <c r="AG187" s="228">
        <v>117</v>
      </c>
      <c r="AH187" s="228">
        <v>94</v>
      </c>
      <c r="AI187" s="228">
        <v>23</v>
      </c>
      <c r="AJ187" s="229">
        <v>8.3999999999999995E-3</v>
      </c>
      <c r="AK187" s="228">
        <v>205</v>
      </c>
      <c r="AL187" s="228">
        <v>158</v>
      </c>
      <c r="AM187" s="228">
        <v>47</v>
      </c>
      <c r="AN187" s="229">
        <v>1.47E-2</v>
      </c>
      <c r="AO187" s="231">
        <v>13963.68</v>
      </c>
      <c r="AP187" s="231">
        <v>14005.71</v>
      </c>
      <c r="AQ187" s="228">
        <v>0</v>
      </c>
      <c r="AR187" s="230">
        <v>153400</v>
      </c>
      <c r="AS187" s="230">
        <v>166050</v>
      </c>
      <c r="AT187" s="230">
        <v>-12650</v>
      </c>
      <c r="AU187" s="229">
        <v>-7.6200000000000004E-2</v>
      </c>
      <c r="AV187" s="230">
        <v>137000</v>
      </c>
      <c r="AW187" s="230">
        <v>134400</v>
      </c>
      <c r="AX187" s="230">
        <v>2600</v>
      </c>
      <c r="AY187" s="229">
        <v>1.9300000000000001E-2</v>
      </c>
      <c r="AZ187" s="230">
        <v>14350</v>
      </c>
      <c r="BA187" s="230">
        <v>29900</v>
      </c>
      <c r="BB187" s="230">
        <v>-15550</v>
      </c>
      <c r="BC187" s="229">
        <v>-0.52010000000000001</v>
      </c>
      <c r="BD187" s="230">
        <v>2050</v>
      </c>
      <c r="BE187" s="230">
        <v>1750</v>
      </c>
      <c r="BF187" s="228">
        <v>300</v>
      </c>
      <c r="BG187" s="229">
        <v>0.1714</v>
      </c>
      <c r="BH187" s="230">
        <v>498950</v>
      </c>
      <c r="BI187" s="230">
        <v>203450</v>
      </c>
      <c r="BJ187" s="230">
        <v>295500</v>
      </c>
      <c r="BK187" s="229">
        <v>1.4523999999999999</v>
      </c>
      <c r="BL187" s="230">
        <v>170750</v>
      </c>
      <c r="BM187" s="230">
        <v>91050</v>
      </c>
      <c r="BN187" s="230">
        <v>79700</v>
      </c>
      <c r="BO187" s="229">
        <v>0.87529999999999997</v>
      </c>
      <c r="BP187" s="230">
        <v>823100</v>
      </c>
      <c r="BQ187" s="230">
        <v>460550</v>
      </c>
      <c r="BR187" s="230">
        <v>362550</v>
      </c>
      <c r="BS187" s="229">
        <v>0.78720000000000001</v>
      </c>
      <c r="BT187" s="230">
        <v>178104</v>
      </c>
      <c r="BU187" s="230">
        <v>201927</v>
      </c>
      <c r="BV187" s="230">
        <v>-23823</v>
      </c>
      <c r="BW187" s="229">
        <v>-0.11799999999999999</v>
      </c>
      <c r="BX187" s="230">
        <v>772250</v>
      </c>
      <c r="BY187" s="230">
        <v>766800</v>
      </c>
      <c r="BZ187" s="230">
        <v>5450</v>
      </c>
      <c r="CA187" s="229">
        <v>7.1000000000000004E-3</v>
      </c>
      <c r="CB187" s="230">
        <v>678900</v>
      </c>
      <c r="CC187" s="230">
        <v>674600</v>
      </c>
      <c r="CD187" s="230">
        <v>4300</v>
      </c>
      <c r="CE187" s="229">
        <v>6.4000000000000003E-3</v>
      </c>
      <c r="CF187" s="230">
        <v>76850</v>
      </c>
      <c r="CG187" s="230">
        <v>75950</v>
      </c>
      <c r="CH187" s="228">
        <v>900</v>
      </c>
      <c r="CI187" s="229">
        <v>1.18E-2</v>
      </c>
      <c r="CJ187" s="230">
        <v>16500</v>
      </c>
      <c r="CK187" s="230">
        <v>16250</v>
      </c>
      <c r="CL187" s="228">
        <v>250</v>
      </c>
      <c r="CM187" s="229">
        <v>1.54E-2</v>
      </c>
      <c r="CN187" s="230">
        <v>221550</v>
      </c>
      <c r="CO187" s="230">
        <v>184600</v>
      </c>
      <c r="CP187" s="230">
        <v>36950</v>
      </c>
      <c r="CQ187" s="229">
        <v>0.20019999999999999</v>
      </c>
      <c r="CR187" s="230">
        <v>180600</v>
      </c>
      <c r="CS187" s="230">
        <v>155350</v>
      </c>
      <c r="CT187" s="230">
        <v>25250</v>
      </c>
      <c r="CU187" s="229">
        <v>0.16250000000000001</v>
      </c>
      <c r="CV187" s="230">
        <v>1174400</v>
      </c>
      <c r="CW187" s="230">
        <v>1106750</v>
      </c>
      <c r="CX187" s="230">
        <v>67650</v>
      </c>
      <c r="CY187" s="229">
        <v>6.1100000000000002E-2</v>
      </c>
      <c r="CZ187" s="228">
        <v>37.4</v>
      </c>
      <c r="DA187" s="228">
        <v>36.68</v>
      </c>
      <c r="DB187" s="228">
        <v>0.72</v>
      </c>
      <c r="DC187" s="228">
        <v>0.72</v>
      </c>
      <c r="DD187" s="228">
        <v>41.73</v>
      </c>
      <c r="DE187" s="228">
        <v>41.73</v>
      </c>
      <c r="DF187" s="228">
        <v>-4.33</v>
      </c>
      <c r="DG187" s="228">
        <v>0</v>
      </c>
      <c r="DH187" s="228">
        <v>37.119999999999997</v>
      </c>
      <c r="DI187" s="228">
        <v>36.08</v>
      </c>
      <c r="DJ187" s="228">
        <v>1.04</v>
      </c>
      <c r="DK187" s="228">
        <v>1.04</v>
      </c>
      <c r="DL187" s="228">
        <v>38.24</v>
      </c>
      <c r="DM187" s="228">
        <v>38.020000000000003</v>
      </c>
      <c r="DN187" s="228">
        <v>0.22</v>
      </c>
      <c r="DO187" s="228">
        <v>0.22</v>
      </c>
      <c r="DP187" s="228">
        <v>0.82</v>
      </c>
      <c r="DQ187" s="228">
        <v>0.84</v>
      </c>
      <c r="DR187" s="228">
        <v>-0.02</v>
      </c>
      <c r="DS187" s="229">
        <v>-2.3800000000000002E-2</v>
      </c>
      <c r="DT187" s="231">
        <v>15000</v>
      </c>
      <c r="DU187" s="231">
        <v>13000</v>
      </c>
      <c r="DV187" s="228">
        <v>0.34</v>
      </c>
      <c r="DW187" s="228">
        <v>0.45</v>
      </c>
      <c r="DX187" s="228">
        <v>-0.11</v>
      </c>
      <c r="DY187" s="229">
        <v>-0.24440000000000001</v>
      </c>
      <c r="DZ187" s="229">
        <v>0.12089999999999999</v>
      </c>
      <c r="EA187" s="230">
        <v>92200</v>
      </c>
      <c r="EB187" s="229">
        <v>3.5000000000000001E-3</v>
      </c>
      <c r="EC187" s="229">
        <v>0.12089999999999999</v>
      </c>
      <c r="ED187" s="228">
        <v>42.03</v>
      </c>
      <c r="EE187" s="229">
        <v>3.0000000000000001E-3</v>
      </c>
      <c r="EF187" s="230">
        <v>48080</v>
      </c>
      <c r="EG187" s="230">
        <v>82707</v>
      </c>
      <c r="EH187" s="229">
        <v>-0.41870000000000002</v>
      </c>
      <c r="EI187" s="229">
        <v>0.27</v>
      </c>
      <c r="EJ187" s="231">
        <v>74507.75</v>
      </c>
      <c r="EK187" s="231">
        <v>22892.73</v>
      </c>
      <c r="EL187" s="231">
        <v>21429.07</v>
      </c>
      <c r="EM187" s="231">
        <v>2643</v>
      </c>
      <c r="EN187" s="231">
        <v>118829.55</v>
      </c>
      <c r="EO187" s="231">
        <v>64152.78</v>
      </c>
      <c r="EP187" s="231">
        <v>54676.77</v>
      </c>
      <c r="EQ187" s="229">
        <v>0.85229999999999995</v>
      </c>
      <c r="ER187" s="231">
        <v>31688</v>
      </c>
      <c r="ES187" s="231">
        <v>23075</v>
      </c>
      <c r="ET187" s="231">
        <v>108144</v>
      </c>
      <c r="EU187" s="231">
        <v>3644817</v>
      </c>
      <c r="EV187" s="231">
        <v>162907</v>
      </c>
      <c r="EW187" s="231">
        <v>150625</v>
      </c>
      <c r="EX187" s="231">
        <v>12282</v>
      </c>
      <c r="EY187" s="229">
        <v>8.1500000000000003E-2</v>
      </c>
      <c r="EZ187" s="229">
        <v>0.32219999999999999</v>
      </c>
      <c r="FA187" s="227" t="s">
        <v>555</v>
      </c>
      <c r="FB187" s="161">
        <f t="shared" si="4"/>
        <v>0</v>
      </c>
    </row>
    <row r="188" spans="1:158" ht="17.25" thickBot="1" x14ac:dyDescent="0.3">
      <c r="A188" s="226">
        <v>46121</v>
      </c>
      <c r="B188" s="227" t="s">
        <v>162</v>
      </c>
      <c r="C188" s="227" t="s">
        <v>613</v>
      </c>
      <c r="D188" s="228">
        <v>1225</v>
      </c>
      <c r="E188" s="228">
        <v>523.4</v>
      </c>
      <c r="F188" s="228">
        <v>536.20000000000005</v>
      </c>
      <c r="G188" s="228">
        <v>-12.8</v>
      </c>
      <c r="H188" s="229">
        <v>-2.3900000000000001E-2</v>
      </c>
      <c r="I188" s="228">
        <v>523.04999999999995</v>
      </c>
      <c r="J188" s="228">
        <v>533.70000000000005</v>
      </c>
      <c r="K188" s="228">
        <v>-10.65</v>
      </c>
      <c r="L188" s="229">
        <v>-0.02</v>
      </c>
      <c r="M188" s="228">
        <v>523.4</v>
      </c>
      <c r="N188" s="228">
        <v>536.20000000000005</v>
      </c>
      <c r="O188" s="228">
        <v>-12.8</v>
      </c>
      <c r="P188" s="229">
        <v>-2.3900000000000001E-2</v>
      </c>
      <c r="Q188" s="228">
        <v>525.6</v>
      </c>
      <c r="R188" s="228">
        <v>538.45000000000005</v>
      </c>
      <c r="S188" s="228">
        <v>-12.85</v>
      </c>
      <c r="T188" s="229">
        <v>-2.3900000000000001E-2</v>
      </c>
      <c r="U188" s="228">
        <v>531.5</v>
      </c>
      <c r="V188" s="228">
        <v>540.75</v>
      </c>
      <c r="W188" s="228">
        <v>-9.25</v>
      </c>
      <c r="X188" s="229">
        <v>-1.7100000000000001E-2</v>
      </c>
      <c r="Y188" s="228">
        <v>0.35</v>
      </c>
      <c r="Z188" s="228">
        <v>2.5</v>
      </c>
      <c r="AA188" s="228">
        <v>-2.15</v>
      </c>
      <c r="AB188" s="229">
        <v>6.9999999999999999E-4</v>
      </c>
      <c r="AC188" s="228">
        <v>0.35</v>
      </c>
      <c r="AD188" s="228">
        <v>2.5</v>
      </c>
      <c r="AE188" s="228">
        <v>-2.15</v>
      </c>
      <c r="AF188" s="229">
        <v>6.9999999999999999E-4</v>
      </c>
      <c r="AG188" s="228">
        <v>2.5499999999999998</v>
      </c>
      <c r="AH188" s="228">
        <v>4.75</v>
      </c>
      <c r="AI188" s="228">
        <v>-2.2000000000000002</v>
      </c>
      <c r="AJ188" s="229">
        <v>4.8999999999999998E-3</v>
      </c>
      <c r="AK188" s="228">
        <v>8.4499999999999993</v>
      </c>
      <c r="AL188" s="228">
        <v>7.05</v>
      </c>
      <c r="AM188" s="228">
        <v>1.4</v>
      </c>
      <c r="AN188" s="229">
        <v>1.6199999999999999E-2</v>
      </c>
      <c r="AO188" s="228">
        <v>529.47</v>
      </c>
      <c r="AP188" s="228">
        <v>532.34</v>
      </c>
      <c r="AQ188" s="228">
        <v>0</v>
      </c>
      <c r="AR188" s="230">
        <v>2736650</v>
      </c>
      <c r="AS188" s="230">
        <v>3077200</v>
      </c>
      <c r="AT188" s="230">
        <v>-340550</v>
      </c>
      <c r="AU188" s="229">
        <v>-0.11070000000000001</v>
      </c>
      <c r="AV188" s="230">
        <v>2672950</v>
      </c>
      <c r="AW188" s="230">
        <v>2970625</v>
      </c>
      <c r="AX188" s="230">
        <v>-297675</v>
      </c>
      <c r="AY188" s="229">
        <v>-0.1002</v>
      </c>
      <c r="AZ188" s="230">
        <v>55125</v>
      </c>
      <c r="BA188" s="230">
        <v>95550</v>
      </c>
      <c r="BB188" s="230">
        <v>-40425</v>
      </c>
      <c r="BC188" s="229">
        <v>-0.42309999999999998</v>
      </c>
      <c r="BD188" s="230">
        <v>8575</v>
      </c>
      <c r="BE188" s="230">
        <v>11025</v>
      </c>
      <c r="BF188" s="230">
        <v>-2450</v>
      </c>
      <c r="BG188" s="229">
        <v>-0.22220000000000001</v>
      </c>
      <c r="BH188" s="230">
        <v>3137225</v>
      </c>
      <c r="BI188" s="230">
        <v>6509650</v>
      </c>
      <c r="BJ188" s="230">
        <v>-3372425</v>
      </c>
      <c r="BK188" s="229">
        <v>-0.5181</v>
      </c>
      <c r="BL188" s="230">
        <v>1427125</v>
      </c>
      <c r="BM188" s="230">
        <v>2619050</v>
      </c>
      <c r="BN188" s="230">
        <v>-1191925</v>
      </c>
      <c r="BO188" s="229">
        <v>-0.4551</v>
      </c>
      <c r="BP188" s="230">
        <v>7301000</v>
      </c>
      <c r="BQ188" s="230">
        <v>12205900</v>
      </c>
      <c r="BR188" s="230">
        <v>-4904900</v>
      </c>
      <c r="BS188" s="229">
        <v>-0.40179999999999999</v>
      </c>
      <c r="BT188" s="230">
        <v>1939461</v>
      </c>
      <c r="BU188" s="230">
        <v>4793316</v>
      </c>
      <c r="BV188" s="230">
        <v>-2853855</v>
      </c>
      <c r="BW188" s="229">
        <v>-0.59540000000000004</v>
      </c>
      <c r="BX188" s="230">
        <v>12468050</v>
      </c>
      <c r="BY188" s="230">
        <v>12623625</v>
      </c>
      <c r="BZ188" s="230">
        <v>-155575</v>
      </c>
      <c r="CA188" s="229">
        <v>-1.23E-2</v>
      </c>
      <c r="CB188" s="230">
        <v>12327175</v>
      </c>
      <c r="CC188" s="230">
        <v>12495000</v>
      </c>
      <c r="CD188" s="230">
        <v>-167825</v>
      </c>
      <c r="CE188" s="229">
        <v>-1.34E-2</v>
      </c>
      <c r="CF188" s="230">
        <v>127400</v>
      </c>
      <c r="CG188" s="230">
        <v>121275</v>
      </c>
      <c r="CH188" s="230">
        <v>6125</v>
      </c>
      <c r="CI188" s="229">
        <v>5.0500000000000003E-2</v>
      </c>
      <c r="CJ188" s="230">
        <v>13475</v>
      </c>
      <c r="CK188" s="230">
        <v>7350</v>
      </c>
      <c r="CL188" s="230">
        <v>6125</v>
      </c>
      <c r="CM188" s="229">
        <v>0.83330000000000004</v>
      </c>
      <c r="CN188" s="230">
        <v>3482675</v>
      </c>
      <c r="CO188" s="230">
        <v>3095575</v>
      </c>
      <c r="CP188" s="230">
        <v>387100</v>
      </c>
      <c r="CQ188" s="229">
        <v>0.125</v>
      </c>
      <c r="CR188" s="230">
        <v>2416925</v>
      </c>
      <c r="CS188" s="230">
        <v>2343425</v>
      </c>
      <c r="CT188" s="230">
        <v>73500</v>
      </c>
      <c r="CU188" s="229">
        <v>3.1399999999999997E-2</v>
      </c>
      <c r="CV188" s="230">
        <v>18367650</v>
      </c>
      <c r="CW188" s="230">
        <v>18062625</v>
      </c>
      <c r="CX188" s="230">
        <v>305025</v>
      </c>
      <c r="CY188" s="229">
        <v>1.6899999999999998E-2</v>
      </c>
      <c r="CZ188" s="228">
        <v>38.56</v>
      </c>
      <c r="DA188" s="228">
        <v>38.979999999999997</v>
      </c>
      <c r="DB188" s="228">
        <v>-0.42</v>
      </c>
      <c r="DC188" s="228">
        <v>-0.42</v>
      </c>
      <c r="DD188" s="228">
        <v>40.67</v>
      </c>
      <c r="DE188" s="228">
        <v>40.64</v>
      </c>
      <c r="DF188" s="228">
        <v>-2.11</v>
      </c>
      <c r="DG188" s="228">
        <v>0.03</v>
      </c>
      <c r="DH188" s="228">
        <v>38.340000000000003</v>
      </c>
      <c r="DI188" s="228">
        <v>39.020000000000003</v>
      </c>
      <c r="DJ188" s="228">
        <v>-0.68</v>
      </c>
      <c r="DK188" s="228">
        <v>-0.68</v>
      </c>
      <c r="DL188" s="228">
        <v>39.04</v>
      </c>
      <c r="DM188" s="228">
        <v>38.880000000000003</v>
      </c>
      <c r="DN188" s="228">
        <v>0.16</v>
      </c>
      <c r="DO188" s="228">
        <v>0.16</v>
      </c>
      <c r="DP188" s="228">
        <v>0.69</v>
      </c>
      <c r="DQ188" s="228">
        <v>0.76</v>
      </c>
      <c r="DR188" s="228">
        <v>-7.0000000000000007E-2</v>
      </c>
      <c r="DS188" s="229">
        <v>-9.2100000000000001E-2</v>
      </c>
      <c r="DT188" s="228">
        <v>600</v>
      </c>
      <c r="DU188" s="228">
        <v>540</v>
      </c>
      <c r="DV188" s="228">
        <v>0.45</v>
      </c>
      <c r="DW188" s="228">
        <v>0.4</v>
      </c>
      <c r="DX188" s="228">
        <v>0.05</v>
      </c>
      <c r="DY188" s="229">
        <v>0.125</v>
      </c>
      <c r="DZ188" s="229">
        <v>1.1299999999999999E-2</v>
      </c>
      <c r="EA188" s="230">
        <v>128625</v>
      </c>
      <c r="EB188" s="229">
        <v>4.1999999999999997E-3</v>
      </c>
      <c r="EC188" s="229">
        <v>1.1299999999999999E-2</v>
      </c>
      <c r="ED188" s="228">
        <v>2.87</v>
      </c>
      <c r="EE188" s="229">
        <v>5.4000000000000003E-3</v>
      </c>
      <c r="EF188" s="230">
        <v>1094660</v>
      </c>
      <c r="EG188" s="230">
        <v>3410039</v>
      </c>
      <c r="EH188" s="229">
        <v>-0.67900000000000005</v>
      </c>
      <c r="EI188" s="229">
        <v>0.56440000000000001</v>
      </c>
      <c r="EJ188" s="231">
        <v>17841.04</v>
      </c>
      <c r="EK188" s="231">
        <v>7503.91</v>
      </c>
      <c r="EL188" s="231">
        <v>14491.67</v>
      </c>
      <c r="EM188" s="231">
        <v>1635</v>
      </c>
      <c r="EN188" s="231">
        <v>39836.620000000003</v>
      </c>
      <c r="EO188" s="231">
        <v>67847.08</v>
      </c>
      <c r="EP188" s="231">
        <v>-28010.46</v>
      </c>
      <c r="EQ188" s="229">
        <v>-0.4128</v>
      </c>
      <c r="ER188" s="231">
        <v>19386</v>
      </c>
      <c r="ES188" s="231">
        <v>12160</v>
      </c>
      <c r="ET188" s="231">
        <v>65262</v>
      </c>
      <c r="EU188" s="231">
        <v>61283708</v>
      </c>
      <c r="EV188" s="231">
        <v>96807</v>
      </c>
      <c r="EW188" s="231">
        <v>96674</v>
      </c>
      <c r="EX188" s="228">
        <v>133</v>
      </c>
      <c r="EY188" s="229">
        <v>1.4E-3</v>
      </c>
      <c r="EZ188" s="229">
        <v>0.29970000000000002</v>
      </c>
      <c r="FA188" s="227" t="s">
        <v>567</v>
      </c>
      <c r="FB188" s="161">
        <f t="shared" si="4"/>
        <v>0</v>
      </c>
    </row>
    <row r="189" spans="1:158" ht="17.25" thickBot="1" x14ac:dyDescent="0.3">
      <c r="A189" s="226">
        <v>46121</v>
      </c>
      <c r="B189" s="227" t="s">
        <v>197</v>
      </c>
      <c r="C189" s="227" t="s">
        <v>286</v>
      </c>
      <c r="D189" s="228">
        <v>200</v>
      </c>
      <c r="E189" s="231">
        <v>2411.6999999999998</v>
      </c>
      <c r="F189" s="231">
        <v>2448.1</v>
      </c>
      <c r="G189" s="228">
        <v>-36.4</v>
      </c>
      <c r="H189" s="229">
        <v>-1.49E-2</v>
      </c>
      <c r="I189" s="231">
        <v>2399.8000000000002</v>
      </c>
      <c r="J189" s="231">
        <v>2435.1</v>
      </c>
      <c r="K189" s="228">
        <v>-35.299999999999997</v>
      </c>
      <c r="L189" s="229">
        <v>-1.4500000000000001E-2</v>
      </c>
      <c r="M189" s="231">
        <v>2411.6999999999998</v>
      </c>
      <c r="N189" s="231">
        <v>2448.1</v>
      </c>
      <c r="O189" s="228">
        <v>-36.4</v>
      </c>
      <c r="P189" s="229">
        <v>-1.49E-2</v>
      </c>
      <c r="Q189" s="231">
        <v>2423.1</v>
      </c>
      <c r="R189" s="231">
        <v>2460.1</v>
      </c>
      <c r="S189" s="228">
        <v>-37</v>
      </c>
      <c r="T189" s="229">
        <v>-1.4999999999999999E-2</v>
      </c>
      <c r="U189" s="231">
        <v>2438.6999999999998</v>
      </c>
      <c r="V189" s="231">
        <v>2464.6</v>
      </c>
      <c r="W189" s="228">
        <v>-25.9</v>
      </c>
      <c r="X189" s="229">
        <v>-1.0500000000000001E-2</v>
      </c>
      <c r="Y189" s="228">
        <v>11.9</v>
      </c>
      <c r="Z189" s="228">
        <v>13</v>
      </c>
      <c r="AA189" s="228">
        <v>-1.1000000000000001</v>
      </c>
      <c r="AB189" s="229">
        <v>5.0000000000000001E-3</v>
      </c>
      <c r="AC189" s="228">
        <v>11.9</v>
      </c>
      <c r="AD189" s="228">
        <v>13</v>
      </c>
      <c r="AE189" s="228">
        <v>-1.1000000000000001</v>
      </c>
      <c r="AF189" s="229">
        <v>5.0000000000000001E-3</v>
      </c>
      <c r="AG189" s="228">
        <v>23.3</v>
      </c>
      <c r="AH189" s="228">
        <v>25</v>
      </c>
      <c r="AI189" s="228">
        <v>-1.7</v>
      </c>
      <c r="AJ189" s="229">
        <v>9.7000000000000003E-3</v>
      </c>
      <c r="AK189" s="228">
        <v>38.9</v>
      </c>
      <c r="AL189" s="228">
        <v>29.5</v>
      </c>
      <c r="AM189" s="228">
        <v>9.4</v>
      </c>
      <c r="AN189" s="229">
        <v>1.6199999999999999E-2</v>
      </c>
      <c r="AO189" s="231">
        <v>2419.12</v>
      </c>
      <c r="AP189" s="231">
        <v>2432.48</v>
      </c>
      <c r="AQ189" s="228">
        <v>0</v>
      </c>
      <c r="AR189" s="230">
        <v>940400</v>
      </c>
      <c r="AS189" s="230">
        <v>1101400</v>
      </c>
      <c r="AT189" s="230">
        <v>-161000</v>
      </c>
      <c r="AU189" s="229">
        <v>-0.1462</v>
      </c>
      <c r="AV189" s="230">
        <v>877800</v>
      </c>
      <c r="AW189" s="230">
        <v>1042400</v>
      </c>
      <c r="AX189" s="230">
        <v>-164600</v>
      </c>
      <c r="AY189" s="229">
        <v>-0.15790000000000001</v>
      </c>
      <c r="AZ189" s="230">
        <v>55600</v>
      </c>
      <c r="BA189" s="230">
        <v>51400</v>
      </c>
      <c r="BB189" s="230">
        <v>4200</v>
      </c>
      <c r="BC189" s="229">
        <v>8.1699999999999995E-2</v>
      </c>
      <c r="BD189" s="230">
        <v>7000</v>
      </c>
      <c r="BE189" s="230">
        <v>7600</v>
      </c>
      <c r="BF189" s="228">
        <v>-600</v>
      </c>
      <c r="BG189" s="229">
        <v>-7.8899999999999998E-2</v>
      </c>
      <c r="BH189" s="230">
        <v>1712600</v>
      </c>
      <c r="BI189" s="230">
        <v>2822200</v>
      </c>
      <c r="BJ189" s="230">
        <v>-1109600</v>
      </c>
      <c r="BK189" s="229">
        <v>-0.39319999999999999</v>
      </c>
      <c r="BL189" s="230">
        <v>725000</v>
      </c>
      <c r="BM189" s="230">
        <v>1058200</v>
      </c>
      <c r="BN189" s="230">
        <v>-333200</v>
      </c>
      <c r="BO189" s="229">
        <v>-0.31490000000000001</v>
      </c>
      <c r="BP189" s="230">
        <v>3378000</v>
      </c>
      <c r="BQ189" s="230">
        <v>4981800</v>
      </c>
      <c r="BR189" s="230">
        <v>-1603800</v>
      </c>
      <c r="BS189" s="229">
        <v>-0.32190000000000002</v>
      </c>
      <c r="BT189" s="230">
        <v>783294</v>
      </c>
      <c r="BU189" s="230">
        <v>917883</v>
      </c>
      <c r="BV189" s="230">
        <v>-134589</v>
      </c>
      <c r="BW189" s="229">
        <v>-0.14660000000000001</v>
      </c>
      <c r="BX189" s="230">
        <v>4377200</v>
      </c>
      <c r="BY189" s="230">
        <v>4102600</v>
      </c>
      <c r="BZ189" s="230">
        <v>274600</v>
      </c>
      <c r="CA189" s="229">
        <v>6.6900000000000001E-2</v>
      </c>
      <c r="CB189" s="230">
        <v>4278200</v>
      </c>
      <c r="CC189" s="230">
        <v>4028200</v>
      </c>
      <c r="CD189" s="230">
        <v>250000</v>
      </c>
      <c r="CE189" s="229">
        <v>6.2100000000000002E-2</v>
      </c>
      <c r="CF189" s="230">
        <v>86600</v>
      </c>
      <c r="CG189" s="230">
        <v>65200</v>
      </c>
      <c r="CH189" s="230">
        <v>21400</v>
      </c>
      <c r="CI189" s="229">
        <v>0.32819999999999999</v>
      </c>
      <c r="CJ189" s="230">
        <v>12400</v>
      </c>
      <c r="CK189" s="230">
        <v>9200</v>
      </c>
      <c r="CL189" s="230">
        <v>3200</v>
      </c>
      <c r="CM189" s="229">
        <v>0.3478</v>
      </c>
      <c r="CN189" s="230">
        <v>1543200</v>
      </c>
      <c r="CO189" s="230">
        <v>1368200</v>
      </c>
      <c r="CP189" s="230">
        <v>175000</v>
      </c>
      <c r="CQ189" s="229">
        <v>0.12790000000000001</v>
      </c>
      <c r="CR189" s="230">
        <v>1032800</v>
      </c>
      <c r="CS189" s="230">
        <v>981600</v>
      </c>
      <c r="CT189" s="230">
        <v>51200</v>
      </c>
      <c r="CU189" s="229">
        <v>5.2200000000000003E-2</v>
      </c>
      <c r="CV189" s="230">
        <v>6953200</v>
      </c>
      <c r="CW189" s="230">
        <v>6452400</v>
      </c>
      <c r="CX189" s="230">
        <v>500800</v>
      </c>
      <c r="CY189" s="229">
        <v>7.7600000000000002E-2</v>
      </c>
      <c r="CZ189" s="228">
        <v>36.9</v>
      </c>
      <c r="DA189" s="228">
        <v>37.22</v>
      </c>
      <c r="DB189" s="228">
        <v>-0.32</v>
      </c>
      <c r="DC189" s="228">
        <v>-0.32</v>
      </c>
      <c r="DD189" s="228">
        <v>36.67</v>
      </c>
      <c r="DE189" s="228">
        <v>36.71</v>
      </c>
      <c r="DF189" s="228">
        <v>0.23</v>
      </c>
      <c r="DG189" s="228">
        <v>-0.04</v>
      </c>
      <c r="DH189" s="228">
        <v>36.729999999999997</v>
      </c>
      <c r="DI189" s="228">
        <v>37.04</v>
      </c>
      <c r="DJ189" s="228">
        <v>-0.31</v>
      </c>
      <c r="DK189" s="228">
        <v>-0.31</v>
      </c>
      <c r="DL189" s="228">
        <v>37.29</v>
      </c>
      <c r="DM189" s="228">
        <v>37.71</v>
      </c>
      <c r="DN189" s="228">
        <v>-0.42</v>
      </c>
      <c r="DO189" s="228">
        <v>-0.42</v>
      </c>
      <c r="DP189" s="228">
        <v>0.67</v>
      </c>
      <c r="DQ189" s="228">
        <v>0.72</v>
      </c>
      <c r="DR189" s="228">
        <v>-0.05</v>
      </c>
      <c r="DS189" s="229">
        <v>-6.9400000000000003E-2</v>
      </c>
      <c r="DT189" s="231">
        <v>2600</v>
      </c>
      <c r="DU189" s="231">
        <v>2400</v>
      </c>
      <c r="DV189" s="228">
        <v>0.42</v>
      </c>
      <c r="DW189" s="228">
        <v>0.37</v>
      </c>
      <c r="DX189" s="228">
        <v>0.05</v>
      </c>
      <c r="DY189" s="229">
        <v>0.1351</v>
      </c>
      <c r="DZ189" s="229">
        <v>2.2599999999999999E-2</v>
      </c>
      <c r="EA189" s="230">
        <v>74400</v>
      </c>
      <c r="EB189" s="229">
        <v>4.7000000000000002E-3</v>
      </c>
      <c r="EC189" s="229">
        <v>2.2599999999999999E-2</v>
      </c>
      <c r="ED189" s="228">
        <v>13.36</v>
      </c>
      <c r="EE189" s="229">
        <v>5.4999999999999997E-3</v>
      </c>
      <c r="EF189" s="230">
        <v>338602</v>
      </c>
      <c r="EG189" s="230">
        <v>502550</v>
      </c>
      <c r="EH189" s="229">
        <v>-0.32619999999999999</v>
      </c>
      <c r="EI189" s="229">
        <v>0.43230000000000002</v>
      </c>
      <c r="EJ189" s="231">
        <v>44167.05</v>
      </c>
      <c r="EK189" s="231">
        <v>17692.57</v>
      </c>
      <c r="EL189" s="231">
        <v>22758.84</v>
      </c>
      <c r="EM189" s="231">
        <v>4643</v>
      </c>
      <c r="EN189" s="231">
        <v>84618.46</v>
      </c>
      <c r="EO189" s="231">
        <v>128331.26</v>
      </c>
      <c r="EP189" s="231">
        <v>-43712.800000000003</v>
      </c>
      <c r="EQ189" s="229">
        <v>-0.34060000000000001</v>
      </c>
      <c r="ER189" s="231">
        <v>39859</v>
      </c>
      <c r="ES189" s="231">
        <v>25077</v>
      </c>
      <c r="ET189" s="231">
        <v>105578</v>
      </c>
      <c r="EU189" s="231">
        <v>19721628</v>
      </c>
      <c r="EV189" s="231">
        <v>170515</v>
      </c>
      <c r="EW189" s="231">
        <v>159666</v>
      </c>
      <c r="EX189" s="231">
        <v>10849</v>
      </c>
      <c r="EY189" s="229">
        <v>6.7900000000000002E-2</v>
      </c>
      <c r="EZ189" s="229">
        <v>0.35260000000000002</v>
      </c>
      <c r="FA189" s="227" t="s">
        <v>566</v>
      </c>
      <c r="FB189" s="161">
        <f t="shared" si="4"/>
        <v>0</v>
      </c>
    </row>
    <row r="190" spans="1:158" ht="17.25" thickBot="1" x14ac:dyDescent="0.3">
      <c r="A190" s="226">
        <v>46121</v>
      </c>
      <c r="B190" s="227" t="s">
        <v>170</v>
      </c>
      <c r="C190" s="227" t="s">
        <v>288</v>
      </c>
      <c r="D190" s="228">
        <v>350</v>
      </c>
      <c r="E190" s="231">
        <v>1725</v>
      </c>
      <c r="F190" s="231">
        <v>1722.5</v>
      </c>
      <c r="G190" s="228">
        <v>2.5</v>
      </c>
      <c r="H190" s="229">
        <v>1.5E-3</v>
      </c>
      <c r="I190" s="231">
        <v>1717.1</v>
      </c>
      <c r="J190" s="231">
        <v>1714.6</v>
      </c>
      <c r="K190" s="228">
        <v>2.5</v>
      </c>
      <c r="L190" s="229">
        <v>1.5E-3</v>
      </c>
      <c r="M190" s="231">
        <v>1725</v>
      </c>
      <c r="N190" s="231">
        <v>1722.5</v>
      </c>
      <c r="O190" s="228">
        <v>2.5</v>
      </c>
      <c r="P190" s="229">
        <v>1.5E-3</v>
      </c>
      <c r="Q190" s="231">
        <v>1733.8</v>
      </c>
      <c r="R190" s="231">
        <v>1731.9</v>
      </c>
      <c r="S190" s="228">
        <v>1.9</v>
      </c>
      <c r="T190" s="229">
        <v>1.1000000000000001E-3</v>
      </c>
      <c r="U190" s="231">
        <v>1746.1</v>
      </c>
      <c r="V190" s="231">
        <v>1744.4</v>
      </c>
      <c r="W190" s="228">
        <v>1.7</v>
      </c>
      <c r="X190" s="229">
        <v>1E-3</v>
      </c>
      <c r="Y190" s="228">
        <v>7.9</v>
      </c>
      <c r="Z190" s="228">
        <v>7.9</v>
      </c>
      <c r="AA190" s="228">
        <v>0</v>
      </c>
      <c r="AB190" s="229">
        <v>4.5999999999999999E-3</v>
      </c>
      <c r="AC190" s="228">
        <v>7.9</v>
      </c>
      <c r="AD190" s="228">
        <v>7.9</v>
      </c>
      <c r="AE190" s="228">
        <v>0</v>
      </c>
      <c r="AF190" s="229">
        <v>4.5999999999999999E-3</v>
      </c>
      <c r="AG190" s="228">
        <v>16.7</v>
      </c>
      <c r="AH190" s="228">
        <v>17.3</v>
      </c>
      <c r="AI190" s="228">
        <v>-0.6</v>
      </c>
      <c r="AJ190" s="229">
        <v>9.7000000000000003E-3</v>
      </c>
      <c r="AK190" s="228">
        <v>29</v>
      </c>
      <c r="AL190" s="228">
        <v>29.8</v>
      </c>
      <c r="AM190" s="228">
        <v>-0.8</v>
      </c>
      <c r="AN190" s="229">
        <v>1.6899999999999998E-2</v>
      </c>
      <c r="AO190" s="231">
        <v>1727.67</v>
      </c>
      <c r="AP190" s="231">
        <v>1734.83</v>
      </c>
      <c r="AQ190" s="228">
        <v>0</v>
      </c>
      <c r="AR190" s="230">
        <v>1645700</v>
      </c>
      <c r="AS190" s="230">
        <v>2980600</v>
      </c>
      <c r="AT190" s="230">
        <v>-1334900</v>
      </c>
      <c r="AU190" s="229">
        <v>-0.44790000000000002</v>
      </c>
      <c r="AV190" s="230">
        <v>1322650</v>
      </c>
      <c r="AW190" s="230">
        <v>2503550</v>
      </c>
      <c r="AX190" s="230">
        <v>-1180900</v>
      </c>
      <c r="AY190" s="229">
        <v>-0.47170000000000001</v>
      </c>
      <c r="AZ190" s="230">
        <v>319200</v>
      </c>
      <c r="BA190" s="230">
        <v>399700</v>
      </c>
      <c r="BB190" s="230">
        <v>-80500</v>
      </c>
      <c r="BC190" s="229">
        <v>-0.2014</v>
      </c>
      <c r="BD190" s="230">
        <v>3850</v>
      </c>
      <c r="BE190" s="230">
        <v>77350</v>
      </c>
      <c r="BF190" s="230">
        <v>-73500</v>
      </c>
      <c r="BG190" s="229">
        <v>-0.95020000000000004</v>
      </c>
      <c r="BH190" s="230">
        <v>5940550</v>
      </c>
      <c r="BI190" s="230">
        <v>11626300</v>
      </c>
      <c r="BJ190" s="230">
        <v>-5685750</v>
      </c>
      <c r="BK190" s="229">
        <v>-0.48899999999999999</v>
      </c>
      <c r="BL190" s="230">
        <v>3704050</v>
      </c>
      <c r="BM190" s="230">
        <v>7778750</v>
      </c>
      <c r="BN190" s="230">
        <v>-4074700</v>
      </c>
      <c r="BO190" s="229">
        <v>-0.52380000000000004</v>
      </c>
      <c r="BP190" s="230">
        <v>11290300</v>
      </c>
      <c r="BQ190" s="230">
        <v>22385650</v>
      </c>
      <c r="BR190" s="230">
        <v>-11095350</v>
      </c>
      <c r="BS190" s="229">
        <v>-0.49559999999999998</v>
      </c>
      <c r="BT190" s="230">
        <v>3368476</v>
      </c>
      <c r="BU190" s="230">
        <v>5089267</v>
      </c>
      <c r="BV190" s="230">
        <v>-1720791</v>
      </c>
      <c r="BW190" s="229">
        <v>-0.33810000000000001</v>
      </c>
      <c r="BX190" s="230">
        <v>19044900</v>
      </c>
      <c r="BY190" s="230">
        <v>18705750</v>
      </c>
      <c r="BZ190" s="230">
        <v>339150</v>
      </c>
      <c r="CA190" s="229">
        <v>1.8100000000000002E-2</v>
      </c>
      <c r="CB190" s="230">
        <v>16507050</v>
      </c>
      <c r="CC190" s="230">
        <v>16415350</v>
      </c>
      <c r="CD190" s="230">
        <v>91700</v>
      </c>
      <c r="CE190" s="229">
        <v>5.5999999999999999E-3</v>
      </c>
      <c r="CF190" s="230">
        <v>2216550</v>
      </c>
      <c r="CG190" s="230">
        <v>1968750</v>
      </c>
      <c r="CH190" s="230">
        <v>247800</v>
      </c>
      <c r="CI190" s="229">
        <v>0.12590000000000001</v>
      </c>
      <c r="CJ190" s="230">
        <v>321300</v>
      </c>
      <c r="CK190" s="230">
        <v>321650</v>
      </c>
      <c r="CL190" s="228">
        <v>-350</v>
      </c>
      <c r="CM190" s="229">
        <v>-1.1000000000000001E-3</v>
      </c>
      <c r="CN190" s="230">
        <v>4630500</v>
      </c>
      <c r="CO190" s="230">
        <v>4767350</v>
      </c>
      <c r="CP190" s="230">
        <v>-136850</v>
      </c>
      <c r="CQ190" s="229">
        <v>-2.87E-2</v>
      </c>
      <c r="CR190" s="230">
        <v>4135250</v>
      </c>
      <c r="CS190" s="230">
        <v>4208400</v>
      </c>
      <c r="CT190" s="230">
        <v>-73150</v>
      </c>
      <c r="CU190" s="229">
        <v>-1.7399999999999999E-2</v>
      </c>
      <c r="CV190" s="230">
        <v>27810650</v>
      </c>
      <c r="CW190" s="230">
        <v>27681500</v>
      </c>
      <c r="CX190" s="230">
        <v>129150</v>
      </c>
      <c r="CY190" s="229">
        <v>4.7000000000000002E-3</v>
      </c>
      <c r="CZ190" s="228">
        <v>21.72</v>
      </c>
      <c r="DA190" s="228">
        <v>21.6</v>
      </c>
      <c r="DB190" s="228">
        <v>0.12</v>
      </c>
      <c r="DC190" s="228">
        <v>0.12</v>
      </c>
      <c r="DD190" s="228">
        <v>23.2</v>
      </c>
      <c r="DE190" s="228">
        <v>23.25</v>
      </c>
      <c r="DF190" s="228">
        <v>-1.48</v>
      </c>
      <c r="DG190" s="228">
        <v>-0.05</v>
      </c>
      <c r="DH190" s="228">
        <v>21.32</v>
      </c>
      <c r="DI190" s="228">
        <v>21.19</v>
      </c>
      <c r="DJ190" s="228">
        <v>0.13</v>
      </c>
      <c r="DK190" s="228">
        <v>0.13</v>
      </c>
      <c r="DL190" s="228">
        <v>22.37</v>
      </c>
      <c r="DM190" s="228">
        <v>22.21</v>
      </c>
      <c r="DN190" s="228">
        <v>0.16</v>
      </c>
      <c r="DO190" s="228">
        <v>0.16</v>
      </c>
      <c r="DP190" s="228">
        <v>0.89</v>
      </c>
      <c r="DQ190" s="228">
        <v>0.88</v>
      </c>
      <c r="DR190" s="228">
        <v>0.01</v>
      </c>
      <c r="DS190" s="229">
        <v>1.14E-2</v>
      </c>
      <c r="DT190" s="231">
        <v>1800</v>
      </c>
      <c r="DU190" s="231">
        <v>1690</v>
      </c>
      <c r="DV190" s="228">
        <v>0.62</v>
      </c>
      <c r="DW190" s="228">
        <v>0.67</v>
      </c>
      <c r="DX190" s="228">
        <v>-0.05</v>
      </c>
      <c r="DY190" s="229">
        <v>-7.46E-2</v>
      </c>
      <c r="DZ190" s="229">
        <v>0.1333</v>
      </c>
      <c r="EA190" s="230">
        <v>2290400</v>
      </c>
      <c r="EB190" s="229">
        <v>5.1000000000000004E-3</v>
      </c>
      <c r="EC190" s="229">
        <v>0.1333</v>
      </c>
      <c r="ED190" s="228">
        <v>7.16</v>
      </c>
      <c r="EE190" s="229">
        <v>4.1000000000000003E-3</v>
      </c>
      <c r="EF190" s="230">
        <v>2235813</v>
      </c>
      <c r="EG190" s="230">
        <v>3410555</v>
      </c>
      <c r="EH190" s="229">
        <v>-0.34439999999999998</v>
      </c>
      <c r="EI190" s="229">
        <v>0.66369999999999996</v>
      </c>
      <c r="EJ190" s="231">
        <v>105764.81</v>
      </c>
      <c r="EK190" s="231">
        <v>63594.8</v>
      </c>
      <c r="EL190" s="231">
        <v>28455.96</v>
      </c>
      <c r="EM190" s="231">
        <v>7920</v>
      </c>
      <c r="EN190" s="231">
        <v>197815.57</v>
      </c>
      <c r="EO190" s="231">
        <v>390309.25</v>
      </c>
      <c r="EP190" s="231">
        <v>-192493.68</v>
      </c>
      <c r="EQ190" s="229">
        <v>-0.49320000000000003</v>
      </c>
      <c r="ER190" s="231">
        <v>82460</v>
      </c>
      <c r="ES190" s="231">
        <v>69286</v>
      </c>
      <c r="ET190" s="231">
        <v>328787</v>
      </c>
      <c r="EU190" s="231">
        <v>121755902</v>
      </c>
      <c r="EV190" s="231">
        <v>480533</v>
      </c>
      <c r="EW190" s="231">
        <v>477651</v>
      </c>
      <c r="EX190" s="231">
        <v>2882</v>
      </c>
      <c r="EY190" s="229">
        <v>6.0000000000000001E-3</v>
      </c>
      <c r="EZ190" s="229">
        <v>0.22839999999999999</v>
      </c>
      <c r="FA190" s="227" t="s">
        <v>555</v>
      </c>
      <c r="FB190" s="161">
        <f t="shared" si="4"/>
        <v>0</v>
      </c>
    </row>
    <row r="191" spans="1:158" ht="17.25" thickBot="1" x14ac:dyDescent="0.3">
      <c r="A191" s="226">
        <v>46121</v>
      </c>
      <c r="B191" s="227" t="s">
        <v>184</v>
      </c>
      <c r="C191" s="227" t="s">
        <v>573</v>
      </c>
      <c r="D191" s="228">
        <v>175</v>
      </c>
      <c r="E191" s="231">
        <v>3790</v>
      </c>
      <c r="F191" s="231">
        <v>3804.4</v>
      </c>
      <c r="G191" s="228">
        <v>-14.4</v>
      </c>
      <c r="H191" s="229">
        <v>-3.8E-3</v>
      </c>
      <c r="I191" s="231">
        <v>3771.9</v>
      </c>
      <c r="J191" s="231">
        <v>3787.9</v>
      </c>
      <c r="K191" s="228">
        <v>-16</v>
      </c>
      <c r="L191" s="229">
        <v>-4.1999999999999997E-3</v>
      </c>
      <c r="M191" s="231">
        <v>3790</v>
      </c>
      <c r="N191" s="231">
        <v>3804.4</v>
      </c>
      <c r="O191" s="228">
        <v>-14.4</v>
      </c>
      <c r="P191" s="229">
        <v>-3.8E-3</v>
      </c>
      <c r="Q191" s="231">
        <v>3798.2</v>
      </c>
      <c r="R191" s="231">
        <v>3815.7</v>
      </c>
      <c r="S191" s="228">
        <v>-17.5</v>
      </c>
      <c r="T191" s="229">
        <v>-4.5999999999999999E-3</v>
      </c>
      <c r="U191" s="231">
        <v>3890</v>
      </c>
      <c r="V191" s="231">
        <v>3890</v>
      </c>
      <c r="W191" s="228">
        <v>0</v>
      </c>
      <c r="X191" s="229">
        <v>0</v>
      </c>
      <c r="Y191" s="228">
        <v>18.100000000000001</v>
      </c>
      <c r="Z191" s="228">
        <v>16.5</v>
      </c>
      <c r="AA191" s="228">
        <v>1.6</v>
      </c>
      <c r="AB191" s="229">
        <v>4.7999999999999996E-3</v>
      </c>
      <c r="AC191" s="228">
        <v>18.100000000000001</v>
      </c>
      <c r="AD191" s="228">
        <v>16.5</v>
      </c>
      <c r="AE191" s="228">
        <v>1.6</v>
      </c>
      <c r="AF191" s="229">
        <v>4.7999999999999996E-3</v>
      </c>
      <c r="AG191" s="228">
        <v>26.3</v>
      </c>
      <c r="AH191" s="228">
        <v>27.8</v>
      </c>
      <c r="AI191" s="228">
        <v>-1.5</v>
      </c>
      <c r="AJ191" s="229">
        <v>7.0000000000000001E-3</v>
      </c>
      <c r="AK191" s="228">
        <v>118.1</v>
      </c>
      <c r="AL191" s="228">
        <v>102.1</v>
      </c>
      <c r="AM191" s="228">
        <v>16</v>
      </c>
      <c r="AN191" s="229">
        <v>3.1300000000000001E-2</v>
      </c>
      <c r="AO191" s="231">
        <v>3797.59</v>
      </c>
      <c r="AP191" s="231">
        <v>3805.94</v>
      </c>
      <c r="AQ191" s="228">
        <v>0</v>
      </c>
      <c r="AR191" s="230">
        <v>343875</v>
      </c>
      <c r="AS191" s="230">
        <v>394275</v>
      </c>
      <c r="AT191" s="230">
        <v>-50400</v>
      </c>
      <c r="AU191" s="229">
        <v>-0.1278</v>
      </c>
      <c r="AV191" s="230">
        <v>339500</v>
      </c>
      <c r="AW191" s="230">
        <v>387625</v>
      </c>
      <c r="AX191" s="230">
        <v>-48125</v>
      </c>
      <c r="AY191" s="229">
        <v>-0.1242</v>
      </c>
      <c r="AZ191" s="230">
        <v>4375</v>
      </c>
      <c r="BA191" s="230">
        <v>6475</v>
      </c>
      <c r="BB191" s="230">
        <v>-2100</v>
      </c>
      <c r="BC191" s="229">
        <v>-0.32429999999999998</v>
      </c>
      <c r="BD191" s="228">
        <v>0</v>
      </c>
      <c r="BE191" s="228">
        <v>175</v>
      </c>
      <c r="BF191" s="228">
        <v>-175</v>
      </c>
      <c r="BG191" s="229">
        <v>-1</v>
      </c>
      <c r="BH191" s="230">
        <v>492625</v>
      </c>
      <c r="BI191" s="230">
        <v>518875</v>
      </c>
      <c r="BJ191" s="230">
        <v>-26250</v>
      </c>
      <c r="BK191" s="229">
        <v>-5.0599999999999999E-2</v>
      </c>
      <c r="BL191" s="230">
        <v>216825</v>
      </c>
      <c r="BM191" s="230">
        <v>434700</v>
      </c>
      <c r="BN191" s="230">
        <v>-217875</v>
      </c>
      <c r="BO191" s="229">
        <v>-0.50119999999999998</v>
      </c>
      <c r="BP191" s="230">
        <v>1053325</v>
      </c>
      <c r="BQ191" s="230">
        <v>1347850</v>
      </c>
      <c r="BR191" s="230">
        <v>-294525</v>
      </c>
      <c r="BS191" s="229">
        <v>-0.2185</v>
      </c>
      <c r="BT191" s="230">
        <v>277678</v>
      </c>
      <c r="BU191" s="230">
        <v>280602</v>
      </c>
      <c r="BV191" s="230">
        <v>-2924</v>
      </c>
      <c r="BW191" s="229">
        <v>-1.04E-2</v>
      </c>
      <c r="BX191" s="230">
        <v>1987125</v>
      </c>
      <c r="BY191" s="230">
        <v>1946175</v>
      </c>
      <c r="BZ191" s="230">
        <v>40950</v>
      </c>
      <c r="CA191" s="229">
        <v>2.1000000000000001E-2</v>
      </c>
      <c r="CB191" s="230">
        <v>1972425</v>
      </c>
      <c r="CC191" s="230">
        <v>1932525</v>
      </c>
      <c r="CD191" s="230">
        <v>39900</v>
      </c>
      <c r="CE191" s="229">
        <v>2.06E-2</v>
      </c>
      <c r="CF191" s="230">
        <v>14175</v>
      </c>
      <c r="CG191" s="230">
        <v>13125</v>
      </c>
      <c r="CH191" s="230">
        <v>1050</v>
      </c>
      <c r="CI191" s="229">
        <v>0.08</v>
      </c>
      <c r="CJ191" s="228">
        <v>525</v>
      </c>
      <c r="CK191" s="228">
        <v>525</v>
      </c>
      <c r="CL191" s="228">
        <v>0</v>
      </c>
      <c r="CM191" s="229">
        <v>0</v>
      </c>
      <c r="CN191" s="230">
        <v>514850</v>
      </c>
      <c r="CO191" s="230">
        <v>383250</v>
      </c>
      <c r="CP191" s="230">
        <v>131600</v>
      </c>
      <c r="CQ191" s="229">
        <v>0.34339999999999998</v>
      </c>
      <c r="CR191" s="230">
        <v>330225</v>
      </c>
      <c r="CS191" s="230">
        <v>303625</v>
      </c>
      <c r="CT191" s="230">
        <v>26600</v>
      </c>
      <c r="CU191" s="229">
        <v>8.7599999999999997E-2</v>
      </c>
      <c r="CV191" s="230">
        <v>2832200</v>
      </c>
      <c r="CW191" s="230">
        <v>2633050</v>
      </c>
      <c r="CX191" s="230">
        <v>199150</v>
      </c>
      <c r="CY191" s="229">
        <v>7.5600000000000001E-2</v>
      </c>
      <c r="CZ191" s="228">
        <v>39.72</v>
      </c>
      <c r="DA191" s="228">
        <v>38.94</v>
      </c>
      <c r="DB191" s="228">
        <v>0.78</v>
      </c>
      <c r="DC191" s="228">
        <v>0.78</v>
      </c>
      <c r="DD191" s="228">
        <v>38.299999999999997</v>
      </c>
      <c r="DE191" s="228">
        <v>38.39</v>
      </c>
      <c r="DF191" s="228">
        <v>1.42</v>
      </c>
      <c r="DG191" s="228">
        <v>-0.09</v>
      </c>
      <c r="DH191" s="228">
        <v>37.58</v>
      </c>
      <c r="DI191" s="228">
        <v>37.74</v>
      </c>
      <c r="DJ191" s="228">
        <v>-0.16</v>
      </c>
      <c r="DK191" s="228">
        <v>-0.16</v>
      </c>
      <c r="DL191" s="228">
        <v>44.58</v>
      </c>
      <c r="DM191" s="228">
        <v>40.380000000000003</v>
      </c>
      <c r="DN191" s="228">
        <v>4.2</v>
      </c>
      <c r="DO191" s="228">
        <v>4.2</v>
      </c>
      <c r="DP191" s="228">
        <v>0.64</v>
      </c>
      <c r="DQ191" s="228">
        <v>0.79</v>
      </c>
      <c r="DR191" s="228">
        <v>-0.15</v>
      </c>
      <c r="DS191" s="229">
        <v>-0.18990000000000001</v>
      </c>
      <c r="DT191" s="231">
        <v>4400</v>
      </c>
      <c r="DU191" s="231">
        <v>3500</v>
      </c>
      <c r="DV191" s="228">
        <v>0.44</v>
      </c>
      <c r="DW191" s="228">
        <v>0.84</v>
      </c>
      <c r="DX191" s="228">
        <v>-0.4</v>
      </c>
      <c r="DY191" s="229">
        <v>-0.47620000000000001</v>
      </c>
      <c r="DZ191" s="229">
        <v>7.4000000000000003E-3</v>
      </c>
      <c r="EA191" s="230">
        <v>13650</v>
      </c>
      <c r="EB191" s="229">
        <v>2.2000000000000001E-3</v>
      </c>
      <c r="EC191" s="229">
        <v>7.4000000000000003E-3</v>
      </c>
      <c r="ED191" s="228">
        <v>8.35</v>
      </c>
      <c r="EE191" s="229">
        <v>2.2000000000000001E-3</v>
      </c>
      <c r="EF191" s="230">
        <v>139879</v>
      </c>
      <c r="EG191" s="230">
        <v>130612</v>
      </c>
      <c r="EH191" s="229">
        <v>7.0999999999999994E-2</v>
      </c>
      <c r="EI191" s="229">
        <v>0.50370000000000004</v>
      </c>
      <c r="EJ191" s="231">
        <v>20682.650000000001</v>
      </c>
      <c r="EK191" s="231">
        <v>7534.5</v>
      </c>
      <c r="EL191" s="231">
        <v>13059.33</v>
      </c>
      <c r="EM191" s="231">
        <v>2900</v>
      </c>
      <c r="EN191" s="231">
        <v>41276.480000000003</v>
      </c>
      <c r="EO191" s="231">
        <v>52532.68</v>
      </c>
      <c r="EP191" s="231">
        <v>-11256.2</v>
      </c>
      <c r="EQ191" s="229">
        <v>-0.21429999999999999</v>
      </c>
      <c r="ER191" s="231">
        <v>20944</v>
      </c>
      <c r="ES191" s="231">
        <v>11946</v>
      </c>
      <c r="ET191" s="231">
        <v>75314</v>
      </c>
      <c r="EU191" s="231">
        <v>9724371</v>
      </c>
      <c r="EV191" s="231">
        <v>108204</v>
      </c>
      <c r="EW191" s="231">
        <v>100291</v>
      </c>
      <c r="EX191" s="231">
        <v>7913</v>
      </c>
      <c r="EY191" s="229">
        <v>7.8899999999999998E-2</v>
      </c>
      <c r="EZ191" s="229">
        <v>0.29120000000000001</v>
      </c>
      <c r="FA191" s="227" t="s">
        <v>566</v>
      </c>
      <c r="FB191" s="161">
        <f t="shared" si="4"/>
        <v>0</v>
      </c>
    </row>
    <row r="192" spans="1:158" ht="17.25" thickBot="1" x14ac:dyDescent="0.3">
      <c r="A192" s="226">
        <v>46121</v>
      </c>
      <c r="B192" s="227" t="s">
        <v>161</v>
      </c>
      <c r="C192" s="227" t="s">
        <v>682</v>
      </c>
      <c r="D192" s="228">
        <v>9025</v>
      </c>
      <c r="E192" s="228">
        <v>44.38</v>
      </c>
      <c r="F192" s="228">
        <v>44.45</v>
      </c>
      <c r="G192" s="228">
        <v>-7.0000000000000007E-2</v>
      </c>
      <c r="H192" s="229">
        <v>-1.6000000000000001E-3</v>
      </c>
      <c r="I192" s="228">
        <v>44.23</v>
      </c>
      <c r="J192" s="228">
        <v>44.23</v>
      </c>
      <c r="K192" s="228">
        <v>0</v>
      </c>
      <c r="L192" s="229">
        <v>0</v>
      </c>
      <c r="M192" s="228">
        <v>44.38</v>
      </c>
      <c r="N192" s="228">
        <v>44.45</v>
      </c>
      <c r="O192" s="228">
        <v>-7.0000000000000007E-2</v>
      </c>
      <c r="P192" s="229">
        <v>-1.6000000000000001E-3</v>
      </c>
      <c r="Q192" s="228">
        <v>44.61</v>
      </c>
      <c r="R192" s="228">
        <v>44.67</v>
      </c>
      <c r="S192" s="228">
        <v>-0.06</v>
      </c>
      <c r="T192" s="229">
        <v>-1.2999999999999999E-3</v>
      </c>
      <c r="U192" s="228">
        <v>44.93</v>
      </c>
      <c r="V192" s="228">
        <v>45</v>
      </c>
      <c r="W192" s="228">
        <v>-7.0000000000000007E-2</v>
      </c>
      <c r="X192" s="229">
        <v>-1.6000000000000001E-3</v>
      </c>
      <c r="Y192" s="228">
        <v>0.15</v>
      </c>
      <c r="Z192" s="228">
        <v>0.22</v>
      </c>
      <c r="AA192" s="228">
        <v>-7.0000000000000007E-2</v>
      </c>
      <c r="AB192" s="229">
        <v>3.3999999999999998E-3</v>
      </c>
      <c r="AC192" s="228">
        <v>0.15</v>
      </c>
      <c r="AD192" s="228">
        <v>0.22</v>
      </c>
      <c r="AE192" s="228">
        <v>-7.0000000000000007E-2</v>
      </c>
      <c r="AF192" s="229">
        <v>3.3999999999999998E-3</v>
      </c>
      <c r="AG192" s="228">
        <v>0.38</v>
      </c>
      <c r="AH192" s="228">
        <v>0.44</v>
      </c>
      <c r="AI192" s="228">
        <v>-0.06</v>
      </c>
      <c r="AJ192" s="229">
        <v>8.6E-3</v>
      </c>
      <c r="AK192" s="228">
        <v>0.7</v>
      </c>
      <c r="AL192" s="228">
        <v>0.77</v>
      </c>
      <c r="AM192" s="228">
        <v>-7.0000000000000007E-2</v>
      </c>
      <c r="AN192" s="229">
        <v>1.5800000000000002E-2</v>
      </c>
      <c r="AO192" s="228">
        <v>44.19</v>
      </c>
      <c r="AP192" s="228">
        <v>44.42</v>
      </c>
      <c r="AQ192" s="228">
        <v>0</v>
      </c>
      <c r="AR192" s="230">
        <v>43410250</v>
      </c>
      <c r="AS192" s="230">
        <v>59249125</v>
      </c>
      <c r="AT192" s="230">
        <v>-15838875</v>
      </c>
      <c r="AU192" s="229">
        <v>-0.26729999999999998</v>
      </c>
      <c r="AV192" s="230">
        <v>38978975</v>
      </c>
      <c r="AW192" s="230">
        <v>52733075</v>
      </c>
      <c r="AX192" s="230">
        <v>-13754100</v>
      </c>
      <c r="AY192" s="229">
        <v>-0.26079999999999998</v>
      </c>
      <c r="AZ192" s="230">
        <v>3339250</v>
      </c>
      <c r="BA192" s="230">
        <v>5748925</v>
      </c>
      <c r="BB192" s="230">
        <v>-2409675</v>
      </c>
      <c r="BC192" s="229">
        <v>-0.41920000000000002</v>
      </c>
      <c r="BD192" s="230">
        <v>1092025</v>
      </c>
      <c r="BE192" s="230">
        <v>767125</v>
      </c>
      <c r="BF192" s="230">
        <v>324900</v>
      </c>
      <c r="BG192" s="229">
        <v>0.42349999999999999</v>
      </c>
      <c r="BH192" s="230">
        <v>117415250</v>
      </c>
      <c r="BI192" s="230">
        <v>210255425</v>
      </c>
      <c r="BJ192" s="230">
        <v>-92840175</v>
      </c>
      <c r="BK192" s="229">
        <v>-0.44159999999999999</v>
      </c>
      <c r="BL192" s="230">
        <v>48626700</v>
      </c>
      <c r="BM192" s="230">
        <v>65295875</v>
      </c>
      <c r="BN192" s="230">
        <v>-16669175</v>
      </c>
      <c r="BO192" s="229">
        <v>-0.25530000000000003</v>
      </c>
      <c r="BP192" s="230">
        <v>209452200</v>
      </c>
      <c r="BQ192" s="230">
        <v>334800425</v>
      </c>
      <c r="BR192" s="230">
        <v>-125348225</v>
      </c>
      <c r="BS192" s="229">
        <v>-0.37440000000000001</v>
      </c>
      <c r="BT192" s="230">
        <v>87326500</v>
      </c>
      <c r="BU192" s="230">
        <v>104716351</v>
      </c>
      <c r="BV192" s="230">
        <v>-17389851</v>
      </c>
      <c r="BW192" s="229">
        <v>-0.1661</v>
      </c>
      <c r="BX192" s="230">
        <v>299034350</v>
      </c>
      <c r="BY192" s="230">
        <v>294341350</v>
      </c>
      <c r="BZ192" s="230">
        <v>4693000</v>
      </c>
      <c r="CA192" s="229">
        <v>1.5900000000000001E-2</v>
      </c>
      <c r="CB192" s="230">
        <v>280722625</v>
      </c>
      <c r="CC192" s="230">
        <v>277031400</v>
      </c>
      <c r="CD192" s="230">
        <v>3691225</v>
      </c>
      <c r="CE192" s="229">
        <v>1.3299999999999999E-2</v>
      </c>
      <c r="CF192" s="230">
        <v>15965225</v>
      </c>
      <c r="CG192" s="230">
        <v>15739600</v>
      </c>
      <c r="CH192" s="230">
        <v>225625</v>
      </c>
      <c r="CI192" s="229">
        <v>1.43E-2</v>
      </c>
      <c r="CJ192" s="230">
        <v>2346500</v>
      </c>
      <c r="CK192" s="230">
        <v>1570350</v>
      </c>
      <c r="CL192" s="230">
        <v>776150</v>
      </c>
      <c r="CM192" s="229">
        <v>0.49430000000000002</v>
      </c>
      <c r="CN192" s="230">
        <v>119057800</v>
      </c>
      <c r="CO192" s="230">
        <v>111034575</v>
      </c>
      <c r="CP192" s="230">
        <v>8023225</v>
      </c>
      <c r="CQ192" s="229">
        <v>7.2300000000000003E-2</v>
      </c>
      <c r="CR192" s="230">
        <v>54465875</v>
      </c>
      <c r="CS192" s="230">
        <v>52200600</v>
      </c>
      <c r="CT192" s="230">
        <v>2265275</v>
      </c>
      <c r="CU192" s="229">
        <v>4.3400000000000001E-2</v>
      </c>
      <c r="CV192" s="230">
        <v>472558025</v>
      </c>
      <c r="CW192" s="230">
        <v>457576525</v>
      </c>
      <c r="CX192" s="230">
        <v>14981500</v>
      </c>
      <c r="CY192" s="229">
        <v>3.27E-2</v>
      </c>
      <c r="CZ192" s="228">
        <v>37.619999999999997</v>
      </c>
      <c r="DA192" s="228">
        <v>39.1</v>
      </c>
      <c r="DB192" s="228">
        <v>-1.48</v>
      </c>
      <c r="DC192" s="228">
        <v>-1.48</v>
      </c>
      <c r="DD192" s="228">
        <v>46.48</v>
      </c>
      <c r="DE192" s="228">
        <v>46.59</v>
      </c>
      <c r="DF192" s="228">
        <v>-8.86</v>
      </c>
      <c r="DG192" s="228">
        <v>-0.11</v>
      </c>
      <c r="DH192" s="228">
        <v>36.06</v>
      </c>
      <c r="DI192" s="228">
        <v>37.340000000000003</v>
      </c>
      <c r="DJ192" s="228">
        <v>-1.28</v>
      </c>
      <c r="DK192" s="228">
        <v>-1.28</v>
      </c>
      <c r="DL192" s="228">
        <v>41.4</v>
      </c>
      <c r="DM192" s="228">
        <v>44.78</v>
      </c>
      <c r="DN192" s="228">
        <v>-3.38</v>
      </c>
      <c r="DO192" s="228">
        <v>-3.38</v>
      </c>
      <c r="DP192" s="228">
        <v>0.46</v>
      </c>
      <c r="DQ192" s="228">
        <v>0.47</v>
      </c>
      <c r="DR192" s="228">
        <v>-0.01</v>
      </c>
      <c r="DS192" s="229">
        <v>-2.1299999999999999E-2</v>
      </c>
      <c r="DT192" s="228">
        <v>45</v>
      </c>
      <c r="DU192" s="228">
        <v>40</v>
      </c>
      <c r="DV192" s="228">
        <v>0.41</v>
      </c>
      <c r="DW192" s="228">
        <v>0.31</v>
      </c>
      <c r="DX192" s="228">
        <v>0.1</v>
      </c>
      <c r="DY192" s="229">
        <v>0.3226</v>
      </c>
      <c r="DZ192" s="229">
        <v>6.1199999999999997E-2</v>
      </c>
      <c r="EA192" s="230">
        <v>17309950</v>
      </c>
      <c r="EB192" s="229">
        <v>5.1999999999999998E-3</v>
      </c>
      <c r="EC192" s="229">
        <v>6.1199999999999997E-2</v>
      </c>
      <c r="ED192" s="228">
        <v>0.23</v>
      </c>
      <c r="EE192" s="229">
        <v>5.1999999999999998E-3</v>
      </c>
      <c r="EF192" s="230">
        <v>29670878</v>
      </c>
      <c r="EG192" s="230">
        <v>37003505</v>
      </c>
      <c r="EH192" s="229">
        <v>-0.19819999999999999</v>
      </c>
      <c r="EI192" s="229">
        <v>0.33979999999999999</v>
      </c>
      <c r="EJ192" s="231">
        <v>55022.93</v>
      </c>
      <c r="EK192" s="231">
        <v>20906.04</v>
      </c>
      <c r="EL192" s="231">
        <v>19198.759999999998</v>
      </c>
      <c r="EM192" s="231">
        <v>3901</v>
      </c>
      <c r="EN192" s="231">
        <v>95127.73</v>
      </c>
      <c r="EO192" s="231">
        <v>152008.54999999999</v>
      </c>
      <c r="EP192" s="231">
        <v>-56880.82</v>
      </c>
      <c r="EQ192" s="229">
        <v>-0.37419999999999998</v>
      </c>
      <c r="ER192" s="231">
        <v>54858</v>
      </c>
      <c r="ES192" s="231">
        <v>22736</v>
      </c>
      <c r="ET192" s="231">
        <v>132761</v>
      </c>
      <c r="EU192" s="231">
        <v>1815546735</v>
      </c>
      <c r="EV192" s="231">
        <v>210355</v>
      </c>
      <c r="EW192" s="231">
        <v>203697</v>
      </c>
      <c r="EX192" s="231">
        <v>6658</v>
      </c>
      <c r="EY192" s="229">
        <v>3.27E-2</v>
      </c>
      <c r="EZ192" s="229">
        <v>0.26029999999999998</v>
      </c>
      <c r="FA192" s="227" t="s">
        <v>566</v>
      </c>
      <c r="FB192" s="161">
        <f t="shared" si="4"/>
        <v>0</v>
      </c>
    </row>
    <row r="193" spans="1:158" ht="17.25" thickBot="1" x14ac:dyDescent="0.3">
      <c r="A193" s="226">
        <v>46121</v>
      </c>
      <c r="B193" s="227" t="s">
        <v>614</v>
      </c>
      <c r="C193" s="227" t="s">
        <v>691</v>
      </c>
      <c r="D193" s="228">
        <v>1300</v>
      </c>
      <c r="E193" s="228">
        <v>272.64999999999998</v>
      </c>
      <c r="F193" s="228">
        <v>279.10000000000002</v>
      </c>
      <c r="G193" s="228">
        <v>-6.45</v>
      </c>
      <c r="H193" s="229">
        <v>-2.3099999999999999E-2</v>
      </c>
      <c r="I193" s="228">
        <v>271.89999999999998</v>
      </c>
      <c r="J193" s="228">
        <v>277.64999999999998</v>
      </c>
      <c r="K193" s="228">
        <v>-5.75</v>
      </c>
      <c r="L193" s="229">
        <v>-2.07E-2</v>
      </c>
      <c r="M193" s="228">
        <v>272.64999999999998</v>
      </c>
      <c r="N193" s="228">
        <v>279.10000000000002</v>
      </c>
      <c r="O193" s="228">
        <v>-6.45</v>
      </c>
      <c r="P193" s="229">
        <v>-2.3099999999999999E-2</v>
      </c>
      <c r="Q193" s="228">
        <v>272.2</v>
      </c>
      <c r="R193" s="228">
        <v>277.8</v>
      </c>
      <c r="S193" s="228">
        <v>-5.6</v>
      </c>
      <c r="T193" s="229">
        <v>-2.0199999999999999E-2</v>
      </c>
      <c r="U193" s="228">
        <v>270.39999999999998</v>
      </c>
      <c r="V193" s="228">
        <v>277.7</v>
      </c>
      <c r="W193" s="228">
        <v>-7.3</v>
      </c>
      <c r="X193" s="229">
        <v>-2.63E-2</v>
      </c>
      <c r="Y193" s="228">
        <v>0.75</v>
      </c>
      <c r="Z193" s="228">
        <v>1.45</v>
      </c>
      <c r="AA193" s="228">
        <v>-0.7</v>
      </c>
      <c r="AB193" s="229">
        <v>2.8E-3</v>
      </c>
      <c r="AC193" s="228">
        <v>0.75</v>
      </c>
      <c r="AD193" s="228">
        <v>1.45</v>
      </c>
      <c r="AE193" s="228">
        <v>-0.7</v>
      </c>
      <c r="AF193" s="229">
        <v>2.8E-3</v>
      </c>
      <c r="AG193" s="228">
        <v>0.3</v>
      </c>
      <c r="AH193" s="228">
        <v>0.15</v>
      </c>
      <c r="AI193" s="228">
        <v>0.15</v>
      </c>
      <c r="AJ193" s="229">
        <v>1.1000000000000001E-3</v>
      </c>
      <c r="AK193" s="228">
        <v>-1.5</v>
      </c>
      <c r="AL193" s="228">
        <v>0.05</v>
      </c>
      <c r="AM193" s="228">
        <v>-1.55</v>
      </c>
      <c r="AN193" s="229">
        <v>-5.4999999999999997E-3</v>
      </c>
      <c r="AO193" s="228">
        <v>273.43</v>
      </c>
      <c r="AP193" s="228">
        <v>272.63</v>
      </c>
      <c r="AQ193" s="228">
        <v>0</v>
      </c>
      <c r="AR193" s="230">
        <v>8555300</v>
      </c>
      <c r="AS193" s="230">
        <v>8611200</v>
      </c>
      <c r="AT193" s="230">
        <v>-55900</v>
      </c>
      <c r="AU193" s="229">
        <v>-6.4999999999999997E-3</v>
      </c>
      <c r="AV193" s="230">
        <v>8127600</v>
      </c>
      <c r="AW193" s="230">
        <v>8278400</v>
      </c>
      <c r="AX193" s="230">
        <v>-150800</v>
      </c>
      <c r="AY193" s="229">
        <v>-1.8200000000000001E-2</v>
      </c>
      <c r="AZ193" s="230">
        <v>400400</v>
      </c>
      <c r="BA193" s="230">
        <v>267800</v>
      </c>
      <c r="BB193" s="230">
        <v>132600</v>
      </c>
      <c r="BC193" s="229">
        <v>0.49509999999999998</v>
      </c>
      <c r="BD193" s="230">
        <v>27300</v>
      </c>
      <c r="BE193" s="230">
        <v>65000</v>
      </c>
      <c r="BF193" s="230">
        <v>-37700</v>
      </c>
      <c r="BG193" s="229">
        <v>-0.57999999999999996</v>
      </c>
      <c r="BH193" s="230">
        <v>5986500</v>
      </c>
      <c r="BI193" s="230">
        <v>8307000</v>
      </c>
      <c r="BJ193" s="230">
        <v>-2320500</v>
      </c>
      <c r="BK193" s="229">
        <v>-0.27929999999999999</v>
      </c>
      <c r="BL193" s="230">
        <v>2757300</v>
      </c>
      <c r="BM193" s="230">
        <v>3464500</v>
      </c>
      <c r="BN193" s="230">
        <v>-707200</v>
      </c>
      <c r="BO193" s="229">
        <v>-0.2041</v>
      </c>
      <c r="BP193" s="230">
        <v>17299100</v>
      </c>
      <c r="BQ193" s="230">
        <v>20382700</v>
      </c>
      <c r="BR193" s="230">
        <v>-3083600</v>
      </c>
      <c r="BS193" s="229">
        <v>-0.15129999999999999</v>
      </c>
      <c r="BT193" s="230">
        <v>8706111</v>
      </c>
      <c r="BU193" s="230">
        <v>15185206</v>
      </c>
      <c r="BV193" s="230">
        <v>-6479095</v>
      </c>
      <c r="BW193" s="229">
        <v>-0.42670000000000002</v>
      </c>
      <c r="BX193" s="230">
        <v>52366600</v>
      </c>
      <c r="BY193" s="230">
        <v>52201500</v>
      </c>
      <c r="BZ193" s="230">
        <v>165100</v>
      </c>
      <c r="CA193" s="229">
        <v>3.2000000000000002E-3</v>
      </c>
      <c r="CB193" s="230">
        <v>51313600</v>
      </c>
      <c r="CC193" s="230">
        <v>51292800</v>
      </c>
      <c r="CD193" s="230">
        <v>20800</v>
      </c>
      <c r="CE193" s="229">
        <v>4.0000000000000002E-4</v>
      </c>
      <c r="CF193" s="230">
        <v>947700</v>
      </c>
      <c r="CG193" s="230">
        <v>828100</v>
      </c>
      <c r="CH193" s="230">
        <v>119600</v>
      </c>
      <c r="CI193" s="229">
        <v>0.1444</v>
      </c>
      <c r="CJ193" s="230">
        <v>105300</v>
      </c>
      <c r="CK193" s="230">
        <v>80600</v>
      </c>
      <c r="CL193" s="230">
        <v>24700</v>
      </c>
      <c r="CM193" s="229">
        <v>0.30649999999999999</v>
      </c>
      <c r="CN193" s="230">
        <v>6219200</v>
      </c>
      <c r="CO193" s="230">
        <v>5345600</v>
      </c>
      <c r="CP193" s="230">
        <v>873600</v>
      </c>
      <c r="CQ193" s="229">
        <v>0.16339999999999999</v>
      </c>
      <c r="CR193" s="230">
        <v>4033900</v>
      </c>
      <c r="CS193" s="230">
        <v>3767400</v>
      </c>
      <c r="CT193" s="230">
        <v>266500</v>
      </c>
      <c r="CU193" s="229">
        <v>7.0699999999999999E-2</v>
      </c>
      <c r="CV193" s="230">
        <v>62619700</v>
      </c>
      <c r="CW193" s="230">
        <v>61314500</v>
      </c>
      <c r="CX193" s="230">
        <v>1305200</v>
      </c>
      <c r="CY193" s="229">
        <v>2.1299999999999999E-2</v>
      </c>
      <c r="CZ193" s="228">
        <v>49.62</v>
      </c>
      <c r="DA193" s="228">
        <v>48.31</v>
      </c>
      <c r="DB193" s="228">
        <v>1.31</v>
      </c>
      <c r="DC193" s="228">
        <v>1.31</v>
      </c>
      <c r="DD193" s="228">
        <v>45.34</v>
      </c>
      <c r="DE193" s="228">
        <v>45.36</v>
      </c>
      <c r="DF193" s="228">
        <v>4.28</v>
      </c>
      <c r="DG193" s="228">
        <v>-0.02</v>
      </c>
      <c r="DH193" s="228">
        <v>49.68</v>
      </c>
      <c r="DI193" s="228">
        <v>48.05</v>
      </c>
      <c r="DJ193" s="228">
        <v>1.63</v>
      </c>
      <c r="DK193" s="228">
        <v>1.63</v>
      </c>
      <c r="DL193" s="228">
        <v>49.5</v>
      </c>
      <c r="DM193" s="228">
        <v>48.93</v>
      </c>
      <c r="DN193" s="228">
        <v>0.56999999999999995</v>
      </c>
      <c r="DO193" s="228">
        <v>0.56999999999999995</v>
      </c>
      <c r="DP193" s="228">
        <v>0.65</v>
      </c>
      <c r="DQ193" s="228">
        <v>0.7</v>
      </c>
      <c r="DR193" s="228">
        <v>-0.05</v>
      </c>
      <c r="DS193" s="229">
        <v>-7.1400000000000005E-2</v>
      </c>
      <c r="DT193" s="228">
        <v>300</v>
      </c>
      <c r="DU193" s="228">
        <v>270</v>
      </c>
      <c r="DV193" s="228">
        <v>0.46</v>
      </c>
      <c r="DW193" s="228">
        <v>0.42</v>
      </c>
      <c r="DX193" s="228">
        <v>0.04</v>
      </c>
      <c r="DY193" s="229">
        <v>9.5200000000000007E-2</v>
      </c>
      <c r="DZ193" s="229">
        <v>2.01E-2</v>
      </c>
      <c r="EA193" s="230">
        <v>908700</v>
      </c>
      <c r="EB193" s="229">
        <v>-1.6999999999999999E-3</v>
      </c>
      <c r="EC193" s="229">
        <v>2.01E-2</v>
      </c>
      <c r="ED193" s="228">
        <v>-0.8</v>
      </c>
      <c r="EE193" s="229">
        <v>-2.8999999999999998E-3</v>
      </c>
      <c r="EF193" s="230">
        <v>2714699</v>
      </c>
      <c r="EG193" s="230">
        <v>7468040</v>
      </c>
      <c r="EH193" s="229">
        <v>-0.63649999999999995</v>
      </c>
      <c r="EI193" s="229">
        <v>0.31180000000000002</v>
      </c>
      <c r="EJ193" s="231">
        <v>17583.53</v>
      </c>
      <c r="EK193" s="231">
        <v>7786.32</v>
      </c>
      <c r="EL193" s="231">
        <v>23389.42</v>
      </c>
      <c r="EM193" s="231">
        <v>7096</v>
      </c>
      <c r="EN193" s="231">
        <v>48759.27</v>
      </c>
      <c r="EO193" s="231">
        <v>58672.11</v>
      </c>
      <c r="EP193" s="231">
        <v>-9912.84</v>
      </c>
      <c r="EQ193" s="229">
        <v>-0.16900000000000001</v>
      </c>
      <c r="ER193" s="231">
        <v>17910</v>
      </c>
      <c r="ES193" s="231">
        <v>10952</v>
      </c>
      <c r="ET193" s="231">
        <v>142771</v>
      </c>
      <c r="EU193" s="231">
        <v>389472858</v>
      </c>
      <c r="EV193" s="231">
        <v>171633</v>
      </c>
      <c r="EW193" s="231">
        <v>171362</v>
      </c>
      <c r="EX193" s="228">
        <v>271</v>
      </c>
      <c r="EY193" s="229">
        <v>1.6000000000000001E-3</v>
      </c>
      <c r="EZ193" s="229">
        <v>0.1608</v>
      </c>
      <c r="FA193" s="227" t="s">
        <v>566</v>
      </c>
      <c r="FB193" s="161">
        <f t="shared" si="4"/>
        <v>0</v>
      </c>
    </row>
    <row r="194" spans="1:158" ht="17.25" thickBot="1" x14ac:dyDescent="0.3">
      <c r="A194" s="226">
        <v>46121</v>
      </c>
      <c r="B194" s="227" t="s">
        <v>168</v>
      </c>
      <c r="C194" s="227" t="s">
        <v>291</v>
      </c>
      <c r="D194" s="228">
        <v>550</v>
      </c>
      <c r="E194" s="231">
        <v>1082.5</v>
      </c>
      <c r="F194" s="231">
        <v>1073.9000000000001</v>
      </c>
      <c r="G194" s="228">
        <v>8.6</v>
      </c>
      <c r="H194" s="229">
        <v>8.0000000000000002E-3</v>
      </c>
      <c r="I194" s="231">
        <v>1078</v>
      </c>
      <c r="J194" s="231">
        <v>1068.5</v>
      </c>
      <c r="K194" s="228">
        <v>9.5</v>
      </c>
      <c r="L194" s="229">
        <v>8.8999999999999999E-3</v>
      </c>
      <c r="M194" s="231">
        <v>1082.5</v>
      </c>
      <c r="N194" s="231">
        <v>1073.9000000000001</v>
      </c>
      <c r="O194" s="228">
        <v>8.6</v>
      </c>
      <c r="P194" s="229">
        <v>8.0000000000000002E-3</v>
      </c>
      <c r="Q194" s="231">
        <v>1086.4000000000001</v>
      </c>
      <c r="R194" s="231">
        <v>1079.5999999999999</v>
      </c>
      <c r="S194" s="228">
        <v>6.8</v>
      </c>
      <c r="T194" s="229">
        <v>6.3E-3</v>
      </c>
      <c r="U194" s="231">
        <v>1088.2</v>
      </c>
      <c r="V194" s="231">
        <v>1079.0999999999999</v>
      </c>
      <c r="W194" s="228">
        <v>9.1</v>
      </c>
      <c r="X194" s="229">
        <v>8.3999999999999995E-3</v>
      </c>
      <c r="Y194" s="228">
        <v>4.5</v>
      </c>
      <c r="Z194" s="228">
        <v>5.4</v>
      </c>
      <c r="AA194" s="228">
        <v>-0.9</v>
      </c>
      <c r="AB194" s="229">
        <v>4.1999999999999997E-3</v>
      </c>
      <c r="AC194" s="228">
        <v>4.5</v>
      </c>
      <c r="AD194" s="228">
        <v>5.4</v>
      </c>
      <c r="AE194" s="228">
        <v>-0.9</v>
      </c>
      <c r="AF194" s="229">
        <v>4.1999999999999997E-3</v>
      </c>
      <c r="AG194" s="228">
        <v>8.4</v>
      </c>
      <c r="AH194" s="228">
        <v>11.1</v>
      </c>
      <c r="AI194" s="228">
        <v>-2.7</v>
      </c>
      <c r="AJ194" s="229">
        <v>7.7999999999999996E-3</v>
      </c>
      <c r="AK194" s="228">
        <v>10.199999999999999</v>
      </c>
      <c r="AL194" s="228">
        <v>10.6</v>
      </c>
      <c r="AM194" s="228">
        <v>-0.4</v>
      </c>
      <c r="AN194" s="229">
        <v>9.4999999999999998E-3</v>
      </c>
      <c r="AO194" s="231">
        <v>1079.93</v>
      </c>
      <c r="AP194" s="231">
        <v>1080.56</v>
      </c>
      <c r="AQ194" s="228">
        <v>0</v>
      </c>
      <c r="AR194" s="230">
        <v>1725900</v>
      </c>
      <c r="AS194" s="230">
        <v>2536050</v>
      </c>
      <c r="AT194" s="230">
        <v>-810150</v>
      </c>
      <c r="AU194" s="229">
        <v>-0.31950000000000001</v>
      </c>
      <c r="AV194" s="230">
        <v>1571350</v>
      </c>
      <c r="AW194" s="230">
        <v>2443100</v>
      </c>
      <c r="AX194" s="230">
        <v>-871750</v>
      </c>
      <c r="AY194" s="229">
        <v>-0.35680000000000001</v>
      </c>
      <c r="AZ194" s="230">
        <v>144650</v>
      </c>
      <c r="BA194" s="230">
        <v>84700</v>
      </c>
      <c r="BB194" s="230">
        <v>59950</v>
      </c>
      <c r="BC194" s="229">
        <v>0.70779999999999998</v>
      </c>
      <c r="BD194" s="230">
        <v>9900</v>
      </c>
      <c r="BE194" s="230">
        <v>8250</v>
      </c>
      <c r="BF194" s="230">
        <v>1650</v>
      </c>
      <c r="BG194" s="229">
        <v>0.2</v>
      </c>
      <c r="BH194" s="230">
        <v>1978900</v>
      </c>
      <c r="BI194" s="230">
        <v>2161500</v>
      </c>
      <c r="BJ194" s="230">
        <v>-182600</v>
      </c>
      <c r="BK194" s="229">
        <v>-8.4500000000000006E-2</v>
      </c>
      <c r="BL194" s="230">
        <v>737000</v>
      </c>
      <c r="BM194" s="230">
        <v>869000</v>
      </c>
      <c r="BN194" s="230">
        <v>-132000</v>
      </c>
      <c r="BO194" s="229">
        <v>-0.15190000000000001</v>
      </c>
      <c r="BP194" s="230">
        <v>4441800</v>
      </c>
      <c r="BQ194" s="230">
        <v>5566550</v>
      </c>
      <c r="BR194" s="230">
        <v>-1124750</v>
      </c>
      <c r="BS194" s="229">
        <v>-0.2021</v>
      </c>
      <c r="BT194" s="230">
        <v>2212178</v>
      </c>
      <c r="BU194" s="230">
        <v>1983251</v>
      </c>
      <c r="BV194" s="230">
        <v>228927</v>
      </c>
      <c r="BW194" s="229">
        <v>0.1154</v>
      </c>
      <c r="BX194" s="230">
        <v>13725800</v>
      </c>
      <c r="BY194" s="230">
        <v>13405150</v>
      </c>
      <c r="BZ194" s="230">
        <v>320650</v>
      </c>
      <c r="CA194" s="229">
        <v>2.3900000000000001E-2</v>
      </c>
      <c r="CB194" s="230">
        <v>12911250</v>
      </c>
      <c r="CC194" s="230">
        <v>12657150</v>
      </c>
      <c r="CD194" s="230">
        <v>254100</v>
      </c>
      <c r="CE194" s="229">
        <v>2.01E-2</v>
      </c>
      <c r="CF194" s="230">
        <v>749650</v>
      </c>
      <c r="CG194" s="230">
        <v>680900</v>
      </c>
      <c r="CH194" s="230">
        <v>68750</v>
      </c>
      <c r="CI194" s="229">
        <v>0.10100000000000001</v>
      </c>
      <c r="CJ194" s="230">
        <v>64900</v>
      </c>
      <c r="CK194" s="230">
        <v>67100</v>
      </c>
      <c r="CL194" s="230">
        <v>-2200</v>
      </c>
      <c r="CM194" s="229">
        <v>-3.2800000000000003E-2</v>
      </c>
      <c r="CN194" s="230">
        <v>1364550</v>
      </c>
      <c r="CO194" s="230">
        <v>1387650</v>
      </c>
      <c r="CP194" s="230">
        <v>-23100</v>
      </c>
      <c r="CQ194" s="229">
        <v>-1.66E-2</v>
      </c>
      <c r="CR194" s="230">
        <v>2132350</v>
      </c>
      <c r="CS194" s="230">
        <v>2114200</v>
      </c>
      <c r="CT194" s="230">
        <v>18150</v>
      </c>
      <c r="CU194" s="229">
        <v>8.6E-3</v>
      </c>
      <c r="CV194" s="230">
        <v>17222700</v>
      </c>
      <c r="CW194" s="230">
        <v>16907000</v>
      </c>
      <c r="CX194" s="230">
        <v>315700</v>
      </c>
      <c r="CY194" s="229">
        <v>1.8700000000000001E-2</v>
      </c>
      <c r="CZ194" s="228">
        <v>28.69</v>
      </c>
      <c r="DA194" s="228">
        <v>28.68</v>
      </c>
      <c r="DB194" s="228">
        <v>0.01</v>
      </c>
      <c r="DC194" s="228">
        <v>0.01</v>
      </c>
      <c r="DD194" s="228">
        <v>27.57</v>
      </c>
      <c r="DE194" s="228">
        <v>27.62</v>
      </c>
      <c r="DF194" s="228">
        <v>1.1200000000000001</v>
      </c>
      <c r="DG194" s="228">
        <v>-0.05</v>
      </c>
      <c r="DH194" s="228">
        <v>28.41</v>
      </c>
      <c r="DI194" s="228">
        <v>28.14</v>
      </c>
      <c r="DJ194" s="228">
        <v>0.27</v>
      </c>
      <c r="DK194" s="228">
        <v>0.27</v>
      </c>
      <c r="DL194" s="228">
        <v>29.43</v>
      </c>
      <c r="DM194" s="228">
        <v>30</v>
      </c>
      <c r="DN194" s="228">
        <v>-0.56999999999999995</v>
      </c>
      <c r="DO194" s="228">
        <v>-0.56999999999999995</v>
      </c>
      <c r="DP194" s="228">
        <v>1.56</v>
      </c>
      <c r="DQ194" s="228">
        <v>1.52</v>
      </c>
      <c r="DR194" s="228">
        <v>0.04</v>
      </c>
      <c r="DS194" s="229">
        <v>2.63E-2</v>
      </c>
      <c r="DT194" s="231">
        <v>1100</v>
      </c>
      <c r="DU194" s="228">
        <v>930</v>
      </c>
      <c r="DV194" s="228">
        <v>0.37</v>
      </c>
      <c r="DW194" s="228">
        <v>0.4</v>
      </c>
      <c r="DX194" s="228">
        <v>-0.03</v>
      </c>
      <c r="DY194" s="229">
        <v>-7.4999999999999997E-2</v>
      </c>
      <c r="DZ194" s="229">
        <v>5.9299999999999999E-2</v>
      </c>
      <c r="EA194" s="230">
        <v>748000</v>
      </c>
      <c r="EB194" s="229">
        <v>3.5999999999999999E-3</v>
      </c>
      <c r="EC194" s="229">
        <v>5.9299999999999999E-2</v>
      </c>
      <c r="ED194" s="228">
        <v>0.63</v>
      </c>
      <c r="EE194" s="229">
        <v>5.9999999999999995E-4</v>
      </c>
      <c r="EF194" s="230">
        <v>1345165</v>
      </c>
      <c r="EG194" s="230">
        <v>1181363</v>
      </c>
      <c r="EH194" s="229">
        <v>0.13869999999999999</v>
      </c>
      <c r="EI194" s="229">
        <v>0.60809999999999997</v>
      </c>
      <c r="EJ194" s="231">
        <v>22706.95</v>
      </c>
      <c r="EK194" s="231">
        <v>7728.57</v>
      </c>
      <c r="EL194" s="231">
        <v>18639.88</v>
      </c>
      <c r="EM194" s="231">
        <v>3897</v>
      </c>
      <c r="EN194" s="231">
        <v>49075.4</v>
      </c>
      <c r="EO194" s="231">
        <v>60711.77</v>
      </c>
      <c r="EP194" s="231">
        <v>-11636.37</v>
      </c>
      <c r="EQ194" s="229">
        <v>-0.19170000000000001</v>
      </c>
      <c r="ER194" s="231">
        <v>15182</v>
      </c>
      <c r="ES194" s="231">
        <v>21212</v>
      </c>
      <c r="ET194" s="231">
        <v>148615</v>
      </c>
      <c r="EU194" s="231">
        <v>65472757</v>
      </c>
      <c r="EV194" s="231">
        <v>185009</v>
      </c>
      <c r="EW194" s="231">
        <v>180456</v>
      </c>
      <c r="EX194" s="231">
        <v>4553</v>
      </c>
      <c r="EY194" s="229">
        <v>2.52E-2</v>
      </c>
      <c r="EZ194" s="229">
        <v>0.2631</v>
      </c>
      <c r="FA194" s="227" t="s">
        <v>555</v>
      </c>
      <c r="FB194" s="161">
        <f t="shared" si="4"/>
        <v>0</v>
      </c>
    </row>
    <row r="195" spans="1:158" ht="17.25" thickBot="1" x14ac:dyDescent="0.3">
      <c r="A195" s="226">
        <v>46121</v>
      </c>
      <c r="B195" s="227" t="s">
        <v>221</v>
      </c>
      <c r="C195" s="227" t="s">
        <v>603</v>
      </c>
      <c r="D195" s="228">
        <v>100</v>
      </c>
      <c r="E195" s="231">
        <v>4460.2</v>
      </c>
      <c r="F195" s="231">
        <v>4441.7</v>
      </c>
      <c r="G195" s="228">
        <v>18.5</v>
      </c>
      <c r="H195" s="229">
        <v>4.1999999999999997E-3</v>
      </c>
      <c r="I195" s="231">
        <v>4452</v>
      </c>
      <c r="J195" s="231">
        <v>4434.3999999999996</v>
      </c>
      <c r="K195" s="228">
        <v>17.600000000000001</v>
      </c>
      <c r="L195" s="229">
        <v>4.0000000000000001E-3</v>
      </c>
      <c r="M195" s="231">
        <v>4460.2</v>
      </c>
      <c r="N195" s="231">
        <v>4441.7</v>
      </c>
      <c r="O195" s="228">
        <v>18.5</v>
      </c>
      <c r="P195" s="229">
        <v>4.1999999999999997E-3</v>
      </c>
      <c r="Q195" s="231">
        <v>4449.5</v>
      </c>
      <c r="R195" s="231">
        <v>4421</v>
      </c>
      <c r="S195" s="228">
        <v>28.5</v>
      </c>
      <c r="T195" s="229">
        <v>6.4000000000000003E-3</v>
      </c>
      <c r="U195" s="231">
        <v>4389.3999999999996</v>
      </c>
      <c r="V195" s="231">
        <v>4367.8</v>
      </c>
      <c r="W195" s="228">
        <v>21.6</v>
      </c>
      <c r="X195" s="229">
        <v>4.8999999999999998E-3</v>
      </c>
      <c r="Y195" s="228">
        <v>8.1999999999999993</v>
      </c>
      <c r="Z195" s="228">
        <v>7.3</v>
      </c>
      <c r="AA195" s="228">
        <v>0.9</v>
      </c>
      <c r="AB195" s="229">
        <v>1.8E-3</v>
      </c>
      <c r="AC195" s="228">
        <v>8.1999999999999993</v>
      </c>
      <c r="AD195" s="228">
        <v>7.3</v>
      </c>
      <c r="AE195" s="228">
        <v>0.9</v>
      </c>
      <c r="AF195" s="229">
        <v>1.8E-3</v>
      </c>
      <c r="AG195" s="228">
        <v>-2.5</v>
      </c>
      <c r="AH195" s="228">
        <v>-13.4</v>
      </c>
      <c r="AI195" s="228">
        <v>10.9</v>
      </c>
      <c r="AJ195" s="229">
        <v>-5.9999999999999995E-4</v>
      </c>
      <c r="AK195" s="228">
        <v>-62.6</v>
      </c>
      <c r="AL195" s="228">
        <v>-66.599999999999994</v>
      </c>
      <c r="AM195" s="228">
        <v>4</v>
      </c>
      <c r="AN195" s="229">
        <v>-1.41E-2</v>
      </c>
      <c r="AO195" s="231">
        <v>4429.5</v>
      </c>
      <c r="AP195" s="231">
        <v>4410.42</v>
      </c>
      <c r="AQ195" s="228">
        <v>0</v>
      </c>
      <c r="AR195" s="230">
        <v>269500</v>
      </c>
      <c r="AS195" s="230">
        <v>367800</v>
      </c>
      <c r="AT195" s="230">
        <v>-98300</v>
      </c>
      <c r="AU195" s="229">
        <v>-0.26729999999999998</v>
      </c>
      <c r="AV195" s="230">
        <v>226400</v>
      </c>
      <c r="AW195" s="230">
        <v>316300</v>
      </c>
      <c r="AX195" s="230">
        <v>-89900</v>
      </c>
      <c r="AY195" s="229">
        <v>-0.28420000000000001</v>
      </c>
      <c r="AZ195" s="230">
        <v>38400</v>
      </c>
      <c r="BA195" s="230">
        <v>48100</v>
      </c>
      <c r="BB195" s="230">
        <v>-9700</v>
      </c>
      <c r="BC195" s="229">
        <v>-0.20169999999999999</v>
      </c>
      <c r="BD195" s="230">
        <v>4700</v>
      </c>
      <c r="BE195" s="230">
        <v>3400</v>
      </c>
      <c r="BF195" s="230">
        <v>1300</v>
      </c>
      <c r="BG195" s="229">
        <v>0.38240000000000002</v>
      </c>
      <c r="BH195" s="230">
        <v>797000</v>
      </c>
      <c r="BI195" s="230">
        <v>1079800</v>
      </c>
      <c r="BJ195" s="230">
        <v>-282800</v>
      </c>
      <c r="BK195" s="229">
        <v>-0.26190000000000002</v>
      </c>
      <c r="BL195" s="230">
        <v>468000</v>
      </c>
      <c r="BM195" s="230">
        <v>516800</v>
      </c>
      <c r="BN195" s="230">
        <v>-48800</v>
      </c>
      <c r="BO195" s="229">
        <v>-9.4399999999999998E-2</v>
      </c>
      <c r="BP195" s="230">
        <v>1534500</v>
      </c>
      <c r="BQ195" s="230">
        <v>1964400</v>
      </c>
      <c r="BR195" s="230">
        <v>-429900</v>
      </c>
      <c r="BS195" s="229">
        <v>-0.21879999999999999</v>
      </c>
      <c r="BT195" s="230">
        <v>205316</v>
      </c>
      <c r="BU195" s="230">
        <v>219844</v>
      </c>
      <c r="BV195" s="230">
        <v>-14528</v>
      </c>
      <c r="BW195" s="229">
        <v>-6.6100000000000006E-2</v>
      </c>
      <c r="BX195" s="230">
        <v>1691800</v>
      </c>
      <c r="BY195" s="230">
        <v>1694300</v>
      </c>
      <c r="BZ195" s="230">
        <v>-2500</v>
      </c>
      <c r="CA195" s="229">
        <v>-1.5E-3</v>
      </c>
      <c r="CB195" s="230">
        <v>1568500</v>
      </c>
      <c r="CC195" s="230">
        <v>1590600</v>
      </c>
      <c r="CD195" s="230">
        <v>-22100</v>
      </c>
      <c r="CE195" s="229">
        <v>-1.3899999999999999E-2</v>
      </c>
      <c r="CF195" s="230">
        <v>105600</v>
      </c>
      <c r="CG195" s="230">
        <v>86900</v>
      </c>
      <c r="CH195" s="230">
        <v>18700</v>
      </c>
      <c r="CI195" s="229">
        <v>0.2152</v>
      </c>
      <c r="CJ195" s="230">
        <v>17700</v>
      </c>
      <c r="CK195" s="230">
        <v>16800</v>
      </c>
      <c r="CL195" s="228">
        <v>900</v>
      </c>
      <c r="CM195" s="229">
        <v>5.3600000000000002E-2</v>
      </c>
      <c r="CN195" s="230">
        <v>591000</v>
      </c>
      <c r="CO195" s="230">
        <v>557000</v>
      </c>
      <c r="CP195" s="230">
        <v>34000</v>
      </c>
      <c r="CQ195" s="229">
        <v>6.0999999999999999E-2</v>
      </c>
      <c r="CR195" s="230">
        <v>435600</v>
      </c>
      <c r="CS195" s="230">
        <v>368100</v>
      </c>
      <c r="CT195" s="230">
        <v>67500</v>
      </c>
      <c r="CU195" s="229">
        <v>0.18340000000000001</v>
      </c>
      <c r="CV195" s="230">
        <v>2718400</v>
      </c>
      <c r="CW195" s="230">
        <v>2619400</v>
      </c>
      <c r="CX195" s="230">
        <v>99000</v>
      </c>
      <c r="CY195" s="229">
        <v>3.78E-2</v>
      </c>
      <c r="CZ195" s="228">
        <v>43.25</v>
      </c>
      <c r="DA195" s="228">
        <v>44.86</v>
      </c>
      <c r="DB195" s="228">
        <v>-1.61</v>
      </c>
      <c r="DC195" s="228">
        <v>-1.61</v>
      </c>
      <c r="DD195" s="228">
        <v>39.01</v>
      </c>
      <c r="DE195" s="228">
        <v>39.11</v>
      </c>
      <c r="DF195" s="228">
        <v>4.24</v>
      </c>
      <c r="DG195" s="228">
        <v>-0.1</v>
      </c>
      <c r="DH195" s="228">
        <v>41.97</v>
      </c>
      <c r="DI195" s="228">
        <v>42.11</v>
      </c>
      <c r="DJ195" s="228">
        <v>-0.14000000000000001</v>
      </c>
      <c r="DK195" s="228">
        <v>-0.14000000000000001</v>
      </c>
      <c r="DL195" s="228">
        <v>45.43</v>
      </c>
      <c r="DM195" s="228">
        <v>50.6</v>
      </c>
      <c r="DN195" s="228">
        <v>-5.17</v>
      </c>
      <c r="DO195" s="228">
        <v>-5.17</v>
      </c>
      <c r="DP195" s="228">
        <v>0.74</v>
      </c>
      <c r="DQ195" s="228">
        <v>0.66</v>
      </c>
      <c r="DR195" s="228">
        <v>0.08</v>
      </c>
      <c r="DS195" s="229">
        <v>0.1212</v>
      </c>
      <c r="DT195" s="231">
        <v>5000</v>
      </c>
      <c r="DU195" s="231">
        <v>4000</v>
      </c>
      <c r="DV195" s="228">
        <v>0.59</v>
      </c>
      <c r="DW195" s="228">
        <v>0.48</v>
      </c>
      <c r="DX195" s="228">
        <v>0.11</v>
      </c>
      <c r="DY195" s="229">
        <v>0.22919999999999999</v>
      </c>
      <c r="DZ195" s="229">
        <v>7.2900000000000006E-2</v>
      </c>
      <c r="EA195" s="230">
        <v>103700</v>
      </c>
      <c r="EB195" s="229">
        <v>-2.3999999999999998E-3</v>
      </c>
      <c r="EC195" s="229">
        <v>7.2900000000000006E-2</v>
      </c>
      <c r="ED195" s="228">
        <v>-19.079999999999998</v>
      </c>
      <c r="EE195" s="229">
        <v>-4.3E-3</v>
      </c>
      <c r="EF195" s="230">
        <v>49232</v>
      </c>
      <c r="EG195" s="230">
        <v>64698</v>
      </c>
      <c r="EH195" s="229">
        <v>-0.23899999999999999</v>
      </c>
      <c r="EI195" s="229">
        <v>0.23980000000000001</v>
      </c>
      <c r="EJ195" s="231">
        <v>37755.61</v>
      </c>
      <c r="EK195" s="231">
        <v>20177.96</v>
      </c>
      <c r="EL195" s="231">
        <v>11926.66</v>
      </c>
      <c r="EM195" s="231">
        <v>3333</v>
      </c>
      <c r="EN195" s="231">
        <v>69860.23</v>
      </c>
      <c r="EO195" s="231">
        <v>89394.03</v>
      </c>
      <c r="EP195" s="231">
        <v>-19533.8</v>
      </c>
      <c r="EQ195" s="229">
        <v>-0.2185</v>
      </c>
      <c r="ER195" s="231">
        <v>27352</v>
      </c>
      <c r="ES195" s="231">
        <v>18474</v>
      </c>
      <c r="ET195" s="231">
        <v>75434</v>
      </c>
      <c r="EU195" s="231">
        <v>5241946</v>
      </c>
      <c r="EV195" s="231">
        <v>121259</v>
      </c>
      <c r="EW195" s="231">
        <v>116467</v>
      </c>
      <c r="EX195" s="231">
        <v>4792</v>
      </c>
      <c r="EY195" s="229">
        <v>4.1099999999999998E-2</v>
      </c>
      <c r="EZ195" s="229">
        <v>0.51859999999999995</v>
      </c>
      <c r="FA195" s="227" t="s">
        <v>694</v>
      </c>
      <c r="FB195" s="161">
        <f t="shared" ref="FB195:FB258" si="5">BX266-CB266</f>
        <v>0</v>
      </c>
    </row>
    <row r="196" spans="1:158" ht="17.25" thickBot="1" x14ac:dyDescent="0.3">
      <c r="A196" s="226">
        <v>46121</v>
      </c>
      <c r="B196" s="227" t="s">
        <v>161</v>
      </c>
      <c r="C196" s="227" t="s">
        <v>293</v>
      </c>
      <c r="D196" s="228">
        <v>1450</v>
      </c>
      <c r="E196" s="228">
        <v>396.85</v>
      </c>
      <c r="F196" s="228">
        <v>397.05</v>
      </c>
      <c r="G196" s="228">
        <v>-0.2</v>
      </c>
      <c r="H196" s="229">
        <v>-5.0000000000000001E-4</v>
      </c>
      <c r="I196" s="228">
        <v>394.7</v>
      </c>
      <c r="J196" s="228">
        <v>394.95</v>
      </c>
      <c r="K196" s="228">
        <v>-0.25</v>
      </c>
      <c r="L196" s="229">
        <v>-5.9999999999999995E-4</v>
      </c>
      <c r="M196" s="228">
        <v>396.85</v>
      </c>
      <c r="N196" s="228">
        <v>397.05</v>
      </c>
      <c r="O196" s="228">
        <v>-0.2</v>
      </c>
      <c r="P196" s="229">
        <v>-5.0000000000000001E-4</v>
      </c>
      <c r="Q196" s="228">
        <v>399.05</v>
      </c>
      <c r="R196" s="228">
        <v>399.2</v>
      </c>
      <c r="S196" s="228">
        <v>-0.15</v>
      </c>
      <c r="T196" s="229">
        <v>-4.0000000000000002E-4</v>
      </c>
      <c r="U196" s="228">
        <v>399.1</v>
      </c>
      <c r="V196" s="228">
        <v>400.05</v>
      </c>
      <c r="W196" s="228">
        <v>-0.95</v>
      </c>
      <c r="X196" s="229">
        <v>-2.3999999999999998E-3</v>
      </c>
      <c r="Y196" s="228">
        <v>2.15</v>
      </c>
      <c r="Z196" s="228">
        <v>2.1</v>
      </c>
      <c r="AA196" s="228">
        <v>0.05</v>
      </c>
      <c r="AB196" s="229">
        <v>5.4000000000000003E-3</v>
      </c>
      <c r="AC196" s="228">
        <v>2.15</v>
      </c>
      <c r="AD196" s="228">
        <v>2.1</v>
      </c>
      <c r="AE196" s="228">
        <v>0.05</v>
      </c>
      <c r="AF196" s="229">
        <v>5.4000000000000003E-3</v>
      </c>
      <c r="AG196" s="228">
        <v>4.3499999999999996</v>
      </c>
      <c r="AH196" s="228">
        <v>4.25</v>
      </c>
      <c r="AI196" s="228">
        <v>0.1</v>
      </c>
      <c r="AJ196" s="229">
        <v>1.0999999999999999E-2</v>
      </c>
      <c r="AK196" s="228">
        <v>4.4000000000000004</v>
      </c>
      <c r="AL196" s="228">
        <v>5.0999999999999996</v>
      </c>
      <c r="AM196" s="228">
        <v>-0.7</v>
      </c>
      <c r="AN196" s="229">
        <v>1.11E-2</v>
      </c>
      <c r="AO196" s="228">
        <v>396.76</v>
      </c>
      <c r="AP196" s="228">
        <v>398.95</v>
      </c>
      <c r="AQ196" s="228">
        <v>0</v>
      </c>
      <c r="AR196" s="230">
        <v>7496500</v>
      </c>
      <c r="AS196" s="230">
        <v>9581600</v>
      </c>
      <c r="AT196" s="230">
        <v>-2085100</v>
      </c>
      <c r="AU196" s="229">
        <v>-0.21759999999999999</v>
      </c>
      <c r="AV196" s="230">
        <v>6219050</v>
      </c>
      <c r="AW196" s="230">
        <v>8408550</v>
      </c>
      <c r="AX196" s="230">
        <v>-2189500</v>
      </c>
      <c r="AY196" s="229">
        <v>-0.26040000000000002</v>
      </c>
      <c r="AZ196" s="230">
        <v>1183200</v>
      </c>
      <c r="BA196" s="230">
        <v>1042550</v>
      </c>
      <c r="BB196" s="230">
        <v>140650</v>
      </c>
      <c r="BC196" s="229">
        <v>0.13489999999999999</v>
      </c>
      <c r="BD196" s="230">
        <v>94250</v>
      </c>
      <c r="BE196" s="230">
        <v>130500</v>
      </c>
      <c r="BF196" s="230">
        <v>-36250</v>
      </c>
      <c r="BG196" s="229">
        <v>-0.27779999999999999</v>
      </c>
      <c r="BH196" s="230">
        <v>21681850</v>
      </c>
      <c r="BI196" s="230">
        <v>39919950</v>
      </c>
      <c r="BJ196" s="230">
        <v>-18238100</v>
      </c>
      <c r="BK196" s="229">
        <v>-0.45689999999999997</v>
      </c>
      <c r="BL196" s="230">
        <v>8073600</v>
      </c>
      <c r="BM196" s="230">
        <v>13699600</v>
      </c>
      <c r="BN196" s="230">
        <v>-5626000</v>
      </c>
      <c r="BO196" s="229">
        <v>-0.41070000000000001</v>
      </c>
      <c r="BP196" s="230">
        <v>37251950</v>
      </c>
      <c r="BQ196" s="230">
        <v>63201150</v>
      </c>
      <c r="BR196" s="230">
        <v>-25949200</v>
      </c>
      <c r="BS196" s="229">
        <v>-0.41060000000000002</v>
      </c>
      <c r="BT196" s="230">
        <v>8856022</v>
      </c>
      <c r="BU196" s="230">
        <v>7622792</v>
      </c>
      <c r="BV196" s="230">
        <v>1233230</v>
      </c>
      <c r="BW196" s="229">
        <v>0.1618</v>
      </c>
      <c r="BX196" s="230">
        <v>55985950</v>
      </c>
      <c r="BY196" s="230">
        <v>53861700</v>
      </c>
      <c r="BZ196" s="230">
        <v>2124250</v>
      </c>
      <c r="CA196" s="229">
        <v>3.9399999999999998E-2</v>
      </c>
      <c r="CB196" s="230">
        <v>53164250</v>
      </c>
      <c r="CC196" s="230">
        <v>51809950</v>
      </c>
      <c r="CD196" s="230">
        <v>1354300</v>
      </c>
      <c r="CE196" s="229">
        <v>2.6100000000000002E-2</v>
      </c>
      <c r="CF196" s="230">
        <v>2604200</v>
      </c>
      <c r="CG196" s="230">
        <v>1879200</v>
      </c>
      <c r="CH196" s="230">
        <v>725000</v>
      </c>
      <c r="CI196" s="229">
        <v>0.38579999999999998</v>
      </c>
      <c r="CJ196" s="230">
        <v>217500</v>
      </c>
      <c r="CK196" s="230">
        <v>172550</v>
      </c>
      <c r="CL196" s="230">
        <v>44950</v>
      </c>
      <c r="CM196" s="229">
        <v>0.26050000000000001</v>
      </c>
      <c r="CN196" s="230">
        <v>30007750</v>
      </c>
      <c r="CO196" s="230">
        <v>28763650</v>
      </c>
      <c r="CP196" s="230">
        <v>1244100</v>
      </c>
      <c r="CQ196" s="229">
        <v>4.3299999999999998E-2</v>
      </c>
      <c r="CR196" s="230">
        <v>20920600</v>
      </c>
      <c r="CS196" s="230">
        <v>19808450</v>
      </c>
      <c r="CT196" s="230">
        <v>1112150</v>
      </c>
      <c r="CU196" s="229">
        <v>5.6099999999999997E-2</v>
      </c>
      <c r="CV196" s="230">
        <v>106914300</v>
      </c>
      <c r="CW196" s="230">
        <v>102433800</v>
      </c>
      <c r="CX196" s="230">
        <v>4480500</v>
      </c>
      <c r="CY196" s="229">
        <v>4.3700000000000003E-2</v>
      </c>
      <c r="CZ196" s="228">
        <v>29.08</v>
      </c>
      <c r="DA196" s="228">
        <v>28.37</v>
      </c>
      <c r="DB196" s="228">
        <v>0.71</v>
      </c>
      <c r="DC196" s="228">
        <v>0.71</v>
      </c>
      <c r="DD196" s="228">
        <v>31.5</v>
      </c>
      <c r="DE196" s="228">
        <v>31.58</v>
      </c>
      <c r="DF196" s="228">
        <v>-2.42</v>
      </c>
      <c r="DG196" s="228">
        <v>-0.08</v>
      </c>
      <c r="DH196" s="228">
        <v>28.71</v>
      </c>
      <c r="DI196" s="228">
        <v>27.84</v>
      </c>
      <c r="DJ196" s="228">
        <v>0.87</v>
      </c>
      <c r="DK196" s="228">
        <v>0.87</v>
      </c>
      <c r="DL196" s="228">
        <v>30.08</v>
      </c>
      <c r="DM196" s="228">
        <v>29.91</v>
      </c>
      <c r="DN196" s="228">
        <v>0.17</v>
      </c>
      <c r="DO196" s="228">
        <v>0.17</v>
      </c>
      <c r="DP196" s="228">
        <v>0.7</v>
      </c>
      <c r="DQ196" s="228">
        <v>0.69</v>
      </c>
      <c r="DR196" s="228">
        <v>0.01</v>
      </c>
      <c r="DS196" s="229">
        <v>1.4500000000000001E-2</v>
      </c>
      <c r="DT196" s="228">
        <v>400</v>
      </c>
      <c r="DU196" s="228">
        <v>400</v>
      </c>
      <c r="DV196" s="228">
        <v>0.37</v>
      </c>
      <c r="DW196" s="228">
        <v>0.34</v>
      </c>
      <c r="DX196" s="228">
        <v>0.03</v>
      </c>
      <c r="DY196" s="229">
        <v>8.8200000000000001E-2</v>
      </c>
      <c r="DZ196" s="229">
        <v>5.04E-2</v>
      </c>
      <c r="EA196" s="230">
        <v>2051750</v>
      </c>
      <c r="EB196" s="229">
        <v>5.4999999999999997E-3</v>
      </c>
      <c r="EC196" s="229">
        <v>5.04E-2</v>
      </c>
      <c r="ED196" s="228">
        <v>2.19</v>
      </c>
      <c r="EE196" s="229">
        <v>5.4999999999999997E-3</v>
      </c>
      <c r="EF196" s="230">
        <v>4551986</v>
      </c>
      <c r="EG196" s="230">
        <v>3342912</v>
      </c>
      <c r="EH196" s="229">
        <v>0.36170000000000002</v>
      </c>
      <c r="EI196" s="229">
        <v>0.51400000000000001</v>
      </c>
      <c r="EJ196" s="231">
        <v>89824.43</v>
      </c>
      <c r="EK196" s="231">
        <v>31849.45</v>
      </c>
      <c r="EL196" s="231">
        <v>29771.74</v>
      </c>
      <c r="EM196" s="231">
        <v>5343</v>
      </c>
      <c r="EN196" s="231">
        <v>151445.62</v>
      </c>
      <c r="EO196" s="231">
        <v>256942.63</v>
      </c>
      <c r="EP196" s="231">
        <v>-105497.01</v>
      </c>
      <c r="EQ196" s="229">
        <v>-0.41060000000000002</v>
      </c>
      <c r="ER196" s="231">
        <v>122955</v>
      </c>
      <c r="ES196" s="231">
        <v>81021</v>
      </c>
      <c r="ET196" s="231">
        <v>222242</v>
      </c>
      <c r="EU196" s="231">
        <v>169808198</v>
      </c>
      <c r="EV196" s="231">
        <v>426218</v>
      </c>
      <c r="EW196" s="231">
        <v>408538</v>
      </c>
      <c r="EX196" s="231">
        <v>17680</v>
      </c>
      <c r="EY196" s="229">
        <v>4.3299999999999998E-2</v>
      </c>
      <c r="EZ196" s="229">
        <v>0.62960000000000005</v>
      </c>
      <c r="FA196" s="227" t="s">
        <v>566</v>
      </c>
      <c r="FB196" s="161">
        <f t="shared" si="5"/>
        <v>0</v>
      </c>
    </row>
    <row r="197" spans="1:158" ht="17.25" thickBot="1" x14ac:dyDescent="0.3">
      <c r="A197" s="226">
        <v>46121</v>
      </c>
      <c r="B197" s="227" t="s">
        <v>227</v>
      </c>
      <c r="C197" s="227" t="s">
        <v>294</v>
      </c>
      <c r="D197" s="228">
        <v>5500</v>
      </c>
      <c r="E197" s="228">
        <v>206.19</v>
      </c>
      <c r="F197" s="228">
        <v>205.23</v>
      </c>
      <c r="G197" s="228">
        <v>0.96</v>
      </c>
      <c r="H197" s="229">
        <v>4.7000000000000002E-3</v>
      </c>
      <c r="I197" s="228">
        <v>205.2</v>
      </c>
      <c r="J197" s="228">
        <v>204.18</v>
      </c>
      <c r="K197" s="228">
        <v>1.02</v>
      </c>
      <c r="L197" s="229">
        <v>5.0000000000000001E-3</v>
      </c>
      <c r="M197" s="228">
        <v>206.19</v>
      </c>
      <c r="N197" s="228">
        <v>205.23</v>
      </c>
      <c r="O197" s="228">
        <v>0.96</v>
      </c>
      <c r="P197" s="229">
        <v>4.7000000000000002E-3</v>
      </c>
      <c r="Q197" s="228">
        <v>207.26</v>
      </c>
      <c r="R197" s="228">
        <v>206.35</v>
      </c>
      <c r="S197" s="228">
        <v>0.91</v>
      </c>
      <c r="T197" s="229">
        <v>4.4000000000000003E-3</v>
      </c>
      <c r="U197" s="228">
        <v>205.39</v>
      </c>
      <c r="V197" s="228">
        <v>204.26</v>
      </c>
      <c r="W197" s="228">
        <v>1.1299999999999999</v>
      </c>
      <c r="X197" s="229">
        <v>5.4999999999999997E-3</v>
      </c>
      <c r="Y197" s="228">
        <v>0.99</v>
      </c>
      <c r="Z197" s="228">
        <v>1.05</v>
      </c>
      <c r="AA197" s="228">
        <v>-0.06</v>
      </c>
      <c r="AB197" s="229">
        <v>4.7999999999999996E-3</v>
      </c>
      <c r="AC197" s="228">
        <v>0.99</v>
      </c>
      <c r="AD197" s="228">
        <v>1.05</v>
      </c>
      <c r="AE197" s="228">
        <v>-0.06</v>
      </c>
      <c r="AF197" s="229">
        <v>4.7999999999999996E-3</v>
      </c>
      <c r="AG197" s="228">
        <v>2.06</v>
      </c>
      <c r="AH197" s="228">
        <v>2.17</v>
      </c>
      <c r="AI197" s="228">
        <v>-0.11</v>
      </c>
      <c r="AJ197" s="229">
        <v>0.01</v>
      </c>
      <c r="AK197" s="228">
        <v>0.19</v>
      </c>
      <c r="AL197" s="228">
        <v>0.08</v>
      </c>
      <c r="AM197" s="228">
        <v>0.11</v>
      </c>
      <c r="AN197" s="229">
        <v>8.9999999999999998E-4</v>
      </c>
      <c r="AO197" s="228">
        <v>206.91</v>
      </c>
      <c r="AP197" s="228">
        <v>208.06</v>
      </c>
      <c r="AQ197" s="228">
        <v>0</v>
      </c>
      <c r="AR197" s="230">
        <v>40623000</v>
      </c>
      <c r="AS197" s="230">
        <v>48246000</v>
      </c>
      <c r="AT197" s="230">
        <v>-7623000</v>
      </c>
      <c r="AU197" s="229">
        <v>-0.158</v>
      </c>
      <c r="AV197" s="230">
        <v>32824000</v>
      </c>
      <c r="AW197" s="230">
        <v>40925500</v>
      </c>
      <c r="AX197" s="230">
        <v>-8101500</v>
      </c>
      <c r="AY197" s="229">
        <v>-0.19800000000000001</v>
      </c>
      <c r="AZ197" s="230">
        <v>5599000</v>
      </c>
      <c r="BA197" s="230">
        <v>5274500</v>
      </c>
      <c r="BB197" s="230">
        <v>324500</v>
      </c>
      <c r="BC197" s="229">
        <v>6.1499999999999999E-2</v>
      </c>
      <c r="BD197" s="230">
        <v>2200000</v>
      </c>
      <c r="BE197" s="230">
        <v>2046000</v>
      </c>
      <c r="BF197" s="230">
        <v>154000</v>
      </c>
      <c r="BG197" s="229">
        <v>7.5300000000000006E-2</v>
      </c>
      <c r="BH197" s="230">
        <v>119091500</v>
      </c>
      <c r="BI197" s="230">
        <v>133023000</v>
      </c>
      <c r="BJ197" s="230">
        <v>-13931500</v>
      </c>
      <c r="BK197" s="229">
        <v>-0.1047</v>
      </c>
      <c r="BL197" s="230">
        <v>81317500</v>
      </c>
      <c r="BM197" s="230">
        <v>100831500</v>
      </c>
      <c r="BN197" s="230">
        <v>-19514000</v>
      </c>
      <c r="BO197" s="229">
        <v>-0.19350000000000001</v>
      </c>
      <c r="BP197" s="230">
        <v>241032000</v>
      </c>
      <c r="BQ197" s="230">
        <v>282100500</v>
      </c>
      <c r="BR197" s="230">
        <v>-41068500</v>
      </c>
      <c r="BS197" s="229">
        <v>-0.14560000000000001</v>
      </c>
      <c r="BT197" s="230">
        <v>39998630</v>
      </c>
      <c r="BU197" s="230">
        <v>38489411</v>
      </c>
      <c r="BV197" s="230">
        <v>1509219</v>
      </c>
      <c r="BW197" s="229">
        <v>3.9199999999999999E-2</v>
      </c>
      <c r="BX197" s="230">
        <v>190619000</v>
      </c>
      <c r="BY197" s="230">
        <v>183199500</v>
      </c>
      <c r="BZ197" s="230">
        <v>7419500</v>
      </c>
      <c r="CA197" s="229">
        <v>4.0500000000000001E-2</v>
      </c>
      <c r="CB197" s="230">
        <v>169746500</v>
      </c>
      <c r="CC197" s="230">
        <v>165737000</v>
      </c>
      <c r="CD197" s="230">
        <v>4009500</v>
      </c>
      <c r="CE197" s="229">
        <v>2.4199999999999999E-2</v>
      </c>
      <c r="CF197" s="230">
        <v>15922500</v>
      </c>
      <c r="CG197" s="230">
        <v>13722500</v>
      </c>
      <c r="CH197" s="230">
        <v>2200000</v>
      </c>
      <c r="CI197" s="229">
        <v>0.1603</v>
      </c>
      <c r="CJ197" s="230">
        <v>4950000</v>
      </c>
      <c r="CK197" s="230">
        <v>3740000</v>
      </c>
      <c r="CL197" s="230">
        <v>1210000</v>
      </c>
      <c r="CM197" s="229">
        <v>0.32350000000000001</v>
      </c>
      <c r="CN197" s="230">
        <v>105798000</v>
      </c>
      <c r="CO197" s="230">
        <v>101491500</v>
      </c>
      <c r="CP197" s="230">
        <v>4306500</v>
      </c>
      <c r="CQ197" s="229">
        <v>4.24E-2</v>
      </c>
      <c r="CR197" s="230">
        <v>82318500</v>
      </c>
      <c r="CS197" s="230">
        <v>75922000</v>
      </c>
      <c r="CT197" s="230">
        <v>6396500</v>
      </c>
      <c r="CU197" s="229">
        <v>8.43E-2</v>
      </c>
      <c r="CV197" s="230">
        <v>378735500</v>
      </c>
      <c r="CW197" s="230">
        <v>360613000</v>
      </c>
      <c r="CX197" s="230">
        <v>18122500</v>
      </c>
      <c r="CY197" s="229">
        <v>5.0299999999999997E-2</v>
      </c>
      <c r="CZ197" s="228">
        <v>31.07</v>
      </c>
      <c r="DA197" s="228">
        <v>31.26</v>
      </c>
      <c r="DB197" s="228">
        <v>-0.19</v>
      </c>
      <c r="DC197" s="228">
        <v>-0.19</v>
      </c>
      <c r="DD197" s="228">
        <v>36.53</v>
      </c>
      <c r="DE197" s="228">
        <v>36.619999999999997</v>
      </c>
      <c r="DF197" s="228">
        <v>-5.46</v>
      </c>
      <c r="DG197" s="228">
        <v>-0.09</v>
      </c>
      <c r="DH197" s="228">
        <v>30.15</v>
      </c>
      <c r="DI197" s="228">
        <v>29.71</v>
      </c>
      <c r="DJ197" s="228">
        <v>0.44</v>
      </c>
      <c r="DK197" s="228">
        <v>0.44</v>
      </c>
      <c r="DL197" s="228">
        <v>32.409999999999997</v>
      </c>
      <c r="DM197" s="228">
        <v>33.29</v>
      </c>
      <c r="DN197" s="228">
        <v>-0.88</v>
      </c>
      <c r="DO197" s="228">
        <v>-0.88</v>
      </c>
      <c r="DP197" s="228">
        <v>0.78</v>
      </c>
      <c r="DQ197" s="228">
        <v>0.75</v>
      </c>
      <c r="DR197" s="228">
        <v>0.03</v>
      </c>
      <c r="DS197" s="229">
        <v>0.04</v>
      </c>
      <c r="DT197" s="228">
        <v>195</v>
      </c>
      <c r="DU197" s="228">
        <v>200</v>
      </c>
      <c r="DV197" s="228">
        <v>0.68</v>
      </c>
      <c r="DW197" s="228">
        <v>0.76</v>
      </c>
      <c r="DX197" s="228">
        <v>-0.08</v>
      </c>
      <c r="DY197" s="229">
        <v>-0.1053</v>
      </c>
      <c r="DZ197" s="229">
        <v>0.1095</v>
      </c>
      <c r="EA197" s="230">
        <v>17462500</v>
      </c>
      <c r="EB197" s="229">
        <v>5.1999999999999998E-3</v>
      </c>
      <c r="EC197" s="229">
        <v>0.1095</v>
      </c>
      <c r="ED197" s="228">
        <v>1.1499999999999999</v>
      </c>
      <c r="EE197" s="229">
        <v>5.5999999999999999E-3</v>
      </c>
      <c r="EF197" s="230">
        <v>16861598</v>
      </c>
      <c r="EG197" s="230">
        <v>19100999</v>
      </c>
      <c r="EH197" s="229">
        <v>-0.1172</v>
      </c>
      <c r="EI197" s="229">
        <v>0.42159999999999997</v>
      </c>
      <c r="EJ197" s="231">
        <v>257191.29</v>
      </c>
      <c r="EK197" s="231">
        <v>163060.35999999999</v>
      </c>
      <c r="EL197" s="231">
        <v>84094.26</v>
      </c>
      <c r="EM197" s="231">
        <v>7228</v>
      </c>
      <c r="EN197" s="231">
        <v>504345.91</v>
      </c>
      <c r="EO197" s="231">
        <v>580532.30000000005</v>
      </c>
      <c r="EP197" s="231">
        <v>-76186.39</v>
      </c>
      <c r="EQ197" s="229">
        <v>-0.13120000000000001</v>
      </c>
      <c r="ER197" s="231">
        <v>216994</v>
      </c>
      <c r="ES197" s="231">
        <v>157048</v>
      </c>
      <c r="ET197" s="231">
        <v>393168</v>
      </c>
      <c r="EU197" s="231">
        <v>1049350971</v>
      </c>
      <c r="EV197" s="231">
        <v>767211</v>
      </c>
      <c r="EW197" s="231">
        <v>727784</v>
      </c>
      <c r="EX197" s="231">
        <v>39427</v>
      </c>
      <c r="EY197" s="229">
        <v>5.4199999999999998E-2</v>
      </c>
      <c r="EZ197" s="229">
        <v>0.3609</v>
      </c>
      <c r="FA197" s="227" t="s">
        <v>555</v>
      </c>
      <c r="FB197" s="161">
        <f t="shared" si="5"/>
        <v>0</v>
      </c>
    </row>
    <row r="198" spans="1:158" ht="17.25" thickBot="1" x14ac:dyDescent="0.3">
      <c r="A198" s="226">
        <v>46121</v>
      </c>
      <c r="B198" s="227" t="s">
        <v>221</v>
      </c>
      <c r="C198" s="227" t="s">
        <v>662</v>
      </c>
      <c r="D198" s="228">
        <v>800</v>
      </c>
      <c r="E198" s="228">
        <v>562.65</v>
      </c>
      <c r="F198" s="228">
        <v>563</v>
      </c>
      <c r="G198" s="228">
        <v>-0.35</v>
      </c>
      <c r="H198" s="229">
        <v>-5.9999999999999995E-4</v>
      </c>
      <c r="I198" s="228">
        <v>558.9</v>
      </c>
      <c r="J198" s="228">
        <v>561.35</v>
      </c>
      <c r="K198" s="228">
        <v>-2.4500000000000002</v>
      </c>
      <c r="L198" s="229">
        <v>-4.4000000000000003E-3</v>
      </c>
      <c r="M198" s="228">
        <v>562.65</v>
      </c>
      <c r="N198" s="228">
        <v>563</v>
      </c>
      <c r="O198" s="228">
        <v>-0.35</v>
      </c>
      <c r="P198" s="229">
        <v>-5.9999999999999995E-4</v>
      </c>
      <c r="Q198" s="228">
        <v>0</v>
      </c>
      <c r="R198" s="228">
        <v>0</v>
      </c>
      <c r="S198" s="228">
        <v>0</v>
      </c>
      <c r="T198" s="229">
        <v>0</v>
      </c>
      <c r="U198" s="228">
        <v>0</v>
      </c>
      <c r="V198" s="228">
        <v>0</v>
      </c>
      <c r="W198" s="228">
        <v>0</v>
      </c>
      <c r="X198" s="229">
        <v>0</v>
      </c>
      <c r="Y198" s="228">
        <v>3.75</v>
      </c>
      <c r="Z198" s="228">
        <v>1.65</v>
      </c>
      <c r="AA198" s="228">
        <v>2.1</v>
      </c>
      <c r="AB198" s="229">
        <v>6.7000000000000002E-3</v>
      </c>
      <c r="AC198" s="228">
        <v>3.75</v>
      </c>
      <c r="AD198" s="228">
        <v>1.65</v>
      </c>
      <c r="AE198" s="228">
        <v>2.1</v>
      </c>
      <c r="AF198" s="229">
        <v>6.7000000000000002E-3</v>
      </c>
      <c r="AG198" s="228">
        <v>0</v>
      </c>
      <c r="AH198" s="228">
        <v>0</v>
      </c>
      <c r="AI198" s="228">
        <v>0</v>
      </c>
      <c r="AJ198" s="229">
        <v>0</v>
      </c>
      <c r="AK198" s="228">
        <v>0</v>
      </c>
      <c r="AL198" s="228">
        <v>0</v>
      </c>
      <c r="AM198" s="228">
        <v>0</v>
      </c>
      <c r="AN198" s="229">
        <v>0</v>
      </c>
      <c r="AO198" s="228">
        <v>561.14</v>
      </c>
      <c r="AP198" s="228">
        <v>0</v>
      </c>
      <c r="AQ198" s="228">
        <v>0</v>
      </c>
      <c r="AR198" s="230">
        <v>712000</v>
      </c>
      <c r="AS198" s="230">
        <v>1096000</v>
      </c>
      <c r="AT198" s="230">
        <v>-384000</v>
      </c>
      <c r="AU198" s="229">
        <v>-0.35039999999999999</v>
      </c>
      <c r="AV198" s="230">
        <v>712000</v>
      </c>
      <c r="AW198" s="230">
        <v>1096000</v>
      </c>
      <c r="AX198" s="230">
        <v>-384000</v>
      </c>
      <c r="AY198" s="229">
        <v>-0.35039999999999999</v>
      </c>
      <c r="AZ198" s="228">
        <v>0</v>
      </c>
      <c r="BA198" s="228">
        <v>0</v>
      </c>
      <c r="BB198" s="228">
        <v>0</v>
      </c>
      <c r="BC198" s="229">
        <v>0</v>
      </c>
      <c r="BD198" s="228">
        <v>0</v>
      </c>
      <c r="BE198" s="228">
        <v>0</v>
      </c>
      <c r="BF198" s="228">
        <v>0</v>
      </c>
      <c r="BG198" s="229">
        <v>0</v>
      </c>
      <c r="BH198" s="230">
        <v>1368000</v>
      </c>
      <c r="BI198" s="230">
        <v>1867200</v>
      </c>
      <c r="BJ198" s="230">
        <v>-499200</v>
      </c>
      <c r="BK198" s="229">
        <v>-0.26740000000000003</v>
      </c>
      <c r="BL198" s="230">
        <v>294400</v>
      </c>
      <c r="BM198" s="230">
        <v>668800</v>
      </c>
      <c r="BN198" s="230">
        <v>-374400</v>
      </c>
      <c r="BO198" s="229">
        <v>-0.55979999999999996</v>
      </c>
      <c r="BP198" s="230">
        <v>2374400</v>
      </c>
      <c r="BQ198" s="230">
        <v>3632000</v>
      </c>
      <c r="BR198" s="230">
        <v>-1257600</v>
      </c>
      <c r="BS198" s="229">
        <v>-0.3463</v>
      </c>
      <c r="BT198" s="230">
        <v>836351</v>
      </c>
      <c r="BU198" s="230">
        <v>842125</v>
      </c>
      <c r="BV198" s="230">
        <v>-5774</v>
      </c>
      <c r="BW198" s="229">
        <v>-6.8999999999999999E-3</v>
      </c>
      <c r="BX198" s="230">
        <v>7168000</v>
      </c>
      <c r="BY198" s="230">
        <v>7302400</v>
      </c>
      <c r="BZ198" s="230">
        <v>-134400</v>
      </c>
      <c r="CA198" s="229">
        <v>-1.84E-2</v>
      </c>
      <c r="CB198" s="230">
        <v>7168000</v>
      </c>
      <c r="CC198" s="230">
        <v>7302400</v>
      </c>
      <c r="CD198" s="230">
        <v>-134400</v>
      </c>
      <c r="CE198" s="229">
        <v>-1.84E-2</v>
      </c>
      <c r="CF198" s="228">
        <v>0</v>
      </c>
      <c r="CG198" s="228">
        <v>0</v>
      </c>
      <c r="CH198" s="228">
        <v>0</v>
      </c>
      <c r="CI198" s="229">
        <v>0</v>
      </c>
      <c r="CJ198" s="228">
        <v>0</v>
      </c>
      <c r="CK198" s="228">
        <v>0</v>
      </c>
      <c r="CL198" s="228">
        <v>0</v>
      </c>
      <c r="CM198" s="229">
        <v>0</v>
      </c>
      <c r="CN198" s="230">
        <v>1829600</v>
      </c>
      <c r="CO198" s="230">
        <v>2011200</v>
      </c>
      <c r="CP198" s="230">
        <v>-181600</v>
      </c>
      <c r="CQ198" s="229">
        <v>-9.0300000000000005E-2</v>
      </c>
      <c r="CR198" s="230">
        <v>1570400</v>
      </c>
      <c r="CS198" s="230">
        <v>1557600</v>
      </c>
      <c r="CT198" s="230">
        <v>12800</v>
      </c>
      <c r="CU198" s="229">
        <v>8.2000000000000007E-3</v>
      </c>
      <c r="CV198" s="230">
        <v>10568000</v>
      </c>
      <c r="CW198" s="230">
        <v>10871200</v>
      </c>
      <c r="CX198" s="230">
        <v>-303200</v>
      </c>
      <c r="CY198" s="229">
        <v>-2.7900000000000001E-2</v>
      </c>
      <c r="CZ198" s="228">
        <v>35.83</v>
      </c>
      <c r="DA198" s="228">
        <v>36.61</v>
      </c>
      <c r="DB198" s="228">
        <v>-0.78</v>
      </c>
      <c r="DC198" s="228">
        <v>-0.78</v>
      </c>
      <c r="DD198" s="228">
        <v>33.74</v>
      </c>
      <c r="DE198" s="228">
        <v>33.82</v>
      </c>
      <c r="DF198" s="228">
        <v>2.09</v>
      </c>
      <c r="DG198" s="228">
        <v>-0.08</v>
      </c>
      <c r="DH198" s="228">
        <v>35.39</v>
      </c>
      <c r="DI198" s="228">
        <v>36.1</v>
      </c>
      <c r="DJ198" s="228">
        <v>-0.71</v>
      </c>
      <c r="DK198" s="228">
        <v>-0.71</v>
      </c>
      <c r="DL198" s="228">
        <v>37.909999999999997</v>
      </c>
      <c r="DM198" s="228">
        <v>38.049999999999997</v>
      </c>
      <c r="DN198" s="228">
        <v>-0.14000000000000001</v>
      </c>
      <c r="DO198" s="228">
        <v>-0.14000000000000001</v>
      </c>
      <c r="DP198" s="228">
        <v>0.86</v>
      </c>
      <c r="DQ198" s="228">
        <v>0.77</v>
      </c>
      <c r="DR198" s="228">
        <v>0.09</v>
      </c>
      <c r="DS198" s="229">
        <v>0.1169</v>
      </c>
      <c r="DT198" s="228">
        <v>600</v>
      </c>
      <c r="DU198" s="228">
        <v>540</v>
      </c>
      <c r="DV198" s="228">
        <v>0.22</v>
      </c>
      <c r="DW198" s="228">
        <v>0.36</v>
      </c>
      <c r="DX198" s="228">
        <v>-0.14000000000000001</v>
      </c>
      <c r="DY198" s="229">
        <v>-0.38890000000000002</v>
      </c>
      <c r="DZ198" s="229">
        <v>0</v>
      </c>
      <c r="EA198" s="228">
        <v>0</v>
      </c>
      <c r="EB198" s="229">
        <v>0</v>
      </c>
      <c r="EC198" s="229">
        <v>0</v>
      </c>
      <c r="ED198" s="228">
        <v>0</v>
      </c>
      <c r="EE198" s="229">
        <v>0</v>
      </c>
      <c r="EF198" s="230">
        <v>321072</v>
      </c>
      <c r="EG198" s="230">
        <v>367580</v>
      </c>
      <c r="EH198" s="229">
        <v>-0.1265</v>
      </c>
      <c r="EI198" s="229">
        <v>0.38390000000000002</v>
      </c>
      <c r="EJ198" s="231">
        <v>8152.47</v>
      </c>
      <c r="EK198" s="231">
        <v>1683.92</v>
      </c>
      <c r="EL198" s="231">
        <v>3995.31</v>
      </c>
      <c r="EM198" s="231">
        <v>1237</v>
      </c>
      <c r="EN198" s="231">
        <v>13831.7</v>
      </c>
      <c r="EO198" s="231">
        <v>20918.7</v>
      </c>
      <c r="EP198" s="231">
        <v>-7087</v>
      </c>
      <c r="EQ198" s="229">
        <v>-0.33879999999999999</v>
      </c>
      <c r="ER198" s="231">
        <v>10534</v>
      </c>
      <c r="ES198" s="231">
        <v>8663</v>
      </c>
      <c r="ET198" s="231">
        <v>40331</v>
      </c>
      <c r="EU198" s="231">
        <v>27144562</v>
      </c>
      <c r="EV198" s="231">
        <v>59528</v>
      </c>
      <c r="EW198" s="231">
        <v>61281</v>
      </c>
      <c r="EX198" s="231">
        <v>-1753</v>
      </c>
      <c r="EY198" s="229">
        <v>-2.86E-2</v>
      </c>
      <c r="EZ198" s="229">
        <v>0.38929999999999998</v>
      </c>
      <c r="FA198" s="227" t="s">
        <v>567</v>
      </c>
      <c r="FB198" s="161">
        <f t="shared" si="5"/>
        <v>0</v>
      </c>
    </row>
    <row r="199" spans="1:158" ht="17.25" thickBot="1" x14ac:dyDescent="0.3">
      <c r="A199" s="226">
        <v>46121</v>
      </c>
      <c r="B199" s="227" t="s">
        <v>221</v>
      </c>
      <c r="C199" s="227" t="s">
        <v>295</v>
      </c>
      <c r="D199" s="228">
        <v>175</v>
      </c>
      <c r="E199" s="231">
        <v>2588</v>
      </c>
      <c r="F199" s="231">
        <v>2563.4</v>
      </c>
      <c r="G199" s="228">
        <v>24.6</v>
      </c>
      <c r="H199" s="229">
        <v>9.5999999999999992E-3</v>
      </c>
      <c r="I199" s="231">
        <v>2589</v>
      </c>
      <c r="J199" s="231">
        <v>2559.1999999999998</v>
      </c>
      <c r="K199" s="228">
        <v>29.8</v>
      </c>
      <c r="L199" s="229">
        <v>1.1599999999999999E-2</v>
      </c>
      <c r="M199" s="231">
        <v>2588</v>
      </c>
      <c r="N199" s="231">
        <v>2563.4</v>
      </c>
      <c r="O199" s="228">
        <v>24.6</v>
      </c>
      <c r="P199" s="229">
        <v>9.5999999999999992E-3</v>
      </c>
      <c r="Q199" s="231">
        <v>2593.6999999999998</v>
      </c>
      <c r="R199" s="231">
        <v>2569.4</v>
      </c>
      <c r="S199" s="228">
        <v>24.3</v>
      </c>
      <c r="T199" s="229">
        <v>9.4999999999999998E-3</v>
      </c>
      <c r="U199" s="231">
        <v>2594.8000000000002</v>
      </c>
      <c r="V199" s="231">
        <v>2568.1</v>
      </c>
      <c r="W199" s="228">
        <v>26.7</v>
      </c>
      <c r="X199" s="229">
        <v>1.04E-2</v>
      </c>
      <c r="Y199" s="228">
        <v>-1</v>
      </c>
      <c r="Z199" s="228">
        <v>4.2</v>
      </c>
      <c r="AA199" s="228">
        <v>-5.2</v>
      </c>
      <c r="AB199" s="229">
        <v>-4.0000000000000002E-4</v>
      </c>
      <c r="AC199" s="228">
        <v>-1</v>
      </c>
      <c r="AD199" s="228">
        <v>4.2</v>
      </c>
      <c r="AE199" s="228">
        <v>-5.2</v>
      </c>
      <c r="AF199" s="229">
        <v>-4.0000000000000002E-4</v>
      </c>
      <c r="AG199" s="228">
        <v>4.7</v>
      </c>
      <c r="AH199" s="228">
        <v>10.199999999999999</v>
      </c>
      <c r="AI199" s="228">
        <v>-5.5</v>
      </c>
      <c r="AJ199" s="229">
        <v>1.8E-3</v>
      </c>
      <c r="AK199" s="228">
        <v>5.8</v>
      </c>
      <c r="AL199" s="228">
        <v>8.9</v>
      </c>
      <c r="AM199" s="228">
        <v>-3.1</v>
      </c>
      <c r="AN199" s="229">
        <v>2.2000000000000001E-3</v>
      </c>
      <c r="AO199" s="231">
        <v>2577.81</v>
      </c>
      <c r="AP199" s="231">
        <v>2584.5</v>
      </c>
      <c r="AQ199" s="228">
        <v>0</v>
      </c>
      <c r="AR199" s="230">
        <v>6897800</v>
      </c>
      <c r="AS199" s="230">
        <v>5179125</v>
      </c>
      <c r="AT199" s="230">
        <v>1718675</v>
      </c>
      <c r="AU199" s="229">
        <v>0.33179999999999998</v>
      </c>
      <c r="AV199" s="230">
        <v>6451025</v>
      </c>
      <c r="AW199" s="230">
        <v>4794125</v>
      </c>
      <c r="AX199" s="230">
        <v>1656900</v>
      </c>
      <c r="AY199" s="229">
        <v>0.34560000000000002</v>
      </c>
      <c r="AZ199" s="230">
        <v>341075</v>
      </c>
      <c r="BA199" s="230">
        <v>273350</v>
      </c>
      <c r="BB199" s="230">
        <v>67725</v>
      </c>
      <c r="BC199" s="229">
        <v>0.24779999999999999</v>
      </c>
      <c r="BD199" s="230">
        <v>105700</v>
      </c>
      <c r="BE199" s="230">
        <v>111650</v>
      </c>
      <c r="BF199" s="230">
        <v>-5950</v>
      </c>
      <c r="BG199" s="229">
        <v>-5.33E-2</v>
      </c>
      <c r="BH199" s="230">
        <v>39462850</v>
      </c>
      <c r="BI199" s="230">
        <v>17254125</v>
      </c>
      <c r="BJ199" s="230">
        <v>22208725</v>
      </c>
      <c r="BK199" s="229">
        <v>1.2871999999999999</v>
      </c>
      <c r="BL199" s="230">
        <v>20088775</v>
      </c>
      <c r="BM199" s="230">
        <v>8929200</v>
      </c>
      <c r="BN199" s="230">
        <v>11159575</v>
      </c>
      <c r="BO199" s="229">
        <v>1.2498</v>
      </c>
      <c r="BP199" s="230">
        <v>66449425</v>
      </c>
      <c r="BQ199" s="230">
        <v>31362450</v>
      </c>
      <c r="BR199" s="230">
        <v>35086975</v>
      </c>
      <c r="BS199" s="229">
        <v>1.1188</v>
      </c>
      <c r="BT199" s="230">
        <v>6364033</v>
      </c>
      <c r="BU199" s="230">
        <v>5045914</v>
      </c>
      <c r="BV199" s="230">
        <v>1318119</v>
      </c>
      <c r="BW199" s="229">
        <v>0.26119999999999999</v>
      </c>
      <c r="BX199" s="230">
        <v>31869250</v>
      </c>
      <c r="BY199" s="230">
        <v>32402825</v>
      </c>
      <c r="BZ199" s="230">
        <v>-533575</v>
      </c>
      <c r="CA199" s="229">
        <v>-1.6500000000000001E-2</v>
      </c>
      <c r="CB199" s="230">
        <v>29806700</v>
      </c>
      <c r="CC199" s="230">
        <v>30423050</v>
      </c>
      <c r="CD199" s="230">
        <v>-616350</v>
      </c>
      <c r="CE199" s="229">
        <v>-2.0299999999999999E-2</v>
      </c>
      <c r="CF199" s="230">
        <v>1759275</v>
      </c>
      <c r="CG199" s="230">
        <v>1711500</v>
      </c>
      <c r="CH199" s="230">
        <v>47775</v>
      </c>
      <c r="CI199" s="229">
        <v>2.7900000000000001E-2</v>
      </c>
      <c r="CJ199" s="230">
        <v>303275</v>
      </c>
      <c r="CK199" s="230">
        <v>268275</v>
      </c>
      <c r="CL199" s="230">
        <v>35000</v>
      </c>
      <c r="CM199" s="229">
        <v>0.1305</v>
      </c>
      <c r="CN199" s="230">
        <v>16373700</v>
      </c>
      <c r="CO199" s="230">
        <v>9787225</v>
      </c>
      <c r="CP199" s="230">
        <v>6586475</v>
      </c>
      <c r="CQ199" s="229">
        <v>0.67300000000000004</v>
      </c>
      <c r="CR199" s="230">
        <v>11864475</v>
      </c>
      <c r="CS199" s="230">
        <v>9173325</v>
      </c>
      <c r="CT199" s="230">
        <v>2691150</v>
      </c>
      <c r="CU199" s="229">
        <v>0.29339999999999999</v>
      </c>
      <c r="CV199" s="230">
        <v>60107425</v>
      </c>
      <c r="CW199" s="230">
        <v>51363375</v>
      </c>
      <c r="CX199" s="230">
        <v>8744050</v>
      </c>
      <c r="CY199" s="229">
        <v>0.17019999999999999</v>
      </c>
      <c r="CZ199" s="228">
        <v>33.479999999999997</v>
      </c>
      <c r="DA199" s="228">
        <v>33.86</v>
      </c>
      <c r="DB199" s="228">
        <v>-0.38</v>
      </c>
      <c r="DC199" s="228">
        <v>-0.38</v>
      </c>
      <c r="DD199" s="228">
        <v>26.91</v>
      </c>
      <c r="DE199" s="228">
        <v>26.94</v>
      </c>
      <c r="DF199" s="228">
        <v>6.57</v>
      </c>
      <c r="DG199" s="228">
        <v>-0.03</v>
      </c>
      <c r="DH199" s="228">
        <v>32.69</v>
      </c>
      <c r="DI199" s="228">
        <v>33.18</v>
      </c>
      <c r="DJ199" s="228">
        <v>-0.49</v>
      </c>
      <c r="DK199" s="228">
        <v>-0.49</v>
      </c>
      <c r="DL199" s="228">
        <v>35.03</v>
      </c>
      <c r="DM199" s="228">
        <v>35.159999999999997</v>
      </c>
      <c r="DN199" s="228">
        <v>-0.13</v>
      </c>
      <c r="DO199" s="228">
        <v>-0.13</v>
      </c>
      <c r="DP199" s="228">
        <v>0.72</v>
      </c>
      <c r="DQ199" s="228">
        <v>0.94</v>
      </c>
      <c r="DR199" s="228">
        <v>-0.22</v>
      </c>
      <c r="DS199" s="229">
        <v>-0.23400000000000001</v>
      </c>
      <c r="DT199" s="231">
        <v>2600</v>
      </c>
      <c r="DU199" s="231">
        <v>2400</v>
      </c>
      <c r="DV199" s="228">
        <v>0.51</v>
      </c>
      <c r="DW199" s="228">
        <v>0.52</v>
      </c>
      <c r="DX199" s="228">
        <v>-0.01</v>
      </c>
      <c r="DY199" s="229">
        <v>-1.9199999999999998E-2</v>
      </c>
      <c r="DZ199" s="229">
        <v>6.4699999999999994E-2</v>
      </c>
      <c r="EA199" s="230">
        <v>1979775</v>
      </c>
      <c r="EB199" s="229">
        <v>2.2000000000000001E-3</v>
      </c>
      <c r="EC199" s="229">
        <v>6.4699999999999994E-2</v>
      </c>
      <c r="ED199" s="228">
        <v>6.69</v>
      </c>
      <c r="EE199" s="229">
        <v>2.5999999999999999E-3</v>
      </c>
      <c r="EF199" s="230">
        <v>2138762</v>
      </c>
      <c r="EG199" s="230">
        <v>2279227</v>
      </c>
      <c r="EH199" s="229">
        <v>-6.1600000000000002E-2</v>
      </c>
      <c r="EI199" s="229">
        <v>0.33610000000000001</v>
      </c>
      <c r="EJ199" s="231">
        <v>1078958.8600000001</v>
      </c>
      <c r="EK199" s="231">
        <v>501606.88</v>
      </c>
      <c r="EL199" s="231">
        <v>177839.14</v>
      </c>
      <c r="EM199" s="231">
        <v>21993</v>
      </c>
      <c r="EN199" s="231">
        <v>1758404.88</v>
      </c>
      <c r="EO199" s="231">
        <v>824098.39</v>
      </c>
      <c r="EP199" s="231">
        <v>934306.49</v>
      </c>
      <c r="EQ199" s="229">
        <v>1.1336999999999999</v>
      </c>
      <c r="ER199" s="231">
        <v>438163</v>
      </c>
      <c r="ES199" s="231">
        <v>295639</v>
      </c>
      <c r="ET199" s="231">
        <v>824897</v>
      </c>
      <c r="EU199" s="231">
        <v>153229333</v>
      </c>
      <c r="EV199" s="231">
        <v>1558699</v>
      </c>
      <c r="EW199" s="231">
        <v>1316908</v>
      </c>
      <c r="EX199" s="231">
        <v>241791</v>
      </c>
      <c r="EY199" s="229">
        <v>0.18360000000000001</v>
      </c>
      <c r="EZ199" s="229">
        <v>0.39229999999999998</v>
      </c>
      <c r="FA199" s="227" t="s">
        <v>694</v>
      </c>
      <c r="FB199" s="161">
        <f t="shared" si="5"/>
        <v>0</v>
      </c>
    </row>
    <row r="200" spans="1:158" ht="17.25" thickBot="1" x14ac:dyDescent="0.3">
      <c r="A200" s="226">
        <v>46121</v>
      </c>
      <c r="B200" s="227" t="s">
        <v>221</v>
      </c>
      <c r="C200" s="227" t="s">
        <v>296</v>
      </c>
      <c r="D200" s="228">
        <v>600</v>
      </c>
      <c r="E200" s="231">
        <v>1464.6</v>
      </c>
      <c r="F200" s="231">
        <v>1456</v>
      </c>
      <c r="G200" s="228">
        <v>8.6</v>
      </c>
      <c r="H200" s="229">
        <v>5.8999999999999999E-3</v>
      </c>
      <c r="I200" s="231">
        <v>1461.6</v>
      </c>
      <c r="J200" s="231">
        <v>1451.4</v>
      </c>
      <c r="K200" s="228">
        <v>10.199999999999999</v>
      </c>
      <c r="L200" s="229">
        <v>7.0000000000000001E-3</v>
      </c>
      <c r="M200" s="231">
        <v>1464.6</v>
      </c>
      <c r="N200" s="231">
        <v>1456</v>
      </c>
      <c r="O200" s="228">
        <v>8.6</v>
      </c>
      <c r="P200" s="229">
        <v>5.8999999999999999E-3</v>
      </c>
      <c r="Q200" s="231">
        <v>1467</v>
      </c>
      <c r="R200" s="231">
        <v>1459.2</v>
      </c>
      <c r="S200" s="228">
        <v>7.8</v>
      </c>
      <c r="T200" s="229">
        <v>5.3E-3</v>
      </c>
      <c r="U200" s="231">
        <v>1473.4</v>
      </c>
      <c r="V200" s="231">
        <v>1467.6</v>
      </c>
      <c r="W200" s="228">
        <v>5.8</v>
      </c>
      <c r="X200" s="229">
        <v>4.0000000000000001E-3</v>
      </c>
      <c r="Y200" s="228">
        <v>3</v>
      </c>
      <c r="Z200" s="228">
        <v>4.5999999999999996</v>
      </c>
      <c r="AA200" s="228">
        <v>-1.6</v>
      </c>
      <c r="AB200" s="229">
        <v>2.0999999999999999E-3</v>
      </c>
      <c r="AC200" s="228">
        <v>3</v>
      </c>
      <c r="AD200" s="228">
        <v>4.5999999999999996</v>
      </c>
      <c r="AE200" s="228">
        <v>-1.6</v>
      </c>
      <c r="AF200" s="229">
        <v>2.0999999999999999E-3</v>
      </c>
      <c r="AG200" s="228">
        <v>5.4</v>
      </c>
      <c r="AH200" s="228">
        <v>7.8</v>
      </c>
      <c r="AI200" s="228">
        <v>-2.4</v>
      </c>
      <c r="AJ200" s="229">
        <v>3.7000000000000002E-3</v>
      </c>
      <c r="AK200" s="228">
        <v>11.8</v>
      </c>
      <c r="AL200" s="228">
        <v>16.2</v>
      </c>
      <c r="AM200" s="228">
        <v>-4.4000000000000004</v>
      </c>
      <c r="AN200" s="229">
        <v>8.0999999999999996E-3</v>
      </c>
      <c r="AO200" s="231">
        <v>1454.62</v>
      </c>
      <c r="AP200" s="231">
        <v>1456.56</v>
      </c>
      <c r="AQ200" s="228">
        <v>0</v>
      </c>
      <c r="AR200" s="230">
        <v>2425200</v>
      </c>
      <c r="AS200" s="230">
        <v>3531000</v>
      </c>
      <c r="AT200" s="230">
        <v>-1105800</v>
      </c>
      <c r="AU200" s="229">
        <v>-0.31319999999999998</v>
      </c>
      <c r="AV200" s="230">
        <v>2307000</v>
      </c>
      <c r="AW200" s="230">
        <v>3314400</v>
      </c>
      <c r="AX200" s="230">
        <v>-1007400</v>
      </c>
      <c r="AY200" s="229">
        <v>-0.3039</v>
      </c>
      <c r="AZ200" s="230">
        <v>107400</v>
      </c>
      <c r="BA200" s="230">
        <v>181800</v>
      </c>
      <c r="BB200" s="230">
        <v>-74400</v>
      </c>
      <c r="BC200" s="229">
        <v>-0.40920000000000001</v>
      </c>
      <c r="BD200" s="230">
        <v>10800</v>
      </c>
      <c r="BE200" s="230">
        <v>34800</v>
      </c>
      <c r="BF200" s="230">
        <v>-24000</v>
      </c>
      <c r="BG200" s="229">
        <v>-0.68969999999999998</v>
      </c>
      <c r="BH200" s="230">
        <v>7669800</v>
      </c>
      <c r="BI200" s="230">
        <v>8934600</v>
      </c>
      <c r="BJ200" s="230">
        <v>-1264800</v>
      </c>
      <c r="BK200" s="229">
        <v>-0.1416</v>
      </c>
      <c r="BL200" s="230">
        <v>4514400</v>
      </c>
      <c r="BM200" s="230">
        <v>6066600</v>
      </c>
      <c r="BN200" s="230">
        <v>-1552200</v>
      </c>
      <c r="BO200" s="229">
        <v>-0.25590000000000002</v>
      </c>
      <c r="BP200" s="230">
        <v>14609400</v>
      </c>
      <c r="BQ200" s="230">
        <v>18532200</v>
      </c>
      <c r="BR200" s="230">
        <v>-3922800</v>
      </c>
      <c r="BS200" s="229">
        <v>-0.2117</v>
      </c>
      <c r="BT200" s="230">
        <v>1866643</v>
      </c>
      <c r="BU200" s="230">
        <v>2857029</v>
      </c>
      <c r="BV200" s="230">
        <v>-990386</v>
      </c>
      <c r="BW200" s="229">
        <v>-0.34660000000000002</v>
      </c>
      <c r="BX200" s="230">
        <v>18630600</v>
      </c>
      <c r="BY200" s="230">
        <v>19127400</v>
      </c>
      <c r="BZ200" s="230">
        <v>-496800</v>
      </c>
      <c r="CA200" s="229">
        <v>-2.5999999999999999E-2</v>
      </c>
      <c r="CB200" s="230">
        <v>18244800</v>
      </c>
      <c r="CC200" s="230">
        <v>18753000</v>
      </c>
      <c r="CD200" s="230">
        <v>-508200</v>
      </c>
      <c r="CE200" s="229">
        <v>-2.7099999999999999E-2</v>
      </c>
      <c r="CF200" s="230">
        <v>291600</v>
      </c>
      <c r="CG200" s="230">
        <v>283200</v>
      </c>
      <c r="CH200" s="230">
        <v>8400</v>
      </c>
      <c r="CI200" s="229">
        <v>2.9700000000000001E-2</v>
      </c>
      <c r="CJ200" s="230">
        <v>94200</v>
      </c>
      <c r="CK200" s="230">
        <v>91200</v>
      </c>
      <c r="CL200" s="230">
        <v>3000</v>
      </c>
      <c r="CM200" s="229">
        <v>3.2899999999999999E-2</v>
      </c>
      <c r="CN200" s="230">
        <v>4905600</v>
      </c>
      <c r="CO200" s="230">
        <v>4807200</v>
      </c>
      <c r="CP200" s="230">
        <v>98400</v>
      </c>
      <c r="CQ200" s="229">
        <v>2.0500000000000001E-2</v>
      </c>
      <c r="CR200" s="230">
        <v>3864600</v>
      </c>
      <c r="CS200" s="230">
        <v>3912000</v>
      </c>
      <c r="CT200" s="230">
        <v>-47400</v>
      </c>
      <c r="CU200" s="229">
        <v>-1.21E-2</v>
      </c>
      <c r="CV200" s="230">
        <v>27400800</v>
      </c>
      <c r="CW200" s="230">
        <v>27846600</v>
      </c>
      <c r="CX200" s="230">
        <v>-445800</v>
      </c>
      <c r="CY200" s="229">
        <v>-1.6E-2</v>
      </c>
      <c r="CZ200" s="228">
        <v>34.99</v>
      </c>
      <c r="DA200" s="228">
        <v>35.11</v>
      </c>
      <c r="DB200" s="228">
        <v>-0.12</v>
      </c>
      <c r="DC200" s="228">
        <v>-0.12</v>
      </c>
      <c r="DD200" s="228">
        <v>31.24</v>
      </c>
      <c r="DE200" s="228">
        <v>31.31</v>
      </c>
      <c r="DF200" s="228">
        <v>3.75</v>
      </c>
      <c r="DG200" s="228">
        <v>-7.0000000000000007E-2</v>
      </c>
      <c r="DH200" s="228">
        <v>34.130000000000003</v>
      </c>
      <c r="DI200" s="228">
        <v>34.65</v>
      </c>
      <c r="DJ200" s="228">
        <v>-0.52</v>
      </c>
      <c r="DK200" s="228">
        <v>-0.52</v>
      </c>
      <c r="DL200" s="228">
        <v>36.450000000000003</v>
      </c>
      <c r="DM200" s="228">
        <v>35.78</v>
      </c>
      <c r="DN200" s="228">
        <v>0.67</v>
      </c>
      <c r="DO200" s="228">
        <v>0.67</v>
      </c>
      <c r="DP200" s="228">
        <v>0.79</v>
      </c>
      <c r="DQ200" s="228">
        <v>0.81</v>
      </c>
      <c r="DR200" s="228">
        <v>-0.02</v>
      </c>
      <c r="DS200" s="229">
        <v>-2.47E-2</v>
      </c>
      <c r="DT200" s="231">
        <v>1500</v>
      </c>
      <c r="DU200" s="231">
        <v>1320</v>
      </c>
      <c r="DV200" s="228">
        <v>0.59</v>
      </c>
      <c r="DW200" s="228">
        <v>0.68</v>
      </c>
      <c r="DX200" s="228">
        <v>-0.09</v>
      </c>
      <c r="DY200" s="229">
        <v>-0.13239999999999999</v>
      </c>
      <c r="DZ200" s="229">
        <v>2.07E-2</v>
      </c>
      <c r="EA200" s="230">
        <v>374400</v>
      </c>
      <c r="EB200" s="229">
        <v>1.6000000000000001E-3</v>
      </c>
      <c r="EC200" s="229">
        <v>2.07E-2</v>
      </c>
      <c r="ED200" s="228">
        <v>1.94</v>
      </c>
      <c r="EE200" s="229">
        <v>1.2999999999999999E-3</v>
      </c>
      <c r="EF200" s="230">
        <v>738287</v>
      </c>
      <c r="EG200" s="230">
        <v>1316326</v>
      </c>
      <c r="EH200" s="229">
        <v>-0.43909999999999999</v>
      </c>
      <c r="EI200" s="229">
        <v>0.39550000000000002</v>
      </c>
      <c r="EJ200" s="231">
        <v>117278.48</v>
      </c>
      <c r="EK200" s="231">
        <v>65548.710000000006</v>
      </c>
      <c r="EL200" s="231">
        <v>35280.76</v>
      </c>
      <c r="EM200" s="231">
        <v>4907</v>
      </c>
      <c r="EN200" s="231">
        <v>218107.95</v>
      </c>
      <c r="EO200" s="231">
        <v>278455.5</v>
      </c>
      <c r="EP200" s="231">
        <v>-60347.55</v>
      </c>
      <c r="EQ200" s="229">
        <v>-0.2167</v>
      </c>
      <c r="ER200" s="231">
        <v>73048</v>
      </c>
      <c r="ES200" s="231">
        <v>53416</v>
      </c>
      <c r="ET200" s="231">
        <v>272879</v>
      </c>
      <c r="EU200" s="231">
        <v>95553300</v>
      </c>
      <c r="EV200" s="231">
        <v>399343</v>
      </c>
      <c r="EW200" s="231">
        <v>404179</v>
      </c>
      <c r="EX200" s="231">
        <v>-4836</v>
      </c>
      <c r="EY200" s="229">
        <v>-1.2E-2</v>
      </c>
      <c r="EZ200" s="229">
        <v>0.2868</v>
      </c>
      <c r="FA200" s="227" t="s">
        <v>694</v>
      </c>
      <c r="FB200" s="161">
        <f t="shared" si="5"/>
        <v>0</v>
      </c>
    </row>
    <row r="201" spans="1:158" ht="17.25" thickBot="1" x14ac:dyDescent="0.3">
      <c r="A201" s="226">
        <v>46121</v>
      </c>
      <c r="B201" s="227" t="s">
        <v>184</v>
      </c>
      <c r="C201" s="227" t="s">
        <v>594</v>
      </c>
      <c r="D201" s="228">
        <v>200</v>
      </c>
      <c r="E201" s="231">
        <v>2752.1</v>
      </c>
      <c r="F201" s="231">
        <v>2742</v>
      </c>
      <c r="G201" s="228">
        <v>10.1</v>
      </c>
      <c r="H201" s="229">
        <v>3.7000000000000002E-3</v>
      </c>
      <c r="I201" s="231">
        <v>2743.3</v>
      </c>
      <c r="J201" s="231">
        <v>2727.1</v>
      </c>
      <c r="K201" s="228">
        <v>16.2</v>
      </c>
      <c r="L201" s="229">
        <v>5.8999999999999999E-3</v>
      </c>
      <c r="M201" s="231">
        <v>2752.1</v>
      </c>
      <c r="N201" s="231">
        <v>2742</v>
      </c>
      <c r="O201" s="228">
        <v>10.1</v>
      </c>
      <c r="P201" s="229">
        <v>3.7000000000000002E-3</v>
      </c>
      <c r="Q201" s="231">
        <v>2760.1</v>
      </c>
      <c r="R201" s="231">
        <v>2751.8</v>
      </c>
      <c r="S201" s="228">
        <v>8.3000000000000007</v>
      </c>
      <c r="T201" s="229">
        <v>3.0000000000000001E-3</v>
      </c>
      <c r="U201" s="231">
        <v>2770.8</v>
      </c>
      <c r="V201" s="231">
        <v>2700</v>
      </c>
      <c r="W201" s="228">
        <v>70.8</v>
      </c>
      <c r="X201" s="229">
        <v>2.6200000000000001E-2</v>
      </c>
      <c r="Y201" s="228">
        <v>8.8000000000000007</v>
      </c>
      <c r="Z201" s="228">
        <v>14.9</v>
      </c>
      <c r="AA201" s="228">
        <v>-6.1</v>
      </c>
      <c r="AB201" s="229">
        <v>3.2000000000000002E-3</v>
      </c>
      <c r="AC201" s="228">
        <v>8.8000000000000007</v>
      </c>
      <c r="AD201" s="228">
        <v>14.9</v>
      </c>
      <c r="AE201" s="228">
        <v>-6.1</v>
      </c>
      <c r="AF201" s="229">
        <v>3.2000000000000002E-3</v>
      </c>
      <c r="AG201" s="228">
        <v>16.8</v>
      </c>
      <c r="AH201" s="228">
        <v>24.7</v>
      </c>
      <c r="AI201" s="228">
        <v>-7.9</v>
      </c>
      <c r="AJ201" s="229">
        <v>6.1000000000000004E-3</v>
      </c>
      <c r="AK201" s="228">
        <v>27.5</v>
      </c>
      <c r="AL201" s="228">
        <v>-27.1</v>
      </c>
      <c r="AM201" s="228">
        <v>54.6</v>
      </c>
      <c r="AN201" s="229">
        <v>0.01</v>
      </c>
      <c r="AO201" s="231">
        <v>2743.44</v>
      </c>
      <c r="AP201" s="231">
        <v>2759.29</v>
      </c>
      <c r="AQ201" s="228">
        <v>0</v>
      </c>
      <c r="AR201" s="230">
        <v>214200</v>
      </c>
      <c r="AS201" s="230">
        <v>259200</v>
      </c>
      <c r="AT201" s="230">
        <v>-45000</v>
      </c>
      <c r="AU201" s="229">
        <v>-0.1736</v>
      </c>
      <c r="AV201" s="230">
        <v>212400</v>
      </c>
      <c r="AW201" s="230">
        <v>250400</v>
      </c>
      <c r="AX201" s="230">
        <v>-38000</v>
      </c>
      <c r="AY201" s="229">
        <v>-0.15179999999999999</v>
      </c>
      <c r="AZ201" s="230">
        <v>1400</v>
      </c>
      <c r="BA201" s="230">
        <v>7800</v>
      </c>
      <c r="BB201" s="230">
        <v>-6400</v>
      </c>
      <c r="BC201" s="229">
        <v>-0.82050000000000001</v>
      </c>
      <c r="BD201" s="228">
        <v>400</v>
      </c>
      <c r="BE201" s="230">
        <v>1000</v>
      </c>
      <c r="BF201" s="228">
        <v>-600</v>
      </c>
      <c r="BG201" s="229">
        <v>-0.6</v>
      </c>
      <c r="BH201" s="230">
        <v>197400</v>
      </c>
      <c r="BI201" s="230">
        <v>596400</v>
      </c>
      <c r="BJ201" s="230">
        <v>-399000</v>
      </c>
      <c r="BK201" s="229">
        <v>-0.66900000000000004</v>
      </c>
      <c r="BL201" s="230">
        <v>43400</v>
      </c>
      <c r="BM201" s="230">
        <v>136800</v>
      </c>
      <c r="BN201" s="230">
        <v>-93400</v>
      </c>
      <c r="BO201" s="229">
        <v>-0.68269999999999997</v>
      </c>
      <c r="BP201" s="230">
        <v>455000</v>
      </c>
      <c r="BQ201" s="230">
        <v>992400</v>
      </c>
      <c r="BR201" s="230">
        <v>-537400</v>
      </c>
      <c r="BS201" s="229">
        <v>-0.54149999999999998</v>
      </c>
      <c r="BT201" s="230">
        <v>261032</v>
      </c>
      <c r="BU201" s="230">
        <v>383235</v>
      </c>
      <c r="BV201" s="230">
        <v>-122203</v>
      </c>
      <c r="BW201" s="229">
        <v>-0.31890000000000002</v>
      </c>
      <c r="BX201" s="230">
        <v>2530000</v>
      </c>
      <c r="BY201" s="230">
        <v>2467200</v>
      </c>
      <c r="BZ201" s="230">
        <v>62800</v>
      </c>
      <c r="CA201" s="229">
        <v>2.5499999999999998E-2</v>
      </c>
      <c r="CB201" s="230">
        <v>2506400</v>
      </c>
      <c r="CC201" s="230">
        <v>2444400</v>
      </c>
      <c r="CD201" s="230">
        <v>62000</v>
      </c>
      <c r="CE201" s="229">
        <v>2.5399999999999999E-2</v>
      </c>
      <c r="CF201" s="230">
        <v>21400</v>
      </c>
      <c r="CG201" s="230">
        <v>21000</v>
      </c>
      <c r="CH201" s="228">
        <v>400</v>
      </c>
      <c r="CI201" s="229">
        <v>1.9E-2</v>
      </c>
      <c r="CJ201" s="230">
        <v>2200</v>
      </c>
      <c r="CK201" s="230">
        <v>1800</v>
      </c>
      <c r="CL201" s="228">
        <v>400</v>
      </c>
      <c r="CM201" s="229">
        <v>0.22220000000000001</v>
      </c>
      <c r="CN201" s="230">
        <v>350400</v>
      </c>
      <c r="CO201" s="230">
        <v>348800</v>
      </c>
      <c r="CP201" s="230">
        <v>1600</v>
      </c>
      <c r="CQ201" s="229">
        <v>4.5999999999999999E-3</v>
      </c>
      <c r="CR201" s="230">
        <v>191600</v>
      </c>
      <c r="CS201" s="230">
        <v>188400</v>
      </c>
      <c r="CT201" s="230">
        <v>3200</v>
      </c>
      <c r="CU201" s="229">
        <v>1.7000000000000001E-2</v>
      </c>
      <c r="CV201" s="230">
        <v>3072000</v>
      </c>
      <c r="CW201" s="230">
        <v>3004400</v>
      </c>
      <c r="CX201" s="230">
        <v>67600</v>
      </c>
      <c r="CY201" s="229">
        <v>2.2499999999999999E-2</v>
      </c>
      <c r="CZ201" s="228">
        <v>36.4</v>
      </c>
      <c r="DA201" s="228">
        <v>38.21</v>
      </c>
      <c r="DB201" s="228">
        <v>-1.81</v>
      </c>
      <c r="DC201" s="228">
        <v>-1.81</v>
      </c>
      <c r="DD201" s="228">
        <v>44.56</v>
      </c>
      <c r="DE201" s="228">
        <v>44.67</v>
      </c>
      <c r="DF201" s="228">
        <v>-8.16</v>
      </c>
      <c r="DG201" s="228">
        <v>-0.11</v>
      </c>
      <c r="DH201" s="228">
        <v>35.479999999999997</v>
      </c>
      <c r="DI201" s="228">
        <v>37.32</v>
      </c>
      <c r="DJ201" s="228">
        <v>-1.84</v>
      </c>
      <c r="DK201" s="228">
        <v>-1.84</v>
      </c>
      <c r="DL201" s="228">
        <v>40.58</v>
      </c>
      <c r="DM201" s="228">
        <v>42.08</v>
      </c>
      <c r="DN201" s="228">
        <v>-1.5</v>
      </c>
      <c r="DO201" s="228">
        <v>-1.5</v>
      </c>
      <c r="DP201" s="228">
        <v>0.55000000000000004</v>
      </c>
      <c r="DQ201" s="228">
        <v>0.54</v>
      </c>
      <c r="DR201" s="228">
        <v>0.01</v>
      </c>
      <c r="DS201" s="229">
        <v>1.8499999999999999E-2</v>
      </c>
      <c r="DT201" s="231">
        <v>2700</v>
      </c>
      <c r="DU201" s="231">
        <v>2500</v>
      </c>
      <c r="DV201" s="228">
        <v>0.22</v>
      </c>
      <c r="DW201" s="228">
        <v>0.23</v>
      </c>
      <c r="DX201" s="228">
        <v>-0.01</v>
      </c>
      <c r="DY201" s="229">
        <v>-4.3499999999999997E-2</v>
      </c>
      <c r="DZ201" s="229">
        <v>9.2999999999999992E-3</v>
      </c>
      <c r="EA201" s="230">
        <v>22800</v>
      </c>
      <c r="EB201" s="229">
        <v>2.8999999999999998E-3</v>
      </c>
      <c r="EC201" s="229">
        <v>9.2999999999999992E-3</v>
      </c>
      <c r="ED201" s="228">
        <v>15.85</v>
      </c>
      <c r="EE201" s="229">
        <v>5.7999999999999996E-3</v>
      </c>
      <c r="EF201" s="230">
        <v>120862</v>
      </c>
      <c r="EG201" s="230">
        <v>211038</v>
      </c>
      <c r="EH201" s="229">
        <v>-0.42730000000000001</v>
      </c>
      <c r="EI201" s="229">
        <v>0.46300000000000002</v>
      </c>
      <c r="EJ201" s="231">
        <v>5713.58</v>
      </c>
      <c r="EK201" s="231">
        <v>1155.71</v>
      </c>
      <c r="EL201" s="231">
        <v>5876.81</v>
      </c>
      <c r="EM201" s="231">
        <v>1294</v>
      </c>
      <c r="EN201" s="231">
        <v>12746.1</v>
      </c>
      <c r="EO201" s="231">
        <v>27722.17</v>
      </c>
      <c r="EP201" s="231">
        <v>-14976.07</v>
      </c>
      <c r="EQ201" s="229">
        <v>-0.54020000000000001</v>
      </c>
      <c r="ER201" s="231">
        <v>9757</v>
      </c>
      <c r="ES201" s="231">
        <v>4847</v>
      </c>
      <c r="ET201" s="231">
        <v>69630</v>
      </c>
      <c r="EU201" s="231">
        <v>16239060</v>
      </c>
      <c r="EV201" s="231">
        <v>84234</v>
      </c>
      <c r="EW201" s="231">
        <v>82103</v>
      </c>
      <c r="EX201" s="231">
        <v>2131</v>
      </c>
      <c r="EY201" s="229">
        <v>2.5999999999999999E-2</v>
      </c>
      <c r="EZ201" s="229">
        <v>0.18920000000000001</v>
      </c>
      <c r="FA201" s="227" t="s">
        <v>555</v>
      </c>
      <c r="FB201" s="161">
        <f t="shared" si="5"/>
        <v>0</v>
      </c>
    </row>
    <row r="202" spans="1:158" ht="17.25" thickBot="1" x14ac:dyDescent="0.3">
      <c r="A202" s="226">
        <v>46121</v>
      </c>
      <c r="B202" s="227" t="s">
        <v>168</v>
      </c>
      <c r="C202" s="227" t="s">
        <v>297</v>
      </c>
      <c r="D202" s="228">
        <v>175</v>
      </c>
      <c r="E202" s="231">
        <v>4449.7</v>
      </c>
      <c r="F202" s="231">
        <v>4501.8999999999996</v>
      </c>
      <c r="G202" s="228">
        <v>-52.2</v>
      </c>
      <c r="H202" s="229">
        <v>-1.1599999999999999E-2</v>
      </c>
      <c r="I202" s="231">
        <v>4439.8</v>
      </c>
      <c r="J202" s="231">
        <v>4492.5</v>
      </c>
      <c r="K202" s="228">
        <v>-52.7</v>
      </c>
      <c r="L202" s="229">
        <v>-1.17E-2</v>
      </c>
      <c r="M202" s="231">
        <v>4449.7</v>
      </c>
      <c r="N202" s="231">
        <v>4501.8999999999996</v>
      </c>
      <c r="O202" s="228">
        <v>-52.2</v>
      </c>
      <c r="P202" s="229">
        <v>-1.1599999999999999E-2</v>
      </c>
      <c r="Q202" s="231">
        <v>4471.5</v>
      </c>
      <c r="R202" s="231">
        <v>4530.3</v>
      </c>
      <c r="S202" s="228">
        <v>-58.8</v>
      </c>
      <c r="T202" s="229">
        <v>-1.2999999999999999E-2</v>
      </c>
      <c r="U202" s="231">
        <v>4496.3</v>
      </c>
      <c r="V202" s="231">
        <v>4554.3</v>
      </c>
      <c r="W202" s="228">
        <v>-58</v>
      </c>
      <c r="X202" s="229">
        <v>-1.2699999999999999E-2</v>
      </c>
      <c r="Y202" s="228">
        <v>9.9</v>
      </c>
      <c r="Z202" s="228">
        <v>9.4</v>
      </c>
      <c r="AA202" s="228">
        <v>0.5</v>
      </c>
      <c r="AB202" s="229">
        <v>2.2000000000000001E-3</v>
      </c>
      <c r="AC202" s="228">
        <v>9.9</v>
      </c>
      <c r="AD202" s="228">
        <v>9.4</v>
      </c>
      <c r="AE202" s="228">
        <v>0.5</v>
      </c>
      <c r="AF202" s="229">
        <v>2.2000000000000001E-3</v>
      </c>
      <c r="AG202" s="228">
        <v>31.7</v>
      </c>
      <c r="AH202" s="228">
        <v>37.799999999999997</v>
      </c>
      <c r="AI202" s="228">
        <v>-6.1</v>
      </c>
      <c r="AJ202" s="229">
        <v>7.1000000000000004E-3</v>
      </c>
      <c r="AK202" s="228">
        <v>56.5</v>
      </c>
      <c r="AL202" s="228">
        <v>61.8</v>
      </c>
      <c r="AM202" s="228">
        <v>-5.3</v>
      </c>
      <c r="AN202" s="229">
        <v>1.2699999999999999E-2</v>
      </c>
      <c r="AO202" s="231">
        <v>4461.3999999999996</v>
      </c>
      <c r="AP202" s="231">
        <v>4490.1400000000003</v>
      </c>
      <c r="AQ202" s="228">
        <v>0</v>
      </c>
      <c r="AR202" s="230">
        <v>840350</v>
      </c>
      <c r="AS202" s="230">
        <v>3242925</v>
      </c>
      <c r="AT202" s="230">
        <v>-2402575</v>
      </c>
      <c r="AU202" s="229">
        <v>-0.7409</v>
      </c>
      <c r="AV202" s="230">
        <v>766500</v>
      </c>
      <c r="AW202" s="230">
        <v>3059000</v>
      </c>
      <c r="AX202" s="230">
        <v>-2292500</v>
      </c>
      <c r="AY202" s="229">
        <v>-0.74939999999999996</v>
      </c>
      <c r="AZ202" s="230">
        <v>67725</v>
      </c>
      <c r="BA202" s="230">
        <v>166950</v>
      </c>
      <c r="BB202" s="230">
        <v>-99225</v>
      </c>
      <c r="BC202" s="229">
        <v>-0.59430000000000005</v>
      </c>
      <c r="BD202" s="230">
        <v>6125</v>
      </c>
      <c r="BE202" s="230">
        <v>16975</v>
      </c>
      <c r="BF202" s="230">
        <v>-10850</v>
      </c>
      <c r="BG202" s="229">
        <v>-0.63919999999999999</v>
      </c>
      <c r="BH202" s="230">
        <v>3424575</v>
      </c>
      <c r="BI202" s="230">
        <v>13464500</v>
      </c>
      <c r="BJ202" s="230">
        <v>-10039925</v>
      </c>
      <c r="BK202" s="229">
        <v>-0.74570000000000003</v>
      </c>
      <c r="BL202" s="230">
        <v>2840250</v>
      </c>
      <c r="BM202" s="230">
        <v>7205625</v>
      </c>
      <c r="BN202" s="230">
        <v>-4365375</v>
      </c>
      <c r="BO202" s="229">
        <v>-0.60580000000000001</v>
      </c>
      <c r="BP202" s="230">
        <v>7105175</v>
      </c>
      <c r="BQ202" s="230">
        <v>23913050</v>
      </c>
      <c r="BR202" s="230">
        <v>-16807875</v>
      </c>
      <c r="BS202" s="229">
        <v>-0.70289999999999997</v>
      </c>
      <c r="BT202" s="230">
        <v>1467417</v>
      </c>
      <c r="BU202" s="230">
        <v>4096058</v>
      </c>
      <c r="BV202" s="230">
        <v>-2628641</v>
      </c>
      <c r="BW202" s="229">
        <v>-0.64170000000000005</v>
      </c>
      <c r="BX202" s="230">
        <v>9811375</v>
      </c>
      <c r="BY202" s="230">
        <v>9840250</v>
      </c>
      <c r="BZ202" s="230">
        <v>-28875</v>
      </c>
      <c r="CA202" s="229">
        <v>-2.8999999999999998E-3</v>
      </c>
      <c r="CB202" s="230">
        <v>9430575</v>
      </c>
      <c r="CC202" s="230">
        <v>9483425</v>
      </c>
      <c r="CD202" s="230">
        <v>-52850</v>
      </c>
      <c r="CE202" s="229">
        <v>-5.5999999999999999E-3</v>
      </c>
      <c r="CF202" s="230">
        <v>339150</v>
      </c>
      <c r="CG202" s="230">
        <v>317275</v>
      </c>
      <c r="CH202" s="230">
        <v>21875</v>
      </c>
      <c r="CI202" s="229">
        <v>6.8900000000000003E-2</v>
      </c>
      <c r="CJ202" s="230">
        <v>41650</v>
      </c>
      <c r="CK202" s="230">
        <v>39550</v>
      </c>
      <c r="CL202" s="230">
        <v>2100</v>
      </c>
      <c r="CM202" s="229">
        <v>5.3100000000000001E-2</v>
      </c>
      <c r="CN202" s="230">
        <v>3281600</v>
      </c>
      <c r="CO202" s="230">
        <v>3285100</v>
      </c>
      <c r="CP202" s="230">
        <v>-3500</v>
      </c>
      <c r="CQ202" s="229">
        <v>-1.1000000000000001E-3</v>
      </c>
      <c r="CR202" s="230">
        <v>2435650</v>
      </c>
      <c r="CS202" s="230">
        <v>2569875</v>
      </c>
      <c r="CT202" s="230">
        <v>-134225</v>
      </c>
      <c r="CU202" s="229">
        <v>-5.2200000000000003E-2</v>
      </c>
      <c r="CV202" s="230">
        <v>15528625</v>
      </c>
      <c r="CW202" s="230">
        <v>15695225</v>
      </c>
      <c r="CX202" s="230">
        <v>-166600</v>
      </c>
      <c r="CY202" s="229">
        <v>-1.06E-2</v>
      </c>
      <c r="CZ202" s="228">
        <v>25.97</v>
      </c>
      <c r="DA202" s="228">
        <v>27.52</v>
      </c>
      <c r="DB202" s="228">
        <v>-1.55</v>
      </c>
      <c r="DC202" s="228">
        <v>-1.55</v>
      </c>
      <c r="DD202" s="228">
        <v>27.94</v>
      </c>
      <c r="DE202" s="228">
        <v>27.97</v>
      </c>
      <c r="DF202" s="228">
        <v>-1.97</v>
      </c>
      <c r="DG202" s="228">
        <v>-0.03</v>
      </c>
      <c r="DH202" s="228">
        <v>24.49</v>
      </c>
      <c r="DI202" s="228">
        <v>26.1</v>
      </c>
      <c r="DJ202" s="228">
        <v>-1.61</v>
      </c>
      <c r="DK202" s="228">
        <v>-1.61</v>
      </c>
      <c r="DL202" s="228">
        <v>27.75</v>
      </c>
      <c r="DM202" s="228">
        <v>30.17</v>
      </c>
      <c r="DN202" s="228">
        <v>-2.42</v>
      </c>
      <c r="DO202" s="228">
        <v>-2.42</v>
      </c>
      <c r="DP202" s="228">
        <v>0.74</v>
      </c>
      <c r="DQ202" s="228">
        <v>0.78</v>
      </c>
      <c r="DR202" s="228">
        <v>-0.04</v>
      </c>
      <c r="DS202" s="229">
        <v>-5.1299999999999998E-2</v>
      </c>
      <c r="DT202" s="231">
        <v>4200</v>
      </c>
      <c r="DU202" s="231">
        <v>4200</v>
      </c>
      <c r="DV202" s="228">
        <v>0.83</v>
      </c>
      <c r="DW202" s="228">
        <v>0.54</v>
      </c>
      <c r="DX202" s="228">
        <v>0.28999999999999998</v>
      </c>
      <c r="DY202" s="229">
        <v>0.53700000000000003</v>
      </c>
      <c r="DZ202" s="229">
        <v>3.8800000000000001E-2</v>
      </c>
      <c r="EA202" s="230">
        <v>356825</v>
      </c>
      <c r="EB202" s="229">
        <v>4.8999999999999998E-3</v>
      </c>
      <c r="EC202" s="229">
        <v>3.8800000000000001E-2</v>
      </c>
      <c r="ED202" s="228">
        <v>28.74</v>
      </c>
      <c r="EE202" s="229">
        <v>6.4000000000000003E-3</v>
      </c>
      <c r="EF202" s="230">
        <v>897897</v>
      </c>
      <c r="EG202" s="230">
        <v>2303570</v>
      </c>
      <c r="EH202" s="229">
        <v>-0.61019999999999996</v>
      </c>
      <c r="EI202" s="229">
        <v>0.6119</v>
      </c>
      <c r="EJ202" s="231">
        <v>159124.26</v>
      </c>
      <c r="EK202" s="231">
        <v>123322.11</v>
      </c>
      <c r="EL202" s="231">
        <v>37514.14</v>
      </c>
      <c r="EM202" s="231">
        <v>10882</v>
      </c>
      <c r="EN202" s="231">
        <v>319960.51</v>
      </c>
      <c r="EO202" s="231">
        <v>1072858.6100000001</v>
      </c>
      <c r="EP202" s="231">
        <v>-752898.1</v>
      </c>
      <c r="EQ202" s="229">
        <v>-0.70179999999999998</v>
      </c>
      <c r="ER202" s="231">
        <v>143681</v>
      </c>
      <c r="ES202" s="231">
        <v>99684</v>
      </c>
      <c r="ET202" s="231">
        <v>436670</v>
      </c>
      <c r="EU202" s="231">
        <v>41744334</v>
      </c>
      <c r="EV202" s="231">
        <v>680036</v>
      </c>
      <c r="EW202" s="231">
        <v>691459</v>
      </c>
      <c r="EX202" s="231">
        <v>-11423</v>
      </c>
      <c r="EY202" s="229">
        <v>-1.6500000000000001E-2</v>
      </c>
      <c r="EZ202" s="229">
        <v>0.372</v>
      </c>
      <c r="FA202" s="227" t="s">
        <v>567</v>
      </c>
      <c r="FB202" s="161">
        <f t="shared" si="5"/>
        <v>0</v>
      </c>
    </row>
    <row r="203" spans="1:158" ht="17.25" thickBot="1" x14ac:dyDescent="0.3">
      <c r="A203" s="226">
        <v>46121</v>
      </c>
      <c r="B203" s="227" t="s">
        <v>162</v>
      </c>
      <c r="C203" s="227" t="s">
        <v>687</v>
      </c>
      <c r="D203" s="228">
        <v>800</v>
      </c>
      <c r="E203" s="228">
        <v>333.9</v>
      </c>
      <c r="F203" s="228">
        <v>336.3</v>
      </c>
      <c r="G203" s="228">
        <v>-2.4</v>
      </c>
      <c r="H203" s="229">
        <v>-7.1000000000000004E-3</v>
      </c>
      <c r="I203" s="228">
        <v>333.25</v>
      </c>
      <c r="J203" s="228">
        <v>334.75</v>
      </c>
      <c r="K203" s="228">
        <v>-1.5</v>
      </c>
      <c r="L203" s="229">
        <v>-4.4999999999999997E-3</v>
      </c>
      <c r="M203" s="228">
        <v>333.9</v>
      </c>
      <c r="N203" s="228">
        <v>336.3</v>
      </c>
      <c r="O203" s="228">
        <v>-2.4</v>
      </c>
      <c r="P203" s="229">
        <v>-7.1000000000000004E-3</v>
      </c>
      <c r="Q203" s="228">
        <v>335.5</v>
      </c>
      <c r="R203" s="228">
        <v>338.25</v>
      </c>
      <c r="S203" s="228">
        <v>-2.75</v>
      </c>
      <c r="T203" s="229">
        <v>-8.0999999999999996E-3</v>
      </c>
      <c r="U203" s="228">
        <v>335.1</v>
      </c>
      <c r="V203" s="228">
        <v>338.55</v>
      </c>
      <c r="W203" s="228">
        <v>-3.45</v>
      </c>
      <c r="X203" s="229">
        <v>-1.0200000000000001E-2</v>
      </c>
      <c r="Y203" s="228">
        <v>0.65</v>
      </c>
      <c r="Z203" s="228">
        <v>1.55</v>
      </c>
      <c r="AA203" s="228">
        <v>-0.9</v>
      </c>
      <c r="AB203" s="229">
        <v>2E-3</v>
      </c>
      <c r="AC203" s="228">
        <v>0.65</v>
      </c>
      <c r="AD203" s="228">
        <v>1.55</v>
      </c>
      <c r="AE203" s="228">
        <v>-0.9</v>
      </c>
      <c r="AF203" s="229">
        <v>2E-3</v>
      </c>
      <c r="AG203" s="228">
        <v>2.25</v>
      </c>
      <c r="AH203" s="228">
        <v>3.5</v>
      </c>
      <c r="AI203" s="228">
        <v>-1.25</v>
      </c>
      <c r="AJ203" s="229">
        <v>6.7999999999999996E-3</v>
      </c>
      <c r="AK203" s="228">
        <v>1.85</v>
      </c>
      <c r="AL203" s="228">
        <v>3.8</v>
      </c>
      <c r="AM203" s="228">
        <v>-1.95</v>
      </c>
      <c r="AN203" s="229">
        <v>5.5999999999999999E-3</v>
      </c>
      <c r="AO203" s="228">
        <v>335.89</v>
      </c>
      <c r="AP203" s="228">
        <v>337.61</v>
      </c>
      <c r="AQ203" s="228">
        <v>0</v>
      </c>
      <c r="AR203" s="230">
        <v>10782400</v>
      </c>
      <c r="AS203" s="230">
        <v>20727200</v>
      </c>
      <c r="AT203" s="230">
        <v>-9944800</v>
      </c>
      <c r="AU203" s="229">
        <v>-0.4798</v>
      </c>
      <c r="AV203" s="230">
        <v>9042400</v>
      </c>
      <c r="AW203" s="230">
        <v>18644800</v>
      </c>
      <c r="AX203" s="230">
        <v>-9602400</v>
      </c>
      <c r="AY203" s="229">
        <v>-0.51500000000000001</v>
      </c>
      <c r="AZ203" s="230">
        <v>1112000</v>
      </c>
      <c r="BA203" s="230">
        <v>1712000</v>
      </c>
      <c r="BB203" s="230">
        <v>-600000</v>
      </c>
      <c r="BC203" s="229">
        <v>-0.35049999999999998</v>
      </c>
      <c r="BD203" s="230">
        <v>628000</v>
      </c>
      <c r="BE203" s="230">
        <v>370400</v>
      </c>
      <c r="BF203" s="230">
        <v>257600</v>
      </c>
      <c r="BG203" s="229">
        <v>0.69550000000000001</v>
      </c>
      <c r="BH203" s="230">
        <v>33182400</v>
      </c>
      <c r="BI203" s="230">
        <v>72004800</v>
      </c>
      <c r="BJ203" s="230">
        <v>-38822400</v>
      </c>
      <c r="BK203" s="229">
        <v>-0.53920000000000001</v>
      </c>
      <c r="BL203" s="230">
        <v>21393600</v>
      </c>
      <c r="BM203" s="230">
        <v>39874400</v>
      </c>
      <c r="BN203" s="230">
        <v>-18480800</v>
      </c>
      <c r="BO203" s="229">
        <v>-0.46350000000000002</v>
      </c>
      <c r="BP203" s="230">
        <v>65358400</v>
      </c>
      <c r="BQ203" s="230">
        <v>132606400</v>
      </c>
      <c r="BR203" s="230">
        <v>-67248000</v>
      </c>
      <c r="BS203" s="229">
        <v>-0.5071</v>
      </c>
      <c r="BT203" s="230">
        <v>11110200</v>
      </c>
      <c r="BU203" s="230">
        <v>20930060</v>
      </c>
      <c r="BV203" s="230">
        <v>-9819860</v>
      </c>
      <c r="BW203" s="229">
        <v>-0.46920000000000001</v>
      </c>
      <c r="BX203" s="230">
        <v>59316000</v>
      </c>
      <c r="BY203" s="230">
        <v>59612000</v>
      </c>
      <c r="BZ203" s="230">
        <v>-296000</v>
      </c>
      <c r="CA203" s="229">
        <v>-5.0000000000000001E-3</v>
      </c>
      <c r="CB203" s="230">
        <v>54549600</v>
      </c>
      <c r="CC203" s="230">
        <v>55137600</v>
      </c>
      <c r="CD203" s="230">
        <v>-588000</v>
      </c>
      <c r="CE203" s="229">
        <v>-1.0699999999999999E-2</v>
      </c>
      <c r="CF203" s="230">
        <v>4072000</v>
      </c>
      <c r="CG203" s="230">
        <v>4001600</v>
      </c>
      <c r="CH203" s="230">
        <v>70400</v>
      </c>
      <c r="CI203" s="229">
        <v>1.7600000000000001E-2</v>
      </c>
      <c r="CJ203" s="230">
        <v>694400</v>
      </c>
      <c r="CK203" s="230">
        <v>472800</v>
      </c>
      <c r="CL203" s="230">
        <v>221600</v>
      </c>
      <c r="CM203" s="229">
        <v>0.46870000000000001</v>
      </c>
      <c r="CN203" s="230">
        <v>27486400</v>
      </c>
      <c r="CO203" s="230">
        <v>24942400</v>
      </c>
      <c r="CP203" s="230">
        <v>2544000</v>
      </c>
      <c r="CQ203" s="229">
        <v>0.10199999999999999</v>
      </c>
      <c r="CR203" s="230">
        <v>22145600</v>
      </c>
      <c r="CS203" s="230">
        <v>22303200</v>
      </c>
      <c r="CT203" s="230">
        <v>-157600</v>
      </c>
      <c r="CU203" s="229">
        <v>-7.1000000000000004E-3</v>
      </c>
      <c r="CV203" s="230">
        <v>108948000</v>
      </c>
      <c r="CW203" s="230">
        <v>106857600</v>
      </c>
      <c r="CX203" s="230">
        <v>2090400</v>
      </c>
      <c r="CY203" s="229">
        <v>1.9599999999999999E-2</v>
      </c>
      <c r="CZ203" s="228">
        <v>36.28</v>
      </c>
      <c r="DA203" s="228">
        <v>37.68</v>
      </c>
      <c r="DB203" s="228">
        <v>-1.4</v>
      </c>
      <c r="DC203" s="228">
        <v>-1.4</v>
      </c>
      <c r="DD203" s="228">
        <v>38.21</v>
      </c>
      <c r="DE203" s="228">
        <v>38.29</v>
      </c>
      <c r="DF203" s="228">
        <v>-1.93</v>
      </c>
      <c r="DG203" s="228">
        <v>-0.08</v>
      </c>
      <c r="DH203" s="228">
        <v>34.92</v>
      </c>
      <c r="DI203" s="228">
        <v>36.090000000000003</v>
      </c>
      <c r="DJ203" s="228">
        <v>-1.17</v>
      </c>
      <c r="DK203" s="228">
        <v>-1.17</v>
      </c>
      <c r="DL203" s="228">
        <v>38.4</v>
      </c>
      <c r="DM203" s="228">
        <v>40.549999999999997</v>
      </c>
      <c r="DN203" s="228">
        <v>-2.15</v>
      </c>
      <c r="DO203" s="228">
        <v>-2.15</v>
      </c>
      <c r="DP203" s="228">
        <v>0.81</v>
      </c>
      <c r="DQ203" s="228">
        <v>0.89</v>
      </c>
      <c r="DR203" s="228">
        <v>-0.08</v>
      </c>
      <c r="DS203" s="229">
        <v>-8.9899999999999994E-2</v>
      </c>
      <c r="DT203" s="228">
        <v>380</v>
      </c>
      <c r="DU203" s="228">
        <v>300</v>
      </c>
      <c r="DV203" s="228">
        <v>0.64</v>
      </c>
      <c r="DW203" s="228">
        <v>0.55000000000000004</v>
      </c>
      <c r="DX203" s="228">
        <v>0.09</v>
      </c>
      <c r="DY203" s="229">
        <v>0.1636</v>
      </c>
      <c r="DZ203" s="229">
        <v>8.0399999999999999E-2</v>
      </c>
      <c r="EA203" s="230">
        <v>4474400</v>
      </c>
      <c r="EB203" s="229">
        <v>4.7999999999999996E-3</v>
      </c>
      <c r="EC203" s="229">
        <v>8.0399999999999999E-2</v>
      </c>
      <c r="ED203" s="228">
        <v>1.72</v>
      </c>
      <c r="EE203" s="229">
        <v>5.1000000000000004E-3</v>
      </c>
      <c r="EF203" s="230">
        <v>4985840</v>
      </c>
      <c r="EG203" s="230">
        <v>8143895</v>
      </c>
      <c r="EH203" s="229">
        <v>-0.38779999999999998</v>
      </c>
      <c r="EI203" s="229">
        <v>0.44879999999999998</v>
      </c>
      <c r="EJ203" s="231">
        <v>119090.77</v>
      </c>
      <c r="EK203" s="231">
        <v>69833.34</v>
      </c>
      <c r="EL203" s="231">
        <v>36246.239999999998</v>
      </c>
      <c r="EM203" s="231">
        <v>15595</v>
      </c>
      <c r="EN203" s="231">
        <v>225170.35</v>
      </c>
      <c r="EO203" s="231">
        <v>450774.07</v>
      </c>
      <c r="EP203" s="231">
        <v>-225603.72</v>
      </c>
      <c r="EQ203" s="229">
        <v>-0.50049999999999994</v>
      </c>
      <c r="ER203" s="231">
        <v>95245</v>
      </c>
      <c r="ES203" s="231">
        <v>70769</v>
      </c>
      <c r="ET203" s="231">
        <v>198130</v>
      </c>
      <c r="EU203" s="231">
        <v>317244234</v>
      </c>
      <c r="EV203" s="231">
        <v>364144</v>
      </c>
      <c r="EW203" s="231">
        <v>357908</v>
      </c>
      <c r="EX203" s="231">
        <v>6236</v>
      </c>
      <c r="EY203" s="229">
        <v>1.7399999999999999E-2</v>
      </c>
      <c r="EZ203" s="229">
        <v>0.34339999999999998</v>
      </c>
      <c r="FA203" s="227" t="s">
        <v>567</v>
      </c>
      <c r="FB203" s="161">
        <f t="shared" si="5"/>
        <v>0</v>
      </c>
    </row>
    <row r="204" spans="1:158" ht="17.25" thickBot="1" x14ac:dyDescent="0.3">
      <c r="A204" s="226">
        <v>46121</v>
      </c>
      <c r="B204" s="227" t="s">
        <v>170</v>
      </c>
      <c r="C204" s="227" t="s">
        <v>298</v>
      </c>
      <c r="D204" s="228">
        <v>250</v>
      </c>
      <c r="E204" s="231">
        <v>4104.7</v>
      </c>
      <c r="F204" s="231">
        <v>4046.1</v>
      </c>
      <c r="G204" s="228">
        <v>58.6</v>
      </c>
      <c r="H204" s="229">
        <v>1.4500000000000001E-2</v>
      </c>
      <c r="I204" s="231">
        <v>4094.5</v>
      </c>
      <c r="J204" s="231">
        <v>4029.2</v>
      </c>
      <c r="K204" s="228">
        <v>65.3</v>
      </c>
      <c r="L204" s="229">
        <v>1.6199999999999999E-2</v>
      </c>
      <c r="M204" s="231">
        <v>4104.7</v>
      </c>
      <c r="N204" s="231">
        <v>4046.1</v>
      </c>
      <c r="O204" s="228">
        <v>58.6</v>
      </c>
      <c r="P204" s="229">
        <v>1.4500000000000001E-2</v>
      </c>
      <c r="Q204" s="231">
        <v>4112.8999999999996</v>
      </c>
      <c r="R204" s="231">
        <v>4065.4</v>
      </c>
      <c r="S204" s="228">
        <v>47.5</v>
      </c>
      <c r="T204" s="229">
        <v>1.17E-2</v>
      </c>
      <c r="U204" s="231">
        <v>4125</v>
      </c>
      <c r="V204" s="231">
        <v>4000</v>
      </c>
      <c r="W204" s="228">
        <v>125</v>
      </c>
      <c r="X204" s="229">
        <v>3.1300000000000001E-2</v>
      </c>
      <c r="Y204" s="228">
        <v>10.199999999999999</v>
      </c>
      <c r="Z204" s="228">
        <v>16.899999999999999</v>
      </c>
      <c r="AA204" s="228">
        <v>-6.7</v>
      </c>
      <c r="AB204" s="229">
        <v>2.5000000000000001E-3</v>
      </c>
      <c r="AC204" s="228">
        <v>10.199999999999999</v>
      </c>
      <c r="AD204" s="228">
        <v>16.899999999999999</v>
      </c>
      <c r="AE204" s="228">
        <v>-6.7</v>
      </c>
      <c r="AF204" s="229">
        <v>2.5000000000000001E-3</v>
      </c>
      <c r="AG204" s="228">
        <v>18.399999999999999</v>
      </c>
      <c r="AH204" s="228">
        <v>36.200000000000003</v>
      </c>
      <c r="AI204" s="228">
        <v>-17.8</v>
      </c>
      <c r="AJ204" s="229">
        <v>4.4999999999999997E-3</v>
      </c>
      <c r="AK204" s="228">
        <v>30.5</v>
      </c>
      <c r="AL204" s="228">
        <v>-29.2</v>
      </c>
      <c r="AM204" s="228">
        <v>59.7</v>
      </c>
      <c r="AN204" s="229">
        <v>7.4000000000000003E-3</v>
      </c>
      <c r="AO204" s="231">
        <v>4091.61</v>
      </c>
      <c r="AP204" s="231">
        <v>4110.4399999999996</v>
      </c>
      <c r="AQ204" s="228">
        <v>0</v>
      </c>
      <c r="AR204" s="230">
        <v>449000</v>
      </c>
      <c r="AS204" s="230">
        <v>549250</v>
      </c>
      <c r="AT204" s="230">
        <v>-100250</v>
      </c>
      <c r="AU204" s="229">
        <v>-0.1825</v>
      </c>
      <c r="AV204" s="230">
        <v>439750</v>
      </c>
      <c r="AW204" s="230">
        <v>536250</v>
      </c>
      <c r="AX204" s="230">
        <v>-96500</v>
      </c>
      <c r="AY204" s="229">
        <v>-0.18</v>
      </c>
      <c r="AZ204" s="230">
        <v>9000</v>
      </c>
      <c r="BA204" s="230">
        <v>13000</v>
      </c>
      <c r="BB204" s="230">
        <v>-4000</v>
      </c>
      <c r="BC204" s="229">
        <v>-0.30769999999999997</v>
      </c>
      <c r="BD204" s="228">
        <v>250</v>
      </c>
      <c r="BE204" s="228">
        <v>0</v>
      </c>
      <c r="BF204" s="228">
        <v>250</v>
      </c>
      <c r="BG204" s="229">
        <v>0</v>
      </c>
      <c r="BH204" s="230">
        <v>1554000</v>
      </c>
      <c r="BI204" s="230">
        <v>774250</v>
      </c>
      <c r="BJ204" s="230">
        <v>779750</v>
      </c>
      <c r="BK204" s="229">
        <v>1.0071000000000001</v>
      </c>
      <c r="BL204" s="230">
        <v>352750</v>
      </c>
      <c r="BM204" s="230">
        <v>348750</v>
      </c>
      <c r="BN204" s="230">
        <v>4000</v>
      </c>
      <c r="BO204" s="229">
        <v>1.15E-2</v>
      </c>
      <c r="BP204" s="230">
        <v>2355750</v>
      </c>
      <c r="BQ204" s="230">
        <v>1672250</v>
      </c>
      <c r="BR204" s="230">
        <v>683500</v>
      </c>
      <c r="BS204" s="229">
        <v>0.40870000000000001</v>
      </c>
      <c r="BT204" s="230">
        <v>366108</v>
      </c>
      <c r="BU204" s="230">
        <v>528876</v>
      </c>
      <c r="BV204" s="230">
        <v>-162768</v>
      </c>
      <c r="BW204" s="229">
        <v>-0.30780000000000002</v>
      </c>
      <c r="BX204" s="230">
        <v>3196750</v>
      </c>
      <c r="BY204" s="230">
        <v>3142250</v>
      </c>
      <c r="BZ204" s="230">
        <v>54500</v>
      </c>
      <c r="CA204" s="229">
        <v>1.7299999999999999E-2</v>
      </c>
      <c r="CB204" s="230">
        <v>3181250</v>
      </c>
      <c r="CC204" s="230">
        <v>3126500</v>
      </c>
      <c r="CD204" s="230">
        <v>54750</v>
      </c>
      <c r="CE204" s="229">
        <v>1.7500000000000002E-2</v>
      </c>
      <c r="CF204" s="230">
        <v>15000</v>
      </c>
      <c r="CG204" s="230">
        <v>15500</v>
      </c>
      <c r="CH204" s="228">
        <v>-500</v>
      </c>
      <c r="CI204" s="229">
        <v>-3.2300000000000002E-2</v>
      </c>
      <c r="CJ204" s="228">
        <v>500</v>
      </c>
      <c r="CK204" s="228">
        <v>250</v>
      </c>
      <c r="CL204" s="228">
        <v>250</v>
      </c>
      <c r="CM204" s="229">
        <v>1</v>
      </c>
      <c r="CN204" s="230">
        <v>634250</v>
      </c>
      <c r="CO204" s="230">
        <v>540250</v>
      </c>
      <c r="CP204" s="230">
        <v>94000</v>
      </c>
      <c r="CQ204" s="229">
        <v>0.17399999999999999</v>
      </c>
      <c r="CR204" s="230">
        <v>431000</v>
      </c>
      <c r="CS204" s="230">
        <v>445750</v>
      </c>
      <c r="CT204" s="230">
        <v>-14750</v>
      </c>
      <c r="CU204" s="229">
        <v>-3.3099999999999997E-2</v>
      </c>
      <c r="CV204" s="230">
        <v>4262000</v>
      </c>
      <c r="CW204" s="230">
        <v>4128250</v>
      </c>
      <c r="CX204" s="230">
        <v>133750</v>
      </c>
      <c r="CY204" s="229">
        <v>3.2399999999999998E-2</v>
      </c>
      <c r="CZ204" s="228">
        <v>26.41</v>
      </c>
      <c r="DA204" s="228">
        <v>26.78</v>
      </c>
      <c r="DB204" s="228">
        <v>-0.37</v>
      </c>
      <c r="DC204" s="228">
        <v>-0.37</v>
      </c>
      <c r="DD204" s="228">
        <v>25.63</v>
      </c>
      <c r="DE204" s="228">
        <v>25.61</v>
      </c>
      <c r="DF204" s="228">
        <v>0.78</v>
      </c>
      <c r="DG204" s="228">
        <v>0.02</v>
      </c>
      <c r="DH204" s="228">
        <v>25.97</v>
      </c>
      <c r="DI204" s="228">
        <v>26.38</v>
      </c>
      <c r="DJ204" s="228">
        <v>-0.41</v>
      </c>
      <c r="DK204" s="228">
        <v>-0.41</v>
      </c>
      <c r="DL204" s="228">
        <v>28.35</v>
      </c>
      <c r="DM204" s="228">
        <v>27.68</v>
      </c>
      <c r="DN204" s="228">
        <v>0.67</v>
      </c>
      <c r="DO204" s="228">
        <v>0.67</v>
      </c>
      <c r="DP204" s="228">
        <v>0.68</v>
      </c>
      <c r="DQ204" s="228">
        <v>0.83</v>
      </c>
      <c r="DR204" s="228">
        <v>-0.15</v>
      </c>
      <c r="DS204" s="229">
        <v>-0.1807</v>
      </c>
      <c r="DT204" s="231">
        <v>4300</v>
      </c>
      <c r="DU204" s="231">
        <v>4000</v>
      </c>
      <c r="DV204" s="228">
        <v>0.23</v>
      </c>
      <c r="DW204" s="228">
        <v>0.45</v>
      </c>
      <c r="DX204" s="228">
        <v>-0.22</v>
      </c>
      <c r="DY204" s="229">
        <v>-0.4889</v>
      </c>
      <c r="DZ204" s="229">
        <v>4.7999999999999996E-3</v>
      </c>
      <c r="EA204" s="230">
        <v>15750</v>
      </c>
      <c r="EB204" s="229">
        <v>2E-3</v>
      </c>
      <c r="EC204" s="229">
        <v>4.7999999999999996E-3</v>
      </c>
      <c r="ED204" s="228">
        <v>18.829999999999998</v>
      </c>
      <c r="EE204" s="229">
        <v>4.5999999999999999E-3</v>
      </c>
      <c r="EF204" s="230">
        <v>180396</v>
      </c>
      <c r="EG204" s="230">
        <v>323089</v>
      </c>
      <c r="EH204" s="229">
        <v>-0.44169999999999998</v>
      </c>
      <c r="EI204" s="229">
        <v>0.49270000000000003</v>
      </c>
      <c r="EJ204" s="231">
        <v>65928.289999999994</v>
      </c>
      <c r="EK204" s="231">
        <v>14070.21</v>
      </c>
      <c r="EL204" s="231">
        <v>18373.099999999999</v>
      </c>
      <c r="EM204" s="231">
        <v>2344</v>
      </c>
      <c r="EN204" s="231">
        <v>98371.6</v>
      </c>
      <c r="EO204" s="231">
        <v>69092.210000000006</v>
      </c>
      <c r="EP204" s="231">
        <v>29279.39</v>
      </c>
      <c r="EQ204" s="229">
        <v>0.42380000000000001</v>
      </c>
      <c r="ER204" s="231">
        <v>26966</v>
      </c>
      <c r="ES204" s="231">
        <v>17359</v>
      </c>
      <c r="ET204" s="231">
        <v>131218</v>
      </c>
      <c r="EU204" s="231">
        <v>10726004</v>
      </c>
      <c r="EV204" s="231">
        <v>175543</v>
      </c>
      <c r="EW204" s="231">
        <v>168142</v>
      </c>
      <c r="EX204" s="231">
        <v>7401</v>
      </c>
      <c r="EY204" s="229">
        <v>4.3999999999999997E-2</v>
      </c>
      <c r="EZ204" s="229">
        <v>0.39739999999999998</v>
      </c>
      <c r="FA204" s="227" t="s">
        <v>555</v>
      </c>
      <c r="FB204" s="161">
        <f t="shared" si="5"/>
        <v>0</v>
      </c>
    </row>
    <row r="205" spans="1:158" ht="17.25" thickBot="1" x14ac:dyDescent="0.3">
      <c r="A205" s="226">
        <v>46121</v>
      </c>
      <c r="B205" s="227" t="s">
        <v>161</v>
      </c>
      <c r="C205" s="227" t="s">
        <v>299</v>
      </c>
      <c r="D205" s="228">
        <v>425</v>
      </c>
      <c r="E205" s="231">
        <v>1454.1</v>
      </c>
      <c r="F205" s="231">
        <v>1453.6</v>
      </c>
      <c r="G205" s="228">
        <v>0.5</v>
      </c>
      <c r="H205" s="229">
        <v>2.9999999999999997E-4</v>
      </c>
      <c r="I205" s="231">
        <v>1446</v>
      </c>
      <c r="J205" s="231">
        <v>1448.4</v>
      </c>
      <c r="K205" s="228">
        <v>-2.4</v>
      </c>
      <c r="L205" s="229">
        <v>-1.6999999999999999E-3</v>
      </c>
      <c r="M205" s="231">
        <v>1454.1</v>
      </c>
      <c r="N205" s="231">
        <v>1453.6</v>
      </c>
      <c r="O205" s="228">
        <v>0.5</v>
      </c>
      <c r="P205" s="229">
        <v>2.9999999999999997E-4</v>
      </c>
      <c r="Q205" s="228">
        <v>0</v>
      </c>
      <c r="R205" s="228">
        <v>0</v>
      </c>
      <c r="S205" s="228">
        <v>0</v>
      </c>
      <c r="T205" s="229">
        <v>0</v>
      </c>
      <c r="U205" s="228">
        <v>0</v>
      </c>
      <c r="V205" s="228">
        <v>0</v>
      </c>
      <c r="W205" s="228">
        <v>0</v>
      </c>
      <c r="X205" s="229">
        <v>0</v>
      </c>
      <c r="Y205" s="228">
        <v>8.1</v>
      </c>
      <c r="Z205" s="228">
        <v>5.2</v>
      </c>
      <c r="AA205" s="228">
        <v>2.9</v>
      </c>
      <c r="AB205" s="229">
        <v>5.5999999999999999E-3</v>
      </c>
      <c r="AC205" s="228">
        <v>8.1</v>
      </c>
      <c r="AD205" s="228">
        <v>5.2</v>
      </c>
      <c r="AE205" s="228">
        <v>2.9</v>
      </c>
      <c r="AF205" s="229">
        <v>5.5999999999999999E-3</v>
      </c>
      <c r="AG205" s="228">
        <v>0</v>
      </c>
      <c r="AH205" s="228">
        <v>0</v>
      </c>
      <c r="AI205" s="228">
        <v>0</v>
      </c>
      <c r="AJ205" s="229">
        <v>0</v>
      </c>
      <c r="AK205" s="228">
        <v>0</v>
      </c>
      <c r="AL205" s="228">
        <v>0</v>
      </c>
      <c r="AM205" s="228">
        <v>0</v>
      </c>
      <c r="AN205" s="229">
        <v>0</v>
      </c>
      <c r="AO205" s="231">
        <v>1452.26</v>
      </c>
      <c r="AP205" s="228">
        <v>0</v>
      </c>
      <c r="AQ205" s="228">
        <v>0</v>
      </c>
      <c r="AR205" s="230">
        <v>567800</v>
      </c>
      <c r="AS205" s="230">
        <v>634525</v>
      </c>
      <c r="AT205" s="230">
        <v>-66725</v>
      </c>
      <c r="AU205" s="229">
        <v>-0.1052</v>
      </c>
      <c r="AV205" s="230">
        <v>567800</v>
      </c>
      <c r="AW205" s="230">
        <v>634525</v>
      </c>
      <c r="AX205" s="230">
        <v>-66725</v>
      </c>
      <c r="AY205" s="229">
        <v>-0.1052</v>
      </c>
      <c r="AZ205" s="228">
        <v>0</v>
      </c>
      <c r="BA205" s="228">
        <v>0</v>
      </c>
      <c r="BB205" s="228">
        <v>0</v>
      </c>
      <c r="BC205" s="229">
        <v>0</v>
      </c>
      <c r="BD205" s="228">
        <v>0</v>
      </c>
      <c r="BE205" s="228">
        <v>0</v>
      </c>
      <c r="BF205" s="228">
        <v>0</v>
      </c>
      <c r="BG205" s="229">
        <v>0</v>
      </c>
      <c r="BH205" s="230">
        <v>545700</v>
      </c>
      <c r="BI205" s="230">
        <v>850000</v>
      </c>
      <c r="BJ205" s="230">
        <v>-304300</v>
      </c>
      <c r="BK205" s="229">
        <v>-0.35799999999999998</v>
      </c>
      <c r="BL205" s="230">
        <v>300050</v>
      </c>
      <c r="BM205" s="230">
        <v>601800</v>
      </c>
      <c r="BN205" s="230">
        <v>-301750</v>
      </c>
      <c r="BO205" s="229">
        <v>-0.50139999999999996</v>
      </c>
      <c r="BP205" s="230">
        <v>1413550</v>
      </c>
      <c r="BQ205" s="230">
        <v>2086325</v>
      </c>
      <c r="BR205" s="230">
        <v>-672775</v>
      </c>
      <c r="BS205" s="229">
        <v>-0.32250000000000001</v>
      </c>
      <c r="BT205" s="230">
        <v>657538</v>
      </c>
      <c r="BU205" s="230">
        <v>400184</v>
      </c>
      <c r="BV205" s="230">
        <v>257354</v>
      </c>
      <c r="BW205" s="229">
        <v>0.6431</v>
      </c>
      <c r="BX205" s="230">
        <v>3517300</v>
      </c>
      <c r="BY205" s="230">
        <v>3429325</v>
      </c>
      <c r="BZ205" s="230">
        <v>87975</v>
      </c>
      <c r="CA205" s="229">
        <v>2.5700000000000001E-2</v>
      </c>
      <c r="CB205" s="230">
        <v>3517300</v>
      </c>
      <c r="CC205" s="230">
        <v>3429325</v>
      </c>
      <c r="CD205" s="230">
        <v>87975</v>
      </c>
      <c r="CE205" s="229">
        <v>2.5700000000000001E-2</v>
      </c>
      <c r="CF205" s="228">
        <v>0</v>
      </c>
      <c r="CG205" s="228">
        <v>0</v>
      </c>
      <c r="CH205" s="228">
        <v>0</v>
      </c>
      <c r="CI205" s="229">
        <v>0</v>
      </c>
      <c r="CJ205" s="228">
        <v>0</v>
      </c>
      <c r="CK205" s="228">
        <v>0</v>
      </c>
      <c r="CL205" s="228">
        <v>0</v>
      </c>
      <c r="CM205" s="229">
        <v>0</v>
      </c>
      <c r="CN205" s="230">
        <v>699550</v>
      </c>
      <c r="CO205" s="230">
        <v>645150</v>
      </c>
      <c r="CP205" s="230">
        <v>54400</v>
      </c>
      <c r="CQ205" s="229">
        <v>8.43E-2</v>
      </c>
      <c r="CR205" s="230">
        <v>638350</v>
      </c>
      <c r="CS205" s="230">
        <v>611150</v>
      </c>
      <c r="CT205" s="230">
        <v>27200</v>
      </c>
      <c r="CU205" s="229">
        <v>4.4499999999999998E-2</v>
      </c>
      <c r="CV205" s="230">
        <v>4855200</v>
      </c>
      <c r="CW205" s="230">
        <v>4685625</v>
      </c>
      <c r="CX205" s="230">
        <v>169575</v>
      </c>
      <c r="CY205" s="229">
        <v>3.6200000000000003E-2</v>
      </c>
      <c r="CZ205" s="228">
        <v>33.96</v>
      </c>
      <c r="DA205" s="228">
        <v>35.630000000000003</v>
      </c>
      <c r="DB205" s="228">
        <v>-1.67</v>
      </c>
      <c r="DC205" s="228">
        <v>-1.67</v>
      </c>
      <c r="DD205" s="228">
        <v>41.93</v>
      </c>
      <c r="DE205" s="228">
        <v>42.04</v>
      </c>
      <c r="DF205" s="228">
        <v>-7.97</v>
      </c>
      <c r="DG205" s="228">
        <v>-0.11</v>
      </c>
      <c r="DH205" s="228">
        <v>32.869999999999997</v>
      </c>
      <c r="DI205" s="228">
        <v>33.93</v>
      </c>
      <c r="DJ205" s="228">
        <v>-1.06</v>
      </c>
      <c r="DK205" s="228">
        <v>-1.06</v>
      </c>
      <c r="DL205" s="228">
        <v>35.950000000000003</v>
      </c>
      <c r="DM205" s="228">
        <v>38.03</v>
      </c>
      <c r="DN205" s="228">
        <v>-2.08</v>
      </c>
      <c r="DO205" s="228">
        <v>-2.08</v>
      </c>
      <c r="DP205" s="228">
        <v>0.91</v>
      </c>
      <c r="DQ205" s="228">
        <v>0.95</v>
      </c>
      <c r="DR205" s="228">
        <v>-0.04</v>
      </c>
      <c r="DS205" s="229">
        <v>-4.2099999999999999E-2</v>
      </c>
      <c r="DT205" s="231">
        <v>1500</v>
      </c>
      <c r="DU205" s="231">
        <v>1320</v>
      </c>
      <c r="DV205" s="228">
        <v>0.55000000000000004</v>
      </c>
      <c r="DW205" s="228">
        <v>0.71</v>
      </c>
      <c r="DX205" s="228">
        <v>-0.16</v>
      </c>
      <c r="DY205" s="229">
        <v>-0.22539999999999999</v>
      </c>
      <c r="DZ205" s="229">
        <v>0</v>
      </c>
      <c r="EA205" s="228">
        <v>0</v>
      </c>
      <c r="EB205" s="229">
        <v>0</v>
      </c>
      <c r="EC205" s="229">
        <v>0</v>
      </c>
      <c r="ED205" s="228">
        <v>0</v>
      </c>
      <c r="EE205" s="229">
        <v>0</v>
      </c>
      <c r="EF205" s="230">
        <v>347122</v>
      </c>
      <c r="EG205" s="230">
        <v>147315</v>
      </c>
      <c r="EH205" s="229">
        <v>1.3563000000000001</v>
      </c>
      <c r="EI205" s="229">
        <v>0.52790000000000004</v>
      </c>
      <c r="EJ205" s="231">
        <v>8336.48</v>
      </c>
      <c r="EK205" s="231">
        <v>4214.66</v>
      </c>
      <c r="EL205" s="231">
        <v>8245.9599999999991</v>
      </c>
      <c r="EM205" s="231">
        <v>1315</v>
      </c>
      <c r="EN205" s="231">
        <v>20797.099999999999</v>
      </c>
      <c r="EO205" s="231">
        <v>30578.74</v>
      </c>
      <c r="EP205" s="231">
        <v>-9781.64</v>
      </c>
      <c r="EQ205" s="229">
        <v>-0.31990000000000002</v>
      </c>
      <c r="ER205" s="231">
        <v>10330</v>
      </c>
      <c r="ES205" s="231">
        <v>8441</v>
      </c>
      <c r="ET205" s="231">
        <v>51145</v>
      </c>
      <c r="EU205" s="231">
        <v>24646022</v>
      </c>
      <c r="EV205" s="231">
        <v>69916</v>
      </c>
      <c r="EW205" s="231">
        <v>67350</v>
      </c>
      <c r="EX205" s="231">
        <v>2566</v>
      </c>
      <c r="EY205" s="229">
        <v>3.8100000000000002E-2</v>
      </c>
      <c r="EZ205" s="229">
        <v>0.19700000000000001</v>
      </c>
      <c r="FA205" s="227" t="s">
        <v>555</v>
      </c>
      <c r="FB205" s="161">
        <f t="shared" si="5"/>
        <v>0</v>
      </c>
    </row>
    <row r="206" spans="1:158" ht="17.25" thickBot="1" x14ac:dyDescent="0.3">
      <c r="A206" s="226">
        <v>46121</v>
      </c>
      <c r="B206" s="227" t="s">
        <v>197</v>
      </c>
      <c r="C206" s="227" t="s">
        <v>482</v>
      </c>
      <c r="D206" s="228">
        <v>100</v>
      </c>
      <c r="E206" s="231">
        <v>3853.6</v>
      </c>
      <c r="F206" s="231">
        <v>3894.6</v>
      </c>
      <c r="G206" s="228">
        <v>-41</v>
      </c>
      <c r="H206" s="229">
        <v>-1.0500000000000001E-2</v>
      </c>
      <c r="I206" s="231">
        <v>3850.7</v>
      </c>
      <c r="J206" s="231">
        <v>3905</v>
      </c>
      <c r="K206" s="228">
        <v>-54.3</v>
      </c>
      <c r="L206" s="229">
        <v>-1.3899999999999999E-2</v>
      </c>
      <c r="M206" s="231">
        <v>3853.6</v>
      </c>
      <c r="N206" s="231">
        <v>3894.6</v>
      </c>
      <c r="O206" s="228">
        <v>-41</v>
      </c>
      <c r="P206" s="229">
        <v>-1.0500000000000001E-2</v>
      </c>
      <c r="Q206" s="231">
        <v>3861.2</v>
      </c>
      <c r="R206" s="231">
        <v>3903.9</v>
      </c>
      <c r="S206" s="228">
        <v>-42.7</v>
      </c>
      <c r="T206" s="229">
        <v>-1.09E-2</v>
      </c>
      <c r="U206" s="231">
        <v>3875.7</v>
      </c>
      <c r="V206" s="231">
        <v>3916.3</v>
      </c>
      <c r="W206" s="228">
        <v>-40.6</v>
      </c>
      <c r="X206" s="229">
        <v>-1.04E-2</v>
      </c>
      <c r="Y206" s="228">
        <v>2.9</v>
      </c>
      <c r="Z206" s="228">
        <v>-10.4</v>
      </c>
      <c r="AA206" s="228">
        <v>13.3</v>
      </c>
      <c r="AB206" s="229">
        <v>8.0000000000000004E-4</v>
      </c>
      <c r="AC206" s="228">
        <v>2.9</v>
      </c>
      <c r="AD206" s="228">
        <v>-10.4</v>
      </c>
      <c r="AE206" s="228">
        <v>13.3</v>
      </c>
      <c r="AF206" s="229">
        <v>8.0000000000000004E-4</v>
      </c>
      <c r="AG206" s="228">
        <v>10.5</v>
      </c>
      <c r="AH206" s="228">
        <v>-1.1000000000000001</v>
      </c>
      <c r="AI206" s="228">
        <v>11.6</v>
      </c>
      <c r="AJ206" s="229">
        <v>2.7000000000000001E-3</v>
      </c>
      <c r="AK206" s="228">
        <v>25</v>
      </c>
      <c r="AL206" s="228">
        <v>11.3</v>
      </c>
      <c r="AM206" s="228">
        <v>13.7</v>
      </c>
      <c r="AN206" s="229">
        <v>6.4999999999999997E-3</v>
      </c>
      <c r="AO206" s="231">
        <v>3867.29</v>
      </c>
      <c r="AP206" s="231">
        <v>3869.52</v>
      </c>
      <c r="AQ206" s="228">
        <v>0</v>
      </c>
      <c r="AR206" s="230">
        <v>928400</v>
      </c>
      <c r="AS206" s="230">
        <v>1738000</v>
      </c>
      <c r="AT206" s="230">
        <v>-809600</v>
      </c>
      <c r="AU206" s="229">
        <v>-0.46579999999999999</v>
      </c>
      <c r="AV206" s="230">
        <v>810200</v>
      </c>
      <c r="AW206" s="230">
        <v>1541100</v>
      </c>
      <c r="AX206" s="230">
        <v>-730900</v>
      </c>
      <c r="AY206" s="229">
        <v>-0.4743</v>
      </c>
      <c r="AZ206" s="230">
        <v>110400</v>
      </c>
      <c r="BA206" s="230">
        <v>179300</v>
      </c>
      <c r="BB206" s="230">
        <v>-68900</v>
      </c>
      <c r="BC206" s="229">
        <v>-0.38429999999999997</v>
      </c>
      <c r="BD206" s="230">
        <v>7800</v>
      </c>
      <c r="BE206" s="230">
        <v>17600</v>
      </c>
      <c r="BF206" s="230">
        <v>-9800</v>
      </c>
      <c r="BG206" s="229">
        <v>-0.55679999999999996</v>
      </c>
      <c r="BH206" s="230">
        <v>2613800</v>
      </c>
      <c r="BI206" s="230">
        <v>6784500</v>
      </c>
      <c r="BJ206" s="230">
        <v>-4170700</v>
      </c>
      <c r="BK206" s="229">
        <v>-0.61470000000000002</v>
      </c>
      <c r="BL206" s="230">
        <v>1926800</v>
      </c>
      <c r="BM206" s="230">
        <v>3197800</v>
      </c>
      <c r="BN206" s="230">
        <v>-1271000</v>
      </c>
      <c r="BO206" s="229">
        <v>-0.39750000000000002</v>
      </c>
      <c r="BP206" s="230">
        <v>5469000</v>
      </c>
      <c r="BQ206" s="230">
        <v>11720300</v>
      </c>
      <c r="BR206" s="230">
        <v>-6251300</v>
      </c>
      <c r="BS206" s="229">
        <v>-0.53339999999999999</v>
      </c>
      <c r="BT206" s="230">
        <v>808739</v>
      </c>
      <c r="BU206" s="230">
        <v>1520388</v>
      </c>
      <c r="BV206" s="230">
        <v>-711649</v>
      </c>
      <c r="BW206" s="229">
        <v>-0.46810000000000002</v>
      </c>
      <c r="BX206" s="230">
        <v>7835400</v>
      </c>
      <c r="BY206" s="230">
        <v>7626900</v>
      </c>
      <c r="BZ206" s="230">
        <v>208500</v>
      </c>
      <c r="CA206" s="229">
        <v>2.7300000000000001E-2</v>
      </c>
      <c r="CB206" s="230">
        <v>7014600</v>
      </c>
      <c r="CC206" s="230">
        <v>6873600</v>
      </c>
      <c r="CD206" s="230">
        <v>141000</v>
      </c>
      <c r="CE206" s="229">
        <v>2.0500000000000001E-2</v>
      </c>
      <c r="CF206" s="230">
        <v>780000</v>
      </c>
      <c r="CG206" s="230">
        <v>715200</v>
      </c>
      <c r="CH206" s="230">
        <v>64800</v>
      </c>
      <c r="CI206" s="229">
        <v>9.06E-2</v>
      </c>
      <c r="CJ206" s="230">
        <v>40800</v>
      </c>
      <c r="CK206" s="230">
        <v>38100</v>
      </c>
      <c r="CL206" s="230">
        <v>2700</v>
      </c>
      <c r="CM206" s="229">
        <v>7.0900000000000005E-2</v>
      </c>
      <c r="CN206" s="230">
        <v>2397400</v>
      </c>
      <c r="CO206" s="230">
        <v>2277700</v>
      </c>
      <c r="CP206" s="230">
        <v>119700</v>
      </c>
      <c r="CQ206" s="229">
        <v>5.2600000000000001E-2</v>
      </c>
      <c r="CR206" s="230">
        <v>2141500</v>
      </c>
      <c r="CS206" s="230">
        <v>2000800</v>
      </c>
      <c r="CT206" s="230">
        <v>140700</v>
      </c>
      <c r="CU206" s="229">
        <v>7.0300000000000001E-2</v>
      </c>
      <c r="CV206" s="230">
        <v>12374300</v>
      </c>
      <c r="CW206" s="230">
        <v>11905400</v>
      </c>
      <c r="CX206" s="230">
        <v>468900</v>
      </c>
      <c r="CY206" s="229">
        <v>3.9399999999999998E-2</v>
      </c>
      <c r="CZ206" s="228">
        <v>38.799999999999997</v>
      </c>
      <c r="DA206" s="228">
        <v>38.729999999999997</v>
      </c>
      <c r="DB206" s="228">
        <v>7.0000000000000007E-2</v>
      </c>
      <c r="DC206" s="228">
        <v>7.0000000000000007E-2</v>
      </c>
      <c r="DD206" s="228">
        <v>44.31</v>
      </c>
      <c r="DE206" s="228">
        <v>44.38</v>
      </c>
      <c r="DF206" s="228">
        <v>-5.51</v>
      </c>
      <c r="DG206" s="228">
        <v>-7.0000000000000007E-2</v>
      </c>
      <c r="DH206" s="228">
        <v>38.25</v>
      </c>
      <c r="DI206" s="228">
        <v>37.82</v>
      </c>
      <c r="DJ206" s="228">
        <v>0.43</v>
      </c>
      <c r="DK206" s="228">
        <v>0.43</v>
      </c>
      <c r="DL206" s="228">
        <v>39.549999999999997</v>
      </c>
      <c r="DM206" s="228">
        <v>40.659999999999997</v>
      </c>
      <c r="DN206" s="228">
        <v>-1.1100000000000001</v>
      </c>
      <c r="DO206" s="228">
        <v>-1.1100000000000001</v>
      </c>
      <c r="DP206" s="228">
        <v>0.89</v>
      </c>
      <c r="DQ206" s="228">
        <v>0.88</v>
      </c>
      <c r="DR206" s="228">
        <v>0.01</v>
      </c>
      <c r="DS206" s="229">
        <v>1.14E-2</v>
      </c>
      <c r="DT206" s="231">
        <v>4000</v>
      </c>
      <c r="DU206" s="231">
        <v>3500</v>
      </c>
      <c r="DV206" s="228">
        <v>0.74</v>
      </c>
      <c r="DW206" s="228">
        <v>0.47</v>
      </c>
      <c r="DX206" s="228">
        <v>0.27</v>
      </c>
      <c r="DY206" s="229">
        <v>0.57450000000000001</v>
      </c>
      <c r="DZ206" s="229">
        <v>0.1048</v>
      </c>
      <c r="EA206" s="230">
        <v>753300</v>
      </c>
      <c r="EB206" s="229">
        <v>2E-3</v>
      </c>
      <c r="EC206" s="229">
        <v>0.1048</v>
      </c>
      <c r="ED206" s="228">
        <v>2.23</v>
      </c>
      <c r="EE206" s="229">
        <v>5.9999999999999995E-4</v>
      </c>
      <c r="EF206" s="230">
        <v>271523</v>
      </c>
      <c r="EG206" s="230">
        <v>512777</v>
      </c>
      <c r="EH206" s="229">
        <v>-0.47049999999999997</v>
      </c>
      <c r="EI206" s="229">
        <v>0.3357</v>
      </c>
      <c r="EJ206" s="231">
        <v>107341.99</v>
      </c>
      <c r="EK206" s="231">
        <v>72965.89</v>
      </c>
      <c r="EL206" s="231">
        <v>35907.919999999998</v>
      </c>
      <c r="EM206" s="231">
        <v>21324</v>
      </c>
      <c r="EN206" s="231">
        <v>216215.8</v>
      </c>
      <c r="EO206" s="231">
        <v>469852.04</v>
      </c>
      <c r="EP206" s="231">
        <v>-253636.24</v>
      </c>
      <c r="EQ206" s="229">
        <v>-0.53979999999999995</v>
      </c>
      <c r="ER206" s="231">
        <v>93858</v>
      </c>
      <c r="ES206" s="231">
        <v>77842</v>
      </c>
      <c r="ET206" s="231">
        <v>302013</v>
      </c>
      <c r="EU206" s="231">
        <v>33590487</v>
      </c>
      <c r="EV206" s="231">
        <v>473713</v>
      </c>
      <c r="EW206" s="231">
        <v>459005</v>
      </c>
      <c r="EX206" s="231">
        <v>14708</v>
      </c>
      <c r="EY206" s="229">
        <v>3.2000000000000001E-2</v>
      </c>
      <c r="EZ206" s="229">
        <v>0.36840000000000001</v>
      </c>
      <c r="FA206" s="227" t="s">
        <v>566</v>
      </c>
      <c r="FB206" s="161">
        <f t="shared" si="5"/>
        <v>0</v>
      </c>
    </row>
    <row r="207" spans="1:158" ht="17.25" thickBot="1" x14ac:dyDescent="0.3">
      <c r="A207" s="226">
        <v>46121</v>
      </c>
      <c r="B207" s="227" t="s">
        <v>162</v>
      </c>
      <c r="C207" s="227" t="s">
        <v>300</v>
      </c>
      <c r="D207" s="228">
        <v>175</v>
      </c>
      <c r="E207" s="231">
        <v>3738.4</v>
      </c>
      <c r="F207" s="231">
        <v>3714.5</v>
      </c>
      <c r="G207" s="228">
        <v>23.9</v>
      </c>
      <c r="H207" s="229">
        <v>6.4000000000000003E-3</v>
      </c>
      <c r="I207" s="231">
        <v>3727.1</v>
      </c>
      <c r="J207" s="231">
        <v>3701.4</v>
      </c>
      <c r="K207" s="228">
        <v>25.7</v>
      </c>
      <c r="L207" s="229">
        <v>6.8999999999999999E-3</v>
      </c>
      <c r="M207" s="231">
        <v>3738.4</v>
      </c>
      <c r="N207" s="231">
        <v>3714.5</v>
      </c>
      <c r="O207" s="228">
        <v>23.9</v>
      </c>
      <c r="P207" s="229">
        <v>6.4000000000000003E-3</v>
      </c>
      <c r="Q207" s="231">
        <v>3762.8</v>
      </c>
      <c r="R207" s="231">
        <v>3736.3</v>
      </c>
      <c r="S207" s="228">
        <v>26.5</v>
      </c>
      <c r="T207" s="229">
        <v>7.1000000000000004E-3</v>
      </c>
      <c r="U207" s="231">
        <v>3780.1</v>
      </c>
      <c r="V207" s="231">
        <v>3747.7</v>
      </c>
      <c r="W207" s="228">
        <v>32.4</v>
      </c>
      <c r="X207" s="229">
        <v>8.6E-3</v>
      </c>
      <c r="Y207" s="228">
        <v>11.3</v>
      </c>
      <c r="Z207" s="228">
        <v>13.1</v>
      </c>
      <c r="AA207" s="228">
        <v>-1.8</v>
      </c>
      <c r="AB207" s="229">
        <v>3.0000000000000001E-3</v>
      </c>
      <c r="AC207" s="228">
        <v>11.3</v>
      </c>
      <c r="AD207" s="228">
        <v>13.1</v>
      </c>
      <c r="AE207" s="228">
        <v>-1.8</v>
      </c>
      <c r="AF207" s="229">
        <v>3.0000000000000001E-3</v>
      </c>
      <c r="AG207" s="228">
        <v>35.700000000000003</v>
      </c>
      <c r="AH207" s="228">
        <v>34.9</v>
      </c>
      <c r="AI207" s="228">
        <v>0.8</v>
      </c>
      <c r="AJ207" s="229">
        <v>9.5999999999999992E-3</v>
      </c>
      <c r="AK207" s="228">
        <v>53</v>
      </c>
      <c r="AL207" s="228">
        <v>46.3</v>
      </c>
      <c r="AM207" s="228">
        <v>6.7</v>
      </c>
      <c r="AN207" s="229">
        <v>1.4200000000000001E-2</v>
      </c>
      <c r="AO207" s="231">
        <v>3736.2</v>
      </c>
      <c r="AP207" s="231">
        <v>3760.73</v>
      </c>
      <c r="AQ207" s="228">
        <v>0</v>
      </c>
      <c r="AR207" s="230">
        <v>820050</v>
      </c>
      <c r="AS207" s="230">
        <v>1186500</v>
      </c>
      <c r="AT207" s="230">
        <v>-366450</v>
      </c>
      <c r="AU207" s="229">
        <v>-0.30880000000000002</v>
      </c>
      <c r="AV207" s="230">
        <v>753550</v>
      </c>
      <c r="AW207" s="230">
        <v>1131900</v>
      </c>
      <c r="AX207" s="230">
        <v>-378350</v>
      </c>
      <c r="AY207" s="229">
        <v>-0.33429999999999999</v>
      </c>
      <c r="AZ207" s="230">
        <v>62825</v>
      </c>
      <c r="BA207" s="230">
        <v>50400</v>
      </c>
      <c r="BB207" s="230">
        <v>12425</v>
      </c>
      <c r="BC207" s="229">
        <v>0.2465</v>
      </c>
      <c r="BD207" s="230">
        <v>3675</v>
      </c>
      <c r="BE207" s="230">
        <v>4200</v>
      </c>
      <c r="BF207" s="228">
        <v>-525</v>
      </c>
      <c r="BG207" s="229">
        <v>-0.125</v>
      </c>
      <c r="BH207" s="230">
        <v>1510425</v>
      </c>
      <c r="BI207" s="230">
        <v>3125150</v>
      </c>
      <c r="BJ207" s="230">
        <v>-1614725</v>
      </c>
      <c r="BK207" s="229">
        <v>-0.51670000000000005</v>
      </c>
      <c r="BL207" s="230">
        <v>748825</v>
      </c>
      <c r="BM207" s="230">
        <v>1254400</v>
      </c>
      <c r="BN207" s="230">
        <v>-505575</v>
      </c>
      <c r="BO207" s="229">
        <v>-0.40300000000000002</v>
      </c>
      <c r="BP207" s="230">
        <v>3079300</v>
      </c>
      <c r="BQ207" s="230">
        <v>5566050</v>
      </c>
      <c r="BR207" s="230">
        <v>-2486750</v>
      </c>
      <c r="BS207" s="229">
        <v>-0.44679999999999997</v>
      </c>
      <c r="BT207" s="230">
        <v>832171</v>
      </c>
      <c r="BU207" s="230">
        <v>1627498</v>
      </c>
      <c r="BV207" s="230">
        <v>-795327</v>
      </c>
      <c r="BW207" s="229">
        <v>-0.48870000000000002</v>
      </c>
      <c r="BX207" s="230">
        <v>8487500</v>
      </c>
      <c r="BY207" s="230">
        <v>8433425</v>
      </c>
      <c r="BZ207" s="230">
        <v>54075</v>
      </c>
      <c r="CA207" s="229">
        <v>6.4000000000000003E-3</v>
      </c>
      <c r="CB207" s="230">
        <v>8347675</v>
      </c>
      <c r="CC207" s="230">
        <v>8321600</v>
      </c>
      <c r="CD207" s="230">
        <v>26075</v>
      </c>
      <c r="CE207" s="229">
        <v>3.0999999999999999E-3</v>
      </c>
      <c r="CF207" s="230">
        <v>135450</v>
      </c>
      <c r="CG207" s="230">
        <v>108325</v>
      </c>
      <c r="CH207" s="230">
        <v>27125</v>
      </c>
      <c r="CI207" s="229">
        <v>0.25040000000000001</v>
      </c>
      <c r="CJ207" s="230">
        <v>4375</v>
      </c>
      <c r="CK207" s="230">
        <v>3500</v>
      </c>
      <c r="CL207" s="228">
        <v>875</v>
      </c>
      <c r="CM207" s="229">
        <v>0.25</v>
      </c>
      <c r="CN207" s="230">
        <v>1191225</v>
      </c>
      <c r="CO207" s="230">
        <v>1105300</v>
      </c>
      <c r="CP207" s="230">
        <v>85925</v>
      </c>
      <c r="CQ207" s="229">
        <v>7.7700000000000005E-2</v>
      </c>
      <c r="CR207" s="230">
        <v>913500</v>
      </c>
      <c r="CS207" s="230">
        <v>847875</v>
      </c>
      <c r="CT207" s="230">
        <v>65625</v>
      </c>
      <c r="CU207" s="229">
        <v>7.7399999999999997E-2</v>
      </c>
      <c r="CV207" s="230">
        <v>10592225</v>
      </c>
      <c r="CW207" s="230">
        <v>10386600</v>
      </c>
      <c r="CX207" s="230">
        <v>205625</v>
      </c>
      <c r="CY207" s="229">
        <v>1.9800000000000002E-2</v>
      </c>
      <c r="CZ207" s="228">
        <v>33.1</v>
      </c>
      <c r="DA207" s="228">
        <v>32.869999999999997</v>
      </c>
      <c r="DB207" s="228">
        <v>0.23</v>
      </c>
      <c r="DC207" s="228">
        <v>0.23</v>
      </c>
      <c r="DD207" s="228">
        <v>33.47</v>
      </c>
      <c r="DE207" s="228">
        <v>33.54</v>
      </c>
      <c r="DF207" s="228">
        <v>-0.37</v>
      </c>
      <c r="DG207" s="228">
        <v>-7.0000000000000007E-2</v>
      </c>
      <c r="DH207" s="228">
        <v>31.99</v>
      </c>
      <c r="DI207" s="228">
        <v>31.58</v>
      </c>
      <c r="DJ207" s="228">
        <v>0.41</v>
      </c>
      <c r="DK207" s="228">
        <v>0.41</v>
      </c>
      <c r="DL207" s="228">
        <v>35.35</v>
      </c>
      <c r="DM207" s="228">
        <v>36.090000000000003</v>
      </c>
      <c r="DN207" s="228">
        <v>-0.74</v>
      </c>
      <c r="DO207" s="228">
        <v>-0.74</v>
      </c>
      <c r="DP207" s="228">
        <v>0.77</v>
      </c>
      <c r="DQ207" s="228">
        <v>0.77</v>
      </c>
      <c r="DR207" s="228">
        <v>0</v>
      </c>
      <c r="DS207" s="229">
        <v>0</v>
      </c>
      <c r="DT207" s="231">
        <v>4000</v>
      </c>
      <c r="DU207" s="231">
        <v>3400</v>
      </c>
      <c r="DV207" s="228">
        <v>0.5</v>
      </c>
      <c r="DW207" s="228">
        <v>0.4</v>
      </c>
      <c r="DX207" s="228">
        <v>0.1</v>
      </c>
      <c r="DY207" s="229">
        <v>0.25</v>
      </c>
      <c r="DZ207" s="229">
        <v>1.6500000000000001E-2</v>
      </c>
      <c r="EA207" s="230">
        <v>111825</v>
      </c>
      <c r="EB207" s="229">
        <v>6.4999999999999997E-3</v>
      </c>
      <c r="EC207" s="229">
        <v>1.6500000000000001E-2</v>
      </c>
      <c r="ED207" s="228">
        <v>24.53</v>
      </c>
      <c r="EE207" s="229">
        <v>6.6E-3</v>
      </c>
      <c r="EF207" s="230">
        <v>365286</v>
      </c>
      <c r="EG207" s="230">
        <v>904602</v>
      </c>
      <c r="EH207" s="229">
        <v>-0.59619999999999995</v>
      </c>
      <c r="EI207" s="229">
        <v>0.439</v>
      </c>
      <c r="EJ207" s="231">
        <v>58999.43</v>
      </c>
      <c r="EK207" s="231">
        <v>27351.13</v>
      </c>
      <c r="EL207" s="231">
        <v>30655.54</v>
      </c>
      <c r="EM207" s="231">
        <v>5569</v>
      </c>
      <c r="EN207" s="231">
        <v>117006.1</v>
      </c>
      <c r="EO207" s="231">
        <v>209080.98</v>
      </c>
      <c r="EP207" s="231">
        <v>-92074.880000000005</v>
      </c>
      <c r="EQ207" s="229">
        <v>-0.44040000000000001</v>
      </c>
      <c r="ER207" s="231">
        <v>44183</v>
      </c>
      <c r="ES207" s="231">
        <v>31553</v>
      </c>
      <c r="ET207" s="231">
        <v>317332</v>
      </c>
      <c r="EU207" s="231">
        <v>32253708</v>
      </c>
      <c r="EV207" s="231">
        <v>393068</v>
      </c>
      <c r="EW207" s="231">
        <v>382987</v>
      </c>
      <c r="EX207" s="231">
        <v>10081</v>
      </c>
      <c r="EY207" s="229">
        <v>2.63E-2</v>
      </c>
      <c r="EZ207" s="229">
        <v>0.32840000000000003</v>
      </c>
      <c r="FA207" s="227" t="s">
        <v>555</v>
      </c>
      <c r="FB207" s="161">
        <f t="shared" si="5"/>
        <v>0</v>
      </c>
    </row>
    <row r="208" spans="1:158" ht="17.25" thickBot="1" x14ac:dyDescent="0.3">
      <c r="A208" s="226">
        <v>46121</v>
      </c>
      <c r="B208" s="227" t="s">
        <v>157</v>
      </c>
      <c r="C208" s="227" t="s">
        <v>302</v>
      </c>
      <c r="D208" s="228">
        <v>50</v>
      </c>
      <c r="E208" s="231">
        <v>11468</v>
      </c>
      <c r="F208" s="231">
        <v>11625</v>
      </c>
      <c r="G208" s="228">
        <v>-157</v>
      </c>
      <c r="H208" s="229">
        <v>-1.35E-2</v>
      </c>
      <c r="I208" s="231">
        <v>11448</v>
      </c>
      <c r="J208" s="231">
        <v>11603</v>
      </c>
      <c r="K208" s="228">
        <v>-155</v>
      </c>
      <c r="L208" s="229">
        <v>-1.34E-2</v>
      </c>
      <c r="M208" s="231">
        <v>11468</v>
      </c>
      <c r="N208" s="231">
        <v>11625</v>
      </c>
      <c r="O208" s="228">
        <v>-157</v>
      </c>
      <c r="P208" s="229">
        <v>-1.35E-2</v>
      </c>
      <c r="Q208" s="231">
        <v>11534</v>
      </c>
      <c r="R208" s="231">
        <v>11706</v>
      </c>
      <c r="S208" s="228">
        <v>-172</v>
      </c>
      <c r="T208" s="229">
        <v>-1.47E-2</v>
      </c>
      <c r="U208" s="231">
        <v>11595</v>
      </c>
      <c r="V208" s="231">
        <v>11751</v>
      </c>
      <c r="W208" s="228">
        <v>-156</v>
      </c>
      <c r="X208" s="229">
        <v>-1.3299999999999999E-2</v>
      </c>
      <c r="Y208" s="228">
        <v>20</v>
      </c>
      <c r="Z208" s="228">
        <v>22</v>
      </c>
      <c r="AA208" s="228">
        <v>-2</v>
      </c>
      <c r="AB208" s="229">
        <v>1.6999999999999999E-3</v>
      </c>
      <c r="AC208" s="228">
        <v>20</v>
      </c>
      <c r="AD208" s="228">
        <v>22</v>
      </c>
      <c r="AE208" s="228">
        <v>-2</v>
      </c>
      <c r="AF208" s="229">
        <v>1.6999999999999999E-3</v>
      </c>
      <c r="AG208" s="228">
        <v>86</v>
      </c>
      <c r="AH208" s="228">
        <v>103</v>
      </c>
      <c r="AI208" s="228">
        <v>-17</v>
      </c>
      <c r="AJ208" s="229">
        <v>7.4999999999999997E-3</v>
      </c>
      <c r="AK208" s="228">
        <v>147</v>
      </c>
      <c r="AL208" s="228">
        <v>148</v>
      </c>
      <c r="AM208" s="228">
        <v>-1</v>
      </c>
      <c r="AN208" s="229">
        <v>1.2800000000000001E-2</v>
      </c>
      <c r="AO208" s="231">
        <v>11475.72</v>
      </c>
      <c r="AP208" s="231">
        <v>11544.64</v>
      </c>
      <c r="AQ208" s="228">
        <v>0</v>
      </c>
      <c r="AR208" s="230">
        <v>295000</v>
      </c>
      <c r="AS208" s="230">
        <v>566500</v>
      </c>
      <c r="AT208" s="230">
        <v>-271500</v>
      </c>
      <c r="AU208" s="229">
        <v>-0.4793</v>
      </c>
      <c r="AV208" s="230">
        <v>284550</v>
      </c>
      <c r="AW208" s="230">
        <v>540100</v>
      </c>
      <c r="AX208" s="230">
        <v>-255550</v>
      </c>
      <c r="AY208" s="229">
        <v>-0.47320000000000001</v>
      </c>
      <c r="AZ208" s="230">
        <v>9700</v>
      </c>
      <c r="BA208" s="230">
        <v>23550</v>
      </c>
      <c r="BB208" s="230">
        <v>-13850</v>
      </c>
      <c r="BC208" s="229">
        <v>-0.58809999999999996</v>
      </c>
      <c r="BD208" s="228">
        <v>750</v>
      </c>
      <c r="BE208" s="230">
        <v>2850</v>
      </c>
      <c r="BF208" s="230">
        <v>-2100</v>
      </c>
      <c r="BG208" s="229">
        <v>-0.73680000000000001</v>
      </c>
      <c r="BH208" s="230">
        <v>513800</v>
      </c>
      <c r="BI208" s="230">
        <v>1214700</v>
      </c>
      <c r="BJ208" s="230">
        <v>-700900</v>
      </c>
      <c r="BK208" s="229">
        <v>-0.57699999999999996</v>
      </c>
      <c r="BL208" s="230">
        <v>374100</v>
      </c>
      <c r="BM208" s="230">
        <v>784000</v>
      </c>
      <c r="BN208" s="230">
        <v>-409900</v>
      </c>
      <c r="BO208" s="229">
        <v>-0.52280000000000004</v>
      </c>
      <c r="BP208" s="230">
        <v>1182900</v>
      </c>
      <c r="BQ208" s="230">
        <v>2565200</v>
      </c>
      <c r="BR208" s="230">
        <v>-1382300</v>
      </c>
      <c r="BS208" s="229">
        <v>-0.53890000000000005</v>
      </c>
      <c r="BT208" s="230">
        <v>351939</v>
      </c>
      <c r="BU208" s="230">
        <v>627808</v>
      </c>
      <c r="BV208" s="230">
        <v>-275869</v>
      </c>
      <c r="BW208" s="229">
        <v>-0.43940000000000001</v>
      </c>
      <c r="BX208" s="230">
        <v>2476150</v>
      </c>
      <c r="BY208" s="230">
        <v>2431700</v>
      </c>
      <c r="BZ208" s="230">
        <v>44450</v>
      </c>
      <c r="CA208" s="229">
        <v>1.83E-2</v>
      </c>
      <c r="CB208" s="230">
        <v>2199150</v>
      </c>
      <c r="CC208" s="230">
        <v>2157850</v>
      </c>
      <c r="CD208" s="230">
        <v>41300</v>
      </c>
      <c r="CE208" s="229">
        <v>1.9099999999999999E-2</v>
      </c>
      <c r="CF208" s="230">
        <v>191800</v>
      </c>
      <c r="CG208" s="230">
        <v>189150</v>
      </c>
      <c r="CH208" s="230">
        <v>2650</v>
      </c>
      <c r="CI208" s="229">
        <v>1.4E-2</v>
      </c>
      <c r="CJ208" s="230">
        <v>85200</v>
      </c>
      <c r="CK208" s="230">
        <v>84700</v>
      </c>
      <c r="CL208" s="228">
        <v>500</v>
      </c>
      <c r="CM208" s="229">
        <v>5.8999999999999999E-3</v>
      </c>
      <c r="CN208" s="230">
        <v>451350</v>
      </c>
      <c r="CO208" s="230">
        <v>417750</v>
      </c>
      <c r="CP208" s="230">
        <v>33600</v>
      </c>
      <c r="CQ208" s="229">
        <v>8.0399999999999999E-2</v>
      </c>
      <c r="CR208" s="230">
        <v>331450</v>
      </c>
      <c r="CS208" s="230">
        <v>328900</v>
      </c>
      <c r="CT208" s="230">
        <v>2550</v>
      </c>
      <c r="CU208" s="229">
        <v>7.7999999999999996E-3</v>
      </c>
      <c r="CV208" s="230">
        <v>3258950</v>
      </c>
      <c r="CW208" s="230">
        <v>3178350</v>
      </c>
      <c r="CX208" s="230">
        <v>80600</v>
      </c>
      <c r="CY208" s="229">
        <v>2.5399999999999999E-2</v>
      </c>
      <c r="CZ208" s="228">
        <v>32.9</v>
      </c>
      <c r="DA208" s="228">
        <v>32.21</v>
      </c>
      <c r="DB208" s="228">
        <v>0.69</v>
      </c>
      <c r="DC208" s="228">
        <v>0.69</v>
      </c>
      <c r="DD208" s="228">
        <v>30.27</v>
      </c>
      <c r="DE208" s="228">
        <v>30.29</v>
      </c>
      <c r="DF208" s="228">
        <v>2.63</v>
      </c>
      <c r="DG208" s="228">
        <v>-0.02</v>
      </c>
      <c r="DH208" s="228">
        <v>30.48</v>
      </c>
      <c r="DI208" s="228">
        <v>30.48</v>
      </c>
      <c r="DJ208" s="228">
        <v>0</v>
      </c>
      <c r="DK208" s="228">
        <v>0</v>
      </c>
      <c r="DL208" s="228">
        <v>36.21</v>
      </c>
      <c r="DM208" s="228">
        <v>34.869999999999997</v>
      </c>
      <c r="DN208" s="228">
        <v>1.34</v>
      </c>
      <c r="DO208" s="228">
        <v>1.34</v>
      </c>
      <c r="DP208" s="228">
        <v>0.73</v>
      </c>
      <c r="DQ208" s="228">
        <v>0.79</v>
      </c>
      <c r="DR208" s="228">
        <v>-0.06</v>
      </c>
      <c r="DS208" s="229">
        <v>-7.5899999999999995E-2</v>
      </c>
      <c r="DT208" s="231">
        <v>12000</v>
      </c>
      <c r="DU208" s="231">
        <v>10000</v>
      </c>
      <c r="DV208" s="228">
        <v>0.73</v>
      </c>
      <c r="DW208" s="228">
        <v>0.65</v>
      </c>
      <c r="DX208" s="228">
        <v>0.08</v>
      </c>
      <c r="DY208" s="229">
        <v>0.1231</v>
      </c>
      <c r="DZ208" s="229">
        <v>0.1119</v>
      </c>
      <c r="EA208" s="230">
        <v>273850</v>
      </c>
      <c r="EB208" s="229">
        <v>5.7999999999999996E-3</v>
      </c>
      <c r="EC208" s="229">
        <v>0.1119</v>
      </c>
      <c r="ED208" s="228">
        <v>68.92</v>
      </c>
      <c r="EE208" s="229">
        <v>6.0000000000000001E-3</v>
      </c>
      <c r="EF208" s="230">
        <v>175967</v>
      </c>
      <c r="EG208" s="230">
        <v>382594</v>
      </c>
      <c r="EH208" s="229">
        <v>-0.54010000000000002</v>
      </c>
      <c r="EI208" s="229">
        <v>0.5</v>
      </c>
      <c r="EJ208" s="231">
        <v>62723.67</v>
      </c>
      <c r="EK208" s="231">
        <v>40352.76</v>
      </c>
      <c r="EL208" s="231">
        <v>33861.199999999997</v>
      </c>
      <c r="EM208" s="231">
        <v>7735</v>
      </c>
      <c r="EN208" s="231">
        <v>136937.63</v>
      </c>
      <c r="EO208" s="231">
        <v>301032.24</v>
      </c>
      <c r="EP208" s="231">
        <v>-164094.60999999999</v>
      </c>
      <c r="EQ208" s="229">
        <v>-0.54510000000000003</v>
      </c>
      <c r="ER208" s="231">
        <v>53601</v>
      </c>
      <c r="ES208" s="231">
        <v>35282</v>
      </c>
      <c r="ET208" s="231">
        <v>284200</v>
      </c>
      <c r="EU208" s="231">
        <v>12994504</v>
      </c>
      <c r="EV208" s="231">
        <v>373082</v>
      </c>
      <c r="EW208" s="231">
        <v>367526</v>
      </c>
      <c r="EX208" s="231">
        <v>5556</v>
      </c>
      <c r="EY208" s="229">
        <v>1.5100000000000001E-2</v>
      </c>
      <c r="EZ208" s="229">
        <v>0.25080000000000002</v>
      </c>
      <c r="FA208" s="227" t="s">
        <v>566</v>
      </c>
      <c r="FB208" s="161">
        <f t="shared" si="5"/>
        <v>0</v>
      </c>
    </row>
    <row r="209" spans="1:158" ht="17.25" thickBot="1" x14ac:dyDescent="0.3">
      <c r="A209" s="226">
        <v>46121</v>
      </c>
      <c r="B209" s="227" t="s">
        <v>172</v>
      </c>
      <c r="C209" s="227" t="s">
        <v>592</v>
      </c>
      <c r="D209" s="228">
        <v>4425</v>
      </c>
      <c r="E209" s="228">
        <v>184.46</v>
      </c>
      <c r="F209" s="228">
        <v>186.18</v>
      </c>
      <c r="G209" s="228">
        <v>-1.72</v>
      </c>
      <c r="H209" s="229">
        <v>-9.1999999999999998E-3</v>
      </c>
      <c r="I209" s="228">
        <v>184.69</v>
      </c>
      <c r="J209" s="228">
        <v>185.66</v>
      </c>
      <c r="K209" s="228">
        <v>-0.97</v>
      </c>
      <c r="L209" s="229">
        <v>-5.1999999999999998E-3</v>
      </c>
      <c r="M209" s="228">
        <v>184.46</v>
      </c>
      <c r="N209" s="228">
        <v>186.18</v>
      </c>
      <c r="O209" s="228">
        <v>-1.72</v>
      </c>
      <c r="P209" s="229">
        <v>-9.1999999999999998E-3</v>
      </c>
      <c r="Q209" s="228">
        <v>184.39</v>
      </c>
      <c r="R209" s="228">
        <v>186.09</v>
      </c>
      <c r="S209" s="228">
        <v>-1.7</v>
      </c>
      <c r="T209" s="229">
        <v>-9.1000000000000004E-3</v>
      </c>
      <c r="U209" s="228">
        <v>184.55</v>
      </c>
      <c r="V209" s="228">
        <v>185.94</v>
      </c>
      <c r="W209" s="228">
        <v>-1.39</v>
      </c>
      <c r="X209" s="229">
        <v>-7.4999999999999997E-3</v>
      </c>
      <c r="Y209" s="228">
        <v>-0.23</v>
      </c>
      <c r="Z209" s="228">
        <v>0.52</v>
      </c>
      <c r="AA209" s="228">
        <v>-0.75</v>
      </c>
      <c r="AB209" s="229">
        <v>-1.1999999999999999E-3</v>
      </c>
      <c r="AC209" s="228">
        <v>-0.23</v>
      </c>
      <c r="AD209" s="228">
        <v>0.52</v>
      </c>
      <c r="AE209" s="228">
        <v>-0.75</v>
      </c>
      <c r="AF209" s="229">
        <v>-1.1999999999999999E-3</v>
      </c>
      <c r="AG209" s="228">
        <v>-0.3</v>
      </c>
      <c r="AH209" s="228">
        <v>0.43</v>
      </c>
      <c r="AI209" s="228">
        <v>-0.73</v>
      </c>
      <c r="AJ209" s="229">
        <v>-1.6000000000000001E-3</v>
      </c>
      <c r="AK209" s="228">
        <v>-0.14000000000000001</v>
      </c>
      <c r="AL209" s="228">
        <v>0.28000000000000003</v>
      </c>
      <c r="AM209" s="228">
        <v>-0.42</v>
      </c>
      <c r="AN209" s="229">
        <v>-8.0000000000000004E-4</v>
      </c>
      <c r="AO209" s="228">
        <v>185.93</v>
      </c>
      <c r="AP209" s="228">
        <v>185.33</v>
      </c>
      <c r="AQ209" s="228">
        <v>0</v>
      </c>
      <c r="AR209" s="230">
        <v>23421525</v>
      </c>
      <c r="AS209" s="230">
        <v>32829075</v>
      </c>
      <c r="AT209" s="230">
        <v>-9407550</v>
      </c>
      <c r="AU209" s="229">
        <v>-0.28660000000000002</v>
      </c>
      <c r="AV209" s="230">
        <v>21412575</v>
      </c>
      <c r="AW209" s="230">
        <v>30563475</v>
      </c>
      <c r="AX209" s="230">
        <v>-9150900</v>
      </c>
      <c r="AY209" s="229">
        <v>-0.2994</v>
      </c>
      <c r="AZ209" s="230">
        <v>1876200</v>
      </c>
      <c r="BA209" s="230">
        <v>2031075</v>
      </c>
      <c r="BB209" s="230">
        <v>-154875</v>
      </c>
      <c r="BC209" s="229">
        <v>-7.6300000000000007E-2</v>
      </c>
      <c r="BD209" s="230">
        <v>132750</v>
      </c>
      <c r="BE209" s="230">
        <v>234525</v>
      </c>
      <c r="BF209" s="230">
        <v>-101775</v>
      </c>
      <c r="BG209" s="229">
        <v>-0.434</v>
      </c>
      <c r="BH209" s="230">
        <v>38789550</v>
      </c>
      <c r="BI209" s="230">
        <v>52666350</v>
      </c>
      <c r="BJ209" s="230">
        <v>-13876800</v>
      </c>
      <c r="BK209" s="229">
        <v>-0.26350000000000001</v>
      </c>
      <c r="BL209" s="230">
        <v>18239850</v>
      </c>
      <c r="BM209" s="230">
        <v>26638500</v>
      </c>
      <c r="BN209" s="230">
        <v>-8398650</v>
      </c>
      <c r="BO209" s="229">
        <v>-0.31530000000000002</v>
      </c>
      <c r="BP209" s="230">
        <v>80450925</v>
      </c>
      <c r="BQ209" s="230">
        <v>112133925</v>
      </c>
      <c r="BR209" s="230">
        <v>-31683000</v>
      </c>
      <c r="BS209" s="229">
        <v>-0.28249999999999997</v>
      </c>
      <c r="BT209" s="230">
        <v>14611039</v>
      </c>
      <c r="BU209" s="230">
        <v>21364128</v>
      </c>
      <c r="BV209" s="230">
        <v>-6753089</v>
      </c>
      <c r="BW209" s="229">
        <v>-0.31609999999999999</v>
      </c>
      <c r="BX209" s="230">
        <v>98580150</v>
      </c>
      <c r="BY209" s="230">
        <v>94000275</v>
      </c>
      <c r="BZ209" s="230">
        <v>4579875</v>
      </c>
      <c r="CA209" s="229">
        <v>4.87E-2</v>
      </c>
      <c r="CB209" s="230">
        <v>95066700</v>
      </c>
      <c r="CC209" s="230">
        <v>91022250</v>
      </c>
      <c r="CD209" s="230">
        <v>4044450</v>
      </c>
      <c r="CE209" s="229">
        <v>4.4400000000000002E-2</v>
      </c>
      <c r="CF209" s="230">
        <v>2978025</v>
      </c>
      <c r="CG209" s="230">
        <v>2513400</v>
      </c>
      <c r="CH209" s="230">
        <v>464625</v>
      </c>
      <c r="CI209" s="229">
        <v>0.18490000000000001</v>
      </c>
      <c r="CJ209" s="230">
        <v>535425</v>
      </c>
      <c r="CK209" s="230">
        <v>464625</v>
      </c>
      <c r="CL209" s="230">
        <v>70800</v>
      </c>
      <c r="CM209" s="229">
        <v>0.15240000000000001</v>
      </c>
      <c r="CN209" s="230">
        <v>26010150</v>
      </c>
      <c r="CO209" s="230">
        <v>23939250</v>
      </c>
      <c r="CP209" s="230">
        <v>2070900</v>
      </c>
      <c r="CQ209" s="229">
        <v>8.6499999999999994E-2</v>
      </c>
      <c r="CR209" s="230">
        <v>21390450</v>
      </c>
      <c r="CS209" s="230">
        <v>20788650</v>
      </c>
      <c r="CT209" s="230">
        <v>601800</v>
      </c>
      <c r="CU209" s="229">
        <v>2.8899999999999999E-2</v>
      </c>
      <c r="CV209" s="230">
        <v>145980750</v>
      </c>
      <c r="CW209" s="230">
        <v>138728175</v>
      </c>
      <c r="CX209" s="230">
        <v>7252575</v>
      </c>
      <c r="CY209" s="229">
        <v>5.2299999999999999E-2</v>
      </c>
      <c r="CZ209" s="228">
        <v>41.38</v>
      </c>
      <c r="DA209" s="228">
        <v>42</v>
      </c>
      <c r="DB209" s="228">
        <v>-0.62</v>
      </c>
      <c r="DC209" s="228">
        <v>-0.62</v>
      </c>
      <c r="DD209" s="228">
        <v>44.41</v>
      </c>
      <c r="DE209" s="228">
        <v>44.5</v>
      </c>
      <c r="DF209" s="228">
        <v>-3.03</v>
      </c>
      <c r="DG209" s="228">
        <v>-0.09</v>
      </c>
      <c r="DH209" s="228">
        <v>40.39</v>
      </c>
      <c r="DI209" s="228">
        <v>40.31</v>
      </c>
      <c r="DJ209" s="228">
        <v>0.08</v>
      </c>
      <c r="DK209" s="228">
        <v>0.08</v>
      </c>
      <c r="DL209" s="228">
        <v>43.48</v>
      </c>
      <c r="DM209" s="228">
        <v>45.33</v>
      </c>
      <c r="DN209" s="228">
        <v>-1.85</v>
      </c>
      <c r="DO209" s="228">
        <v>-1.85</v>
      </c>
      <c r="DP209" s="228">
        <v>0.82</v>
      </c>
      <c r="DQ209" s="228">
        <v>0.87</v>
      </c>
      <c r="DR209" s="228">
        <v>-0.05</v>
      </c>
      <c r="DS209" s="229">
        <v>-5.7500000000000002E-2</v>
      </c>
      <c r="DT209" s="228">
        <v>190</v>
      </c>
      <c r="DU209" s="228">
        <v>180</v>
      </c>
      <c r="DV209" s="228">
        <v>0.47</v>
      </c>
      <c r="DW209" s="228">
        <v>0.51</v>
      </c>
      <c r="DX209" s="228">
        <v>-0.04</v>
      </c>
      <c r="DY209" s="229">
        <v>-7.8399999999999997E-2</v>
      </c>
      <c r="DZ209" s="229">
        <v>3.56E-2</v>
      </c>
      <c r="EA209" s="230">
        <v>2978025</v>
      </c>
      <c r="EB209" s="229">
        <v>-4.0000000000000002E-4</v>
      </c>
      <c r="EC209" s="229">
        <v>3.56E-2</v>
      </c>
      <c r="ED209" s="228">
        <v>-0.6</v>
      </c>
      <c r="EE209" s="229">
        <v>-3.2000000000000002E-3</v>
      </c>
      <c r="EF209" s="230">
        <v>3949203</v>
      </c>
      <c r="EG209" s="230">
        <v>6707839</v>
      </c>
      <c r="EH209" s="229">
        <v>-0.4113</v>
      </c>
      <c r="EI209" s="229">
        <v>0.27029999999999998</v>
      </c>
      <c r="EJ209" s="231">
        <v>76535.31</v>
      </c>
      <c r="EK209" s="231">
        <v>33199.25</v>
      </c>
      <c r="EL209" s="231">
        <v>43538.1</v>
      </c>
      <c r="EM209" s="231">
        <v>7164</v>
      </c>
      <c r="EN209" s="231">
        <v>153272.66</v>
      </c>
      <c r="EO209" s="231">
        <v>210591.02</v>
      </c>
      <c r="EP209" s="231">
        <v>-57318.36</v>
      </c>
      <c r="EQ209" s="229">
        <v>-0.2722</v>
      </c>
      <c r="ER209" s="231">
        <v>49058</v>
      </c>
      <c r="ES209" s="231">
        <v>36832</v>
      </c>
      <c r="ET209" s="231">
        <v>181839</v>
      </c>
      <c r="EU209" s="231">
        <v>289041713</v>
      </c>
      <c r="EV209" s="231">
        <v>267730</v>
      </c>
      <c r="EW209" s="231">
        <v>255694</v>
      </c>
      <c r="EX209" s="231">
        <v>12036</v>
      </c>
      <c r="EY209" s="229">
        <v>4.7100000000000003E-2</v>
      </c>
      <c r="EZ209" s="229">
        <v>0.50509999999999999</v>
      </c>
      <c r="FA209" s="227" t="s">
        <v>566</v>
      </c>
      <c r="FB209" s="161">
        <f t="shared" si="5"/>
        <v>0</v>
      </c>
    </row>
    <row r="210" spans="1:158" ht="17.25" thickBot="1" x14ac:dyDescent="0.3">
      <c r="A210" s="226">
        <v>46121</v>
      </c>
      <c r="B210" s="227" t="s">
        <v>168</v>
      </c>
      <c r="C210" s="227" t="s">
        <v>568</v>
      </c>
      <c r="D210" s="228">
        <v>400</v>
      </c>
      <c r="E210" s="231">
        <v>1255.9000000000001</v>
      </c>
      <c r="F210" s="231">
        <v>1252.9000000000001</v>
      </c>
      <c r="G210" s="228">
        <v>3</v>
      </c>
      <c r="H210" s="229">
        <v>2.3999999999999998E-3</v>
      </c>
      <c r="I210" s="231">
        <v>1249.7</v>
      </c>
      <c r="J210" s="231">
        <v>1248.8</v>
      </c>
      <c r="K210" s="228">
        <v>0.9</v>
      </c>
      <c r="L210" s="229">
        <v>6.9999999999999999E-4</v>
      </c>
      <c r="M210" s="231">
        <v>1255.9000000000001</v>
      </c>
      <c r="N210" s="231">
        <v>1252.9000000000001</v>
      </c>
      <c r="O210" s="228">
        <v>3</v>
      </c>
      <c r="P210" s="229">
        <v>2.3999999999999998E-3</v>
      </c>
      <c r="Q210" s="231">
        <v>1263</v>
      </c>
      <c r="R210" s="231">
        <v>1261.8</v>
      </c>
      <c r="S210" s="228">
        <v>1.2</v>
      </c>
      <c r="T210" s="229">
        <v>1E-3</v>
      </c>
      <c r="U210" s="231">
        <v>1271.7</v>
      </c>
      <c r="V210" s="231">
        <v>1267.7</v>
      </c>
      <c r="W210" s="228">
        <v>4</v>
      </c>
      <c r="X210" s="229">
        <v>3.2000000000000002E-3</v>
      </c>
      <c r="Y210" s="228">
        <v>6.2</v>
      </c>
      <c r="Z210" s="228">
        <v>4.0999999999999996</v>
      </c>
      <c r="AA210" s="228">
        <v>2.1</v>
      </c>
      <c r="AB210" s="229">
        <v>5.0000000000000001E-3</v>
      </c>
      <c r="AC210" s="228">
        <v>6.2</v>
      </c>
      <c r="AD210" s="228">
        <v>4.0999999999999996</v>
      </c>
      <c r="AE210" s="228">
        <v>2.1</v>
      </c>
      <c r="AF210" s="229">
        <v>5.0000000000000001E-3</v>
      </c>
      <c r="AG210" s="228">
        <v>13.3</v>
      </c>
      <c r="AH210" s="228">
        <v>13</v>
      </c>
      <c r="AI210" s="228">
        <v>0.3</v>
      </c>
      <c r="AJ210" s="229">
        <v>1.06E-2</v>
      </c>
      <c r="AK210" s="228">
        <v>22</v>
      </c>
      <c r="AL210" s="228">
        <v>18.899999999999999</v>
      </c>
      <c r="AM210" s="228">
        <v>3.1</v>
      </c>
      <c r="AN210" s="229">
        <v>1.7600000000000001E-2</v>
      </c>
      <c r="AO210" s="231">
        <v>1253.78</v>
      </c>
      <c r="AP210" s="231">
        <v>1258.8699999999999</v>
      </c>
      <c r="AQ210" s="228">
        <v>0</v>
      </c>
      <c r="AR210" s="230">
        <v>973600</v>
      </c>
      <c r="AS210" s="230">
        <v>1156000</v>
      </c>
      <c r="AT210" s="230">
        <v>-182400</v>
      </c>
      <c r="AU210" s="229">
        <v>-0.1578</v>
      </c>
      <c r="AV210" s="230">
        <v>913600</v>
      </c>
      <c r="AW210" s="230">
        <v>1092400</v>
      </c>
      <c r="AX210" s="230">
        <v>-178800</v>
      </c>
      <c r="AY210" s="229">
        <v>-0.16370000000000001</v>
      </c>
      <c r="AZ210" s="230">
        <v>53200</v>
      </c>
      <c r="BA210" s="230">
        <v>58800</v>
      </c>
      <c r="BB210" s="230">
        <v>-5600</v>
      </c>
      <c r="BC210" s="229">
        <v>-9.5200000000000007E-2</v>
      </c>
      <c r="BD210" s="230">
        <v>6800</v>
      </c>
      <c r="BE210" s="230">
        <v>4800</v>
      </c>
      <c r="BF210" s="230">
        <v>2000</v>
      </c>
      <c r="BG210" s="229">
        <v>0.41670000000000001</v>
      </c>
      <c r="BH210" s="230">
        <v>1664400</v>
      </c>
      <c r="BI210" s="230">
        <v>2304800</v>
      </c>
      <c r="BJ210" s="230">
        <v>-640400</v>
      </c>
      <c r="BK210" s="229">
        <v>-0.27789999999999998</v>
      </c>
      <c r="BL210" s="230">
        <v>466400</v>
      </c>
      <c r="BM210" s="230">
        <v>1030000</v>
      </c>
      <c r="BN210" s="230">
        <v>-563600</v>
      </c>
      <c r="BO210" s="229">
        <v>-0.54720000000000002</v>
      </c>
      <c r="BP210" s="230">
        <v>3104400</v>
      </c>
      <c r="BQ210" s="230">
        <v>4490800</v>
      </c>
      <c r="BR210" s="230">
        <v>-1386400</v>
      </c>
      <c r="BS210" s="229">
        <v>-0.30869999999999997</v>
      </c>
      <c r="BT210" s="230">
        <v>1210668</v>
      </c>
      <c r="BU210" s="230">
        <v>777517</v>
      </c>
      <c r="BV210" s="230">
        <v>433151</v>
      </c>
      <c r="BW210" s="229">
        <v>0.55710000000000004</v>
      </c>
      <c r="BX210" s="230">
        <v>12819600</v>
      </c>
      <c r="BY210" s="230">
        <v>12527200</v>
      </c>
      <c r="BZ210" s="230">
        <v>292400</v>
      </c>
      <c r="CA210" s="229">
        <v>2.3300000000000001E-2</v>
      </c>
      <c r="CB210" s="230">
        <v>12581600</v>
      </c>
      <c r="CC210" s="230">
        <v>12314800</v>
      </c>
      <c r="CD210" s="230">
        <v>266800</v>
      </c>
      <c r="CE210" s="229">
        <v>2.1700000000000001E-2</v>
      </c>
      <c r="CF210" s="230">
        <v>225200</v>
      </c>
      <c r="CG210" s="230">
        <v>205600</v>
      </c>
      <c r="CH210" s="230">
        <v>19600</v>
      </c>
      <c r="CI210" s="229">
        <v>9.5299999999999996E-2</v>
      </c>
      <c r="CJ210" s="230">
        <v>12800</v>
      </c>
      <c r="CK210" s="230">
        <v>6800</v>
      </c>
      <c r="CL210" s="230">
        <v>6000</v>
      </c>
      <c r="CM210" s="229">
        <v>0.88239999999999996</v>
      </c>
      <c r="CN210" s="230">
        <v>3627600</v>
      </c>
      <c r="CO210" s="230">
        <v>3314800</v>
      </c>
      <c r="CP210" s="230">
        <v>312800</v>
      </c>
      <c r="CQ210" s="229">
        <v>9.4399999999999998E-2</v>
      </c>
      <c r="CR210" s="230">
        <v>2202800</v>
      </c>
      <c r="CS210" s="230">
        <v>2158400</v>
      </c>
      <c r="CT210" s="230">
        <v>44400</v>
      </c>
      <c r="CU210" s="229">
        <v>2.06E-2</v>
      </c>
      <c r="CV210" s="230">
        <v>18650000</v>
      </c>
      <c r="CW210" s="230">
        <v>18000400</v>
      </c>
      <c r="CX210" s="230">
        <v>649600</v>
      </c>
      <c r="CY210" s="229">
        <v>3.61E-2</v>
      </c>
      <c r="CZ210" s="228">
        <v>29.45</v>
      </c>
      <c r="DA210" s="228">
        <v>30.59</v>
      </c>
      <c r="DB210" s="228">
        <v>-1.1399999999999999</v>
      </c>
      <c r="DC210" s="228">
        <v>-1.1399999999999999</v>
      </c>
      <c r="DD210" s="228">
        <v>29.59</v>
      </c>
      <c r="DE210" s="228">
        <v>29.66</v>
      </c>
      <c r="DF210" s="228">
        <v>-0.14000000000000001</v>
      </c>
      <c r="DG210" s="228">
        <v>-7.0000000000000007E-2</v>
      </c>
      <c r="DH210" s="228">
        <v>29.22</v>
      </c>
      <c r="DI210" s="228">
        <v>30.46</v>
      </c>
      <c r="DJ210" s="228">
        <v>-1.24</v>
      </c>
      <c r="DK210" s="228">
        <v>-1.24</v>
      </c>
      <c r="DL210" s="228">
        <v>30.28</v>
      </c>
      <c r="DM210" s="228">
        <v>30.88</v>
      </c>
      <c r="DN210" s="228">
        <v>-0.6</v>
      </c>
      <c r="DO210" s="228">
        <v>-0.6</v>
      </c>
      <c r="DP210" s="228">
        <v>0.61</v>
      </c>
      <c r="DQ210" s="228">
        <v>0.65</v>
      </c>
      <c r="DR210" s="228">
        <v>-0.04</v>
      </c>
      <c r="DS210" s="229">
        <v>-6.1499999999999999E-2</v>
      </c>
      <c r="DT210" s="231">
        <v>1400</v>
      </c>
      <c r="DU210" s="231">
        <v>1400</v>
      </c>
      <c r="DV210" s="228">
        <v>0.28000000000000003</v>
      </c>
      <c r="DW210" s="228">
        <v>0.45</v>
      </c>
      <c r="DX210" s="228">
        <v>-0.17</v>
      </c>
      <c r="DY210" s="229">
        <v>-0.37780000000000002</v>
      </c>
      <c r="DZ210" s="229">
        <v>1.8599999999999998E-2</v>
      </c>
      <c r="EA210" s="230">
        <v>212400</v>
      </c>
      <c r="EB210" s="229">
        <v>5.7000000000000002E-3</v>
      </c>
      <c r="EC210" s="229">
        <v>1.8599999999999998E-2</v>
      </c>
      <c r="ED210" s="228">
        <v>5.09</v>
      </c>
      <c r="EE210" s="229">
        <v>4.1000000000000003E-3</v>
      </c>
      <c r="EF210" s="230">
        <v>813900</v>
      </c>
      <c r="EG210" s="230">
        <v>491978</v>
      </c>
      <c r="EH210" s="229">
        <v>0.65429999999999999</v>
      </c>
      <c r="EI210" s="229">
        <v>0.67230000000000001</v>
      </c>
      <c r="EJ210" s="231">
        <v>22000.29</v>
      </c>
      <c r="EK210" s="231">
        <v>5825.24</v>
      </c>
      <c r="EL210" s="231">
        <v>12210.38</v>
      </c>
      <c r="EM210" s="231">
        <v>2853</v>
      </c>
      <c r="EN210" s="231">
        <v>40035.910000000003</v>
      </c>
      <c r="EO210" s="231">
        <v>58447.16</v>
      </c>
      <c r="EP210" s="231">
        <v>-18411.25</v>
      </c>
      <c r="EQ210" s="229">
        <v>-0.315</v>
      </c>
      <c r="ER210" s="231">
        <v>48721</v>
      </c>
      <c r="ES210" s="231">
        <v>27969</v>
      </c>
      <c r="ET210" s="231">
        <v>161019</v>
      </c>
      <c r="EU210" s="231">
        <v>38847259</v>
      </c>
      <c r="EV210" s="231">
        <v>237710</v>
      </c>
      <c r="EW210" s="231">
        <v>229002</v>
      </c>
      <c r="EX210" s="231">
        <v>8708</v>
      </c>
      <c r="EY210" s="229">
        <v>3.7999999999999999E-2</v>
      </c>
      <c r="EZ210" s="229">
        <v>0.48010000000000003</v>
      </c>
      <c r="FA210" s="227" t="s">
        <v>555</v>
      </c>
      <c r="FB210" s="161">
        <f t="shared" si="5"/>
        <v>0</v>
      </c>
    </row>
    <row r="211" spans="1:158" ht="17.25" thickBot="1" x14ac:dyDescent="0.3">
      <c r="A211" s="226">
        <v>46121</v>
      </c>
      <c r="B211" s="227" t="s">
        <v>162</v>
      </c>
      <c r="C211" s="227" t="s">
        <v>672</v>
      </c>
      <c r="D211" s="228">
        <v>550</v>
      </c>
      <c r="E211" s="231">
        <v>1056.4000000000001</v>
      </c>
      <c r="F211" s="231">
        <v>1096.2</v>
      </c>
      <c r="G211" s="228">
        <v>-39.799999999999997</v>
      </c>
      <c r="H211" s="229">
        <v>-3.6299999999999999E-2</v>
      </c>
      <c r="I211" s="231">
        <v>1054.5999999999999</v>
      </c>
      <c r="J211" s="231">
        <v>1090.2</v>
      </c>
      <c r="K211" s="228">
        <v>-35.6</v>
      </c>
      <c r="L211" s="229">
        <v>-3.27E-2</v>
      </c>
      <c r="M211" s="231">
        <v>1056.4000000000001</v>
      </c>
      <c r="N211" s="231">
        <v>1096.2</v>
      </c>
      <c r="O211" s="228">
        <v>-39.799999999999997</v>
      </c>
      <c r="P211" s="229">
        <v>-3.6299999999999999E-2</v>
      </c>
      <c r="Q211" s="231">
        <v>1061</v>
      </c>
      <c r="R211" s="231">
        <v>1099.3</v>
      </c>
      <c r="S211" s="228">
        <v>-38.299999999999997</v>
      </c>
      <c r="T211" s="229">
        <v>-3.4799999999999998E-2</v>
      </c>
      <c r="U211" s="231">
        <v>1064</v>
      </c>
      <c r="V211" s="231">
        <v>1105.3</v>
      </c>
      <c r="W211" s="228">
        <v>-41.3</v>
      </c>
      <c r="X211" s="229">
        <v>-3.7400000000000003E-2</v>
      </c>
      <c r="Y211" s="228">
        <v>1.8</v>
      </c>
      <c r="Z211" s="228">
        <v>6</v>
      </c>
      <c r="AA211" s="228">
        <v>-4.2</v>
      </c>
      <c r="AB211" s="229">
        <v>1.6999999999999999E-3</v>
      </c>
      <c r="AC211" s="228">
        <v>1.8</v>
      </c>
      <c r="AD211" s="228">
        <v>6</v>
      </c>
      <c r="AE211" s="228">
        <v>-4.2</v>
      </c>
      <c r="AF211" s="229">
        <v>1.6999999999999999E-3</v>
      </c>
      <c r="AG211" s="228">
        <v>6.4</v>
      </c>
      <c r="AH211" s="228">
        <v>9.1</v>
      </c>
      <c r="AI211" s="228">
        <v>-2.7</v>
      </c>
      <c r="AJ211" s="229">
        <v>6.1000000000000004E-3</v>
      </c>
      <c r="AK211" s="228">
        <v>9.4</v>
      </c>
      <c r="AL211" s="228">
        <v>15.1</v>
      </c>
      <c r="AM211" s="228">
        <v>-5.7</v>
      </c>
      <c r="AN211" s="229">
        <v>8.8999999999999999E-3</v>
      </c>
      <c r="AO211" s="231">
        <v>1064.29</v>
      </c>
      <c r="AP211" s="231">
        <v>1070.8399999999999</v>
      </c>
      <c r="AQ211" s="228">
        <v>0</v>
      </c>
      <c r="AR211" s="230">
        <v>1146200</v>
      </c>
      <c r="AS211" s="230">
        <v>875600</v>
      </c>
      <c r="AT211" s="230">
        <v>270600</v>
      </c>
      <c r="AU211" s="229">
        <v>0.309</v>
      </c>
      <c r="AV211" s="230">
        <v>1114300</v>
      </c>
      <c r="AW211" s="230">
        <v>838750</v>
      </c>
      <c r="AX211" s="230">
        <v>275550</v>
      </c>
      <c r="AY211" s="229">
        <v>0.32850000000000001</v>
      </c>
      <c r="AZ211" s="230">
        <v>27500</v>
      </c>
      <c r="BA211" s="230">
        <v>34100</v>
      </c>
      <c r="BB211" s="230">
        <v>-6600</v>
      </c>
      <c r="BC211" s="229">
        <v>-0.19350000000000001</v>
      </c>
      <c r="BD211" s="230">
        <v>4400</v>
      </c>
      <c r="BE211" s="230">
        <v>2750</v>
      </c>
      <c r="BF211" s="230">
        <v>1650</v>
      </c>
      <c r="BG211" s="229">
        <v>0.6</v>
      </c>
      <c r="BH211" s="230">
        <v>985050</v>
      </c>
      <c r="BI211" s="230">
        <v>1841400</v>
      </c>
      <c r="BJ211" s="230">
        <v>-856350</v>
      </c>
      <c r="BK211" s="229">
        <v>-0.46510000000000001</v>
      </c>
      <c r="BL211" s="230">
        <v>550550</v>
      </c>
      <c r="BM211" s="230">
        <v>545600</v>
      </c>
      <c r="BN211" s="230">
        <v>4950</v>
      </c>
      <c r="BO211" s="229">
        <v>9.1000000000000004E-3</v>
      </c>
      <c r="BP211" s="230">
        <v>2681800</v>
      </c>
      <c r="BQ211" s="230">
        <v>3262600</v>
      </c>
      <c r="BR211" s="230">
        <v>-580800</v>
      </c>
      <c r="BS211" s="229">
        <v>-0.17799999999999999</v>
      </c>
      <c r="BT211" s="230">
        <v>829825</v>
      </c>
      <c r="BU211" s="230">
        <v>1436414</v>
      </c>
      <c r="BV211" s="230">
        <v>-606589</v>
      </c>
      <c r="BW211" s="229">
        <v>-0.42230000000000001</v>
      </c>
      <c r="BX211" s="230">
        <v>4982450</v>
      </c>
      <c r="BY211" s="230">
        <v>5106200</v>
      </c>
      <c r="BZ211" s="230">
        <v>-123750</v>
      </c>
      <c r="CA211" s="229">
        <v>-2.4199999999999999E-2</v>
      </c>
      <c r="CB211" s="230">
        <v>4931850</v>
      </c>
      <c r="CC211" s="230">
        <v>5065500</v>
      </c>
      <c r="CD211" s="230">
        <v>-133650</v>
      </c>
      <c r="CE211" s="229">
        <v>-2.64E-2</v>
      </c>
      <c r="CF211" s="230">
        <v>43450</v>
      </c>
      <c r="CG211" s="230">
        <v>36850</v>
      </c>
      <c r="CH211" s="230">
        <v>6600</v>
      </c>
      <c r="CI211" s="229">
        <v>0.17910000000000001</v>
      </c>
      <c r="CJ211" s="230">
        <v>7150</v>
      </c>
      <c r="CK211" s="230">
        <v>3850</v>
      </c>
      <c r="CL211" s="230">
        <v>3300</v>
      </c>
      <c r="CM211" s="229">
        <v>0.85709999999999997</v>
      </c>
      <c r="CN211" s="230">
        <v>1263900</v>
      </c>
      <c r="CO211" s="230">
        <v>1052700</v>
      </c>
      <c r="CP211" s="230">
        <v>211200</v>
      </c>
      <c r="CQ211" s="229">
        <v>0.2006</v>
      </c>
      <c r="CR211" s="230">
        <v>635250</v>
      </c>
      <c r="CS211" s="230">
        <v>521950</v>
      </c>
      <c r="CT211" s="230">
        <v>113300</v>
      </c>
      <c r="CU211" s="229">
        <v>0.21709999999999999</v>
      </c>
      <c r="CV211" s="230">
        <v>6881600</v>
      </c>
      <c r="CW211" s="230">
        <v>6680850</v>
      </c>
      <c r="CX211" s="230">
        <v>200750</v>
      </c>
      <c r="CY211" s="229">
        <v>0.03</v>
      </c>
      <c r="CZ211" s="228">
        <v>43.42</v>
      </c>
      <c r="DA211" s="228">
        <v>40.72</v>
      </c>
      <c r="DB211" s="228">
        <v>2.7</v>
      </c>
      <c r="DC211" s="228">
        <v>2.7</v>
      </c>
      <c r="DD211" s="228">
        <v>43.26</v>
      </c>
      <c r="DE211" s="228">
        <v>43.07</v>
      </c>
      <c r="DF211" s="228">
        <v>0.16</v>
      </c>
      <c r="DG211" s="228">
        <v>0.19</v>
      </c>
      <c r="DH211" s="228">
        <v>41.4</v>
      </c>
      <c r="DI211" s="228">
        <v>40.42</v>
      </c>
      <c r="DJ211" s="228">
        <v>0.98</v>
      </c>
      <c r="DK211" s="228">
        <v>0.98</v>
      </c>
      <c r="DL211" s="228">
        <v>47.03</v>
      </c>
      <c r="DM211" s="228">
        <v>41.76</v>
      </c>
      <c r="DN211" s="228">
        <v>5.27</v>
      </c>
      <c r="DO211" s="228">
        <v>5.27</v>
      </c>
      <c r="DP211" s="228">
        <v>0.5</v>
      </c>
      <c r="DQ211" s="228">
        <v>0.5</v>
      </c>
      <c r="DR211" s="228">
        <v>0</v>
      </c>
      <c r="DS211" s="229">
        <v>0</v>
      </c>
      <c r="DT211" s="231">
        <v>1300</v>
      </c>
      <c r="DU211" s="231">
        <v>1100</v>
      </c>
      <c r="DV211" s="228">
        <v>0.56000000000000005</v>
      </c>
      <c r="DW211" s="228">
        <v>0.3</v>
      </c>
      <c r="DX211" s="228">
        <v>0.26</v>
      </c>
      <c r="DY211" s="229">
        <v>0.86670000000000003</v>
      </c>
      <c r="DZ211" s="229">
        <v>1.0200000000000001E-2</v>
      </c>
      <c r="EA211" s="230">
        <v>40700</v>
      </c>
      <c r="EB211" s="229">
        <v>4.4000000000000003E-3</v>
      </c>
      <c r="EC211" s="229">
        <v>1.0200000000000001E-2</v>
      </c>
      <c r="ED211" s="228">
        <v>6.55</v>
      </c>
      <c r="EE211" s="229">
        <v>6.1999999999999998E-3</v>
      </c>
      <c r="EF211" s="230">
        <v>401565</v>
      </c>
      <c r="EG211" s="230">
        <v>808774</v>
      </c>
      <c r="EH211" s="229">
        <v>-0.50349999999999995</v>
      </c>
      <c r="EI211" s="229">
        <v>0.4839</v>
      </c>
      <c r="EJ211" s="231">
        <v>11409.17</v>
      </c>
      <c r="EK211" s="231">
        <v>5649.88</v>
      </c>
      <c r="EL211" s="231">
        <v>12201.06</v>
      </c>
      <c r="EM211" s="231">
        <v>1512</v>
      </c>
      <c r="EN211" s="231">
        <v>29260.11</v>
      </c>
      <c r="EO211" s="231">
        <v>37250.83</v>
      </c>
      <c r="EP211" s="231">
        <v>-7990.72</v>
      </c>
      <c r="EQ211" s="229">
        <v>-0.2145</v>
      </c>
      <c r="ER211" s="231">
        <v>14769</v>
      </c>
      <c r="ES211" s="231">
        <v>6624</v>
      </c>
      <c r="ET211" s="231">
        <v>52637</v>
      </c>
      <c r="EU211" s="231">
        <v>27343613</v>
      </c>
      <c r="EV211" s="231">
        <v>74030</v>
      </c>
      <c r="EW211" s="231">
        <v>73829</v>
      </c>
      <c r="EX211" s="228">
        <v>201</v>
      </c>
      <c r="EY211" s="229">
        <v>2.7000000000000001E-3</v>
      </c>
      <c r="EZ211" s="229">
        <v>0.25169999999999998</v>
      </c>
      <c r="FA211" s="227" t="s">
        <v>567</v>
      </c>
      <c r="FB211" s="161">
        <f t="shared" si="5"/>
        <v>0</v>
      </c>
    </row>
    <row r="212" spans="1:158" ht="17.25" thickBot="1" x14ac:dyDescent="0.3">
      <c r="A212" s="226">
        <v>46121</v>
      </c>
      <c r="B212" s="227" t="s">
        <v>498</v>
      </c>
      <c r="C212" s="227" t="s">
        <v>303</v>
      </c>
      <c r="D212" s="228">
        <v>1355</v>
      </c>
      <c r="E212" s="228">
        <v>645.4</v>
      </c>
      <c r="F212" s="228">
        <v>642.70000000000005</v>
      </c>
      <c r="G212" s="228">
        <v>2.7</v>
      </c>
      <c r="H212" s="229">
        <v>4.1999999999999997E-3</v>
      </c>
      <c r="I212" s="228">
        <v>642</v>
      </c>
      <c r="J212" s="228">
        <v>640.25</v>
      </c>
      <c r="K212" s="228">
        <v>1.75</v>
      </c>
      <c r="L212" s="229">
        <v>2.7000000000000001E-3</v>
      </c>
      <c r="M212" s="228">
        <v>645.4</v>
      </c>
      <c r="N212" s="228">
        <v>642.70000000000005</v>
      </c>
      <c r="O212" s="228">
        <v>2.7</v>
      </c>
      <c r="P212" s="229">
        <v>4.1999999999999997E-3</v>
      </c>
      <c r="Q212" s="228">
        <v>648.25</v>
      </c>
      <c r="R212" s="228">
        <v>644.85</v>
      </c>
      <c r="S212" s="228">
        <v>3.4</v>
      </c>
      <c r="T212" s="229">
        <v>5.3E-3</v>
      </c>
      <c r="U212" s="228">
        <v>649.9</v>
      </c>
      <c r="V212" s="228">
        <v>646.75</v>
      </c>
      <c r="W212" s="228">
        <v>3.15</v>
      </c>
      <c r="X212" s="229">
        <v>4.8999999999999998E-3</v>
      </c>
      <c r="Y212" s="228">
        <v>3.4</v>
      </c>
      <c r="Z212" s="228">
        <v>2.4500000000000002</v>
      </c>
      <c r="AA212" s="228">
        <v>0.95</v>
      </c>
      <c r="AB212" s="229">
        <v>5.3E-3</v>
      </c>
      <c r="AC212" s="228">
        <v>3.4</v>
      </c>
      <c r="AD212" s="228">
        <v>2.4500000000000002</v>
      </c>
      <c r="AE212" s="228">
        <v>0.95</v>
      </c>
      <c r="AF212" s="229">
        <v>5.3E-3</v>
      </c>
      <c r="AG212" s="228">
        <v>6.25</v>
      </c>
      <c r="AH212" s="228">
        <v>4.5999999999999996</v>
      </c>
      <c r="AI212" s="228">
        <v>1.65</v>
      </c>
      <c r="AJ212" s="229">
        <v>9.7000000000000003E-3</v>
      </c>
      <c r="AK212" s="228">
        <v>7.9</v>
      </c>
      <c r="AL212" s="228">
        <v>6.5</v>
      </c>
      <c r="AM212" s="228">
        <v>1.4</v>
      </c>
      <c r="AN212" s="229">
        <v>1.23E-2</v>
      </c>
      <c r="AO212" s="228">
        <v>646.02</v>
      </c>
      <c r="AP212" s="228">
        <v>647.04</v>
      </c>
      <c r="AQ212" s="228">
        <v>0</v>
      </c>
      <c r="AR212" s="230">
        <v>4073130</v>
      </c>
      <c r="AS212" s="230">
        <v>4627325</v>
      </c>
      <c r="AT212" s="230">
        <v>-554195</v>
      </c>
      <c r="AU212" s="229">
        <v>-0.1198</v>
      </c>
      <c r="AV212" s="230">
        <v>3636820</v>
      </c>
      <c r="AW212" s="230">
        <v>4288575</v>
      </c>
      <c r="AX212" s="230">
        <v>-651755</v>
      </c>
      <c r="AY212" s="229">
        <v>-0.152</v>
      </c>
      <c r="AZ212" s="230">
        <v>373980</v>
      </c>
      <c r="BA212" s="230">
        <v>272355</v>
      </c>
      <c r="BB212" s="230">
        <v>101625</v>
      </c>
      <c r="BC212" s="229">
        <v>0.37309999999999999</v>
      </c>
      <c r="BD212" s="230">
        <v>62330</v>
      </c>
      <c r="BE212" s="230">
        <v>66395</v>
      </c>
      <c r="BF212" s="230">
        <v>-4065</v>
      </c>
      <c r="BG212" s="229">
        <v>-6.1199999999999997E-2</v>
      </c>
      <c r="BH212" s="230">
        <v>8494495</v>
      </c>
      <c r="BI212" s="230">
        <v>12753260</v>
      </c>
      <c r="BJ212" s="230">
        <v>-4258765</v>
      </c>
      <c r="BK212" s="229">
        <v>-0.33389999999999997</v>
      </c>
      <c r="BL212" s="230">
        <v>4196435</v>
      </c>
      <c r="BM212" s="230">
        <v>5165260</v>
      </c>
      <c r="BN212" s="230">
        <v>-968825</v>
      </c>
      <c r="BO212" s="229">
        <v>-0.18759999999999999</v>
      </c>
      <c r="BP212" s="230">
        <v>16764060</v>
      </c>
      <c r="BQ212" s="230">
        <v>22545845</v>
      </c>
      <c r="BR212" s="230">
        <v>-5781785</v>
      </c>
      <c r="BS212" s="229">
        <v>-0.25640000000000002</v>
      </c>
      <c r="BT212" s="230">
        <v>2945637</v>
      </c>
      <c r="BU212" s="230">
        <v>3286736</v>
      </c>
      <c r="BV212" s="230">
        <v>-341099</v>
      </c>
      <c r="BW212" s="229">
        <v>-0.1038</v>
      </c>
      <c r="BX212" s="230">
        <v>29375045</v>
      </c>
      <c r="BY212" s="230">
        <v>28991580</v>
      </c>
      <c r="BZ212" s="230">
        <v>383465</v>
      </c>
      <c r="CA212" s="229">
        <v>1.32E-2</v>
      </c>
      <c r="CB212" s="230">
        <v>28726000</v>
      </c>
      <c r="CC212" s="230">
        <v>28318145</v>
      </c>
      <c r="CD212" s="230">
        <v>407855</v>
      </c>
      <c r="CE212" s="229">
        <v>1.44E-2</v>
      </c>
      <c r="CF212" s="230">
        <v>620590</v>
      </c>
      <c r="CG212" s="230">
        <v>626010</v>
      </c>
      <c r="CH212" s="230">
        <v>-5420</v>
      </c>
      <c r="CI212" s="229">
        <v>-8.6999999999999994E-3</v>
      </c>
      <c r="CJ212" s="230">
        <v>28455</v>
      </c>
      <c r="CK212" s="230">
        <v>47425</v>
      </c>
      <c r="CL212" s="230">
        <v>-18970</v>
      </c>
      <c r="CM212" s="229">
        <v>-0.4</v>
      </c>
      <c r="CN212" s="230">
        <v>9300720</v>
      </c>
      <c r="CO212" s="230">
        <v>9151670</v>
      </c>
      <c r="CP212" s="230">
        <v>149050</v>
      </c>
      <c r="CQ212" s="229">
        <v>1.6299999999999999E-2</v>
      </c>
      <c r="CR212" s="230">
        <v>6403730</v>
      </c>
      <c r="CS212" s="230">
        <v>6071755</v>
      </c>
      <c r="CT212" s="230">
        <v>331975</v>
      </c>
      <c r="CU212" s="229">
        <v>5.4699999999999999E-2</v>
      </c>
      <c r="CV212" s="230">
        <v>45079495</v>
      </c>
      <c r="CW212" s="230">
        <v>44215005</v>
      </c>
      <c r="CX212" s="230">
        <v>864490</v>
      </c>
      <c r="CY212" s="229">
        <v>1.9599999999999999E-2</v>
      </c>
      <c r="CZ212" s="228">
        <v>35.42</v>
      </c>
      <c r="DA212" s="228">
        <v>36.21</v>
      </c>
      <c r="DB212" s="228">
        <v>-0.79</v>
      </c>
      <c r="DC212" s="228">
        <v>-0.79</v>
      </c>
      <c r="DD212" s="228">
        <v>42.31</v>
      </c>
      <c r="DE212" s="228">
        <v>42.41</v>
      </c>
      <c r="DF212" s="228">
        <v>-6.89</v>
      </c>
      <c r="DG212" s="228">
        <v>-0.1</v>
      </c>
      <c r="DH212" s="228">
        <v>34.82</v>
      </c>
      <c r="DI212" s="228">
        <v>35.159999999999997</v>
      </c>
      <c r="DJ212" s="228">
        <v>-0.34</v>
      </c>
      <c r="DK212" s="228">
        <v>-0.34</v>
      </c>
      <c r="DL212" s="228">
        <v>36.630000000000003</v>
      </c>
      <c r="DM212" s="228">
        <v>38.799999999999997</v>
      </c>
      <c r="DN212" s="228">
        <v>-2.17</v>
      </c>
      <c r="DO212" s="228">
        <v>-2.17</v>
      </c>
      <c r="DP212" s="228">
        <v>0.69</v>
      </c>
      <c r="DQ212" s="228">
        <v>0.66</v>
      </c>
      <c r="DR212" s="228">
        <v>0.03</v>
      </c>
      <c r="DS212" s="229">
        <v>4.5499999999999999E-2</v>
      </c>
      <c r="DT212" s="228">
        <v>640</v>
      </c>
      <c r="DU212" s="228">
        <v>600</v>
      </c>
      <c r="DV212" s="228">
        <v>0.49</v>
      </c>
      <c r="DW212" s="228">
        <v>0.41</v>
      </c>
      <c r="DX212" s="228">
        <v>0.08</v>
      </c>
      <c r="DY212" s="229">
        <v>0.1951</v>
      </c>
      <c r="DZ212" s="229">
        <v>2.2100000000000002E-2</v>
      </c>
      <c r="EA212" s="230">
        <v>673435</v>
      </c>
      <c r="EB212" s="229">
        <v>4.4000000000000003E-3</v>
      </c>
      <c r="EC212" s="229">
        <v>2.2100000000000002E-2</v>
      </c>
      <c r="ED212" s="228">
        <v>1.02</v>
      </c>
      <c r="EE212" s="229">
        <v>1.6000000000000001E-3</v>
      </c>
      <c r="EF212" s="230">
        <v>1311195</v>
      </c>
      <c r="EG212" s="230">
        <v>1877625</v>
      </c>
      <c r="EH212" s="229">
        <v>-0.30170000000000002</v>
      </c>
      <c r="EI212" s="229">
        <v>0.4451</v>
      </c>
      <c r="EJ212" s="231">
        <v>57388.05</v>
      </c>
      <c r="EK212" s="231">
        <v>26872.400000000001</v>
      </c>
      <c r="EL212" s="231">
        <v>26319.01</v>
      </c>
      <c r="EM212" s="231">
        <v>2363</v>
      </c>
      <c r="EN212" s="231">
        <v>110579.46</v>
      </c>
      <c r="EO212" s="231">
        <v>146637.91</v>
      </c>
      <c r="EP212" s="231">
        <v>-36058.449999999997</v>
      </c>
      <c r="EQ212" s="229">
        <v>-0.24590000000000001</v>
      </c>
      <c r="ER212" s="231">
        <v>58949</v>
      </c>
      <c r="ES212" s="231">
        <v>38921</v>
      </c>
      <c r="ET212" s="231">
        <v>189606</v>
      </c>
      <c r="EU212" s="231">
        <v>84189026</v>
      </c>
      <c r="EV212" s="231">
        <v>287476</v>
      </c>
      <c r="EW212" s="231">
        <v>280825</v>
      </c>
      <c r="EX212" s="231">
        <v>6651</v>
      </c>
      <c r="EY212" s="229">
        <v>2.3699999999999999E-2</v>
      </c>
      <c r="EZ212" s="229">
        <v>0.53549999999999998</v>
      </c>
      <c r="FA212" s="227" t="s">
        <v>555</v>
      </c>
      <c r="FB212" s="161">
        <f t="shared" si="5"/>
        <v>0</v>
      </c>
    </row>
    <row r="213" spans="1:158" ht="17.25" thickBot="1" x14ac:dyDescent="0.3">
      <c r="A213" s="226">
        <v>46121</v>
      </c>
      <c r="B213" s="227" t="s">
        <v>168</v>
      </c>
      <c r="C213" s="227" t="s">
        <v>585</v>
      </c>
      <c r="D213" s="228">
        <v>1125</v>
      </c>
      <c r="E213" s="228">
        <v>425.05</v>
      </c>
      <c r="F213" s="228">
        <v>423.45</v>
      </c>
      <c r="G213" s="228">
        <v>1.6</v>
      </c>
      <c r="H213" s="229">
        <v>3.8E-3</v>
      </c>
      <c r="I213" s="228">
        <v>422.9</v>
      </c>
      <c r="J213" s="228">
        <v>421.9</v>
      </c>
      <c r="K213" s="228">
        <v>1</v>
      </c>
      <c r="L213" s="229">
        <v>2.3999999999999998E-3</v>
      </c>
      <c r="M213" s="228">
        <v>425.05</v>
      </c>
      <c r="N213" s="228">
        <v>423.45</v>
      </c>
      <c r="O213" s="228">
        <v>1.6</v>
      </c>
      <c r="P213" s="229">
        <v>3.8E-3</v>
      </c>
      <c r="Q213" s="228">
        <v>427.2</v>
      </c>
      <c r="R213" s="228">
        <v>425.95</v>
      </c>
      <c r="S213" s="228">
        <v>1.25</v>
      </c>
      <c r="T213" s="229">
        <v>2.8999999999999998E-3</v>
      </c>
      <c r="U213" s="228">
        <v>430</v>
      </c>
      <c r="V213" s="228">
        <v>428</v>
      </c>
      <c r="W213" s="228">
        <v>2</v>
      </c>
      <c r="X213" s="229">
        <v>4.7000000000000002E-3</v>
      </c>
      <c r="Y213" s="228">
        <v>2.15</v>
      </c>
      <c r="Z213" s="228">
        <v>1.55</v>
      </c>
      <c r="AA213" s="228">
        <v>0.6</v>
      </c>
      <c r="AB213" s="229">
        <v>5.1000000000000004E-3</v>
      </c>
      <c r="AC213" s="228">
        <v>2.15</v>
      </c>
      <c r="AD213" s="228">
        <v>1.55</v>
      </c>
      <c r="AE213" s="228">
        <v>0.6</v>
      </c>
      <c r="AF213" s="229">
        <v>5.1000000000000004E-3</v>
      </c>
      <c r="AG213" s="228">
        <v>4.3</v>
      </c>
      <c r="AH213" s="228">
        <v>4.05</v>
      </c>
      <c r="AI213" s="228">
        <v>0.25</v>
      </c>
      <c r="AJ213" s="229">
        <v>1.0200000000000001E-2</v>
      </c>
      <c r="AK213" s="228">
        <v>7.1</v>
      </c>
      <c r="AL213" s="228">
        <v>6.1</v>
      </c>
      <c r="AM213" s="228">
        <v>1</v>
      </c>
      <c r="AN213" s="229">
        <v>1.6799999999999999E-2</v>
      </c>
      <c r="AO213" s="228">
        <v>425.78</v>
      </c>
      <c r="AP213" s="228">
        <v>427.29</v>
      </c>
      <c r="AQ213" s="228">
        <v>0</v>
      </c>
      <c r="AR213" s="230">
        <v>5796000</v>
      </c>
      <c r="AS213" s="230">
        <v>8323875</v>
      </c>
      <c r="AT213" s="230">
        <v>-2527875</v>
      </c>
      <c r="AU213" s="229">
        <v>-0.30370000000000003</v>
      </c>
      <c r="AV213" s="230">
        <v>5394375</v>
      </c>
      <c r="AW213" s="230">
        <v>7644375</v>
      </c>
      <c r="AX213" s="230">
        <v>-2250000</v>
      </c>
      <c r="AY213" s="229">
        <v>-0.29430000000000001</v>
      </c>
      <c r="AZ213" s="230">
        <v>361125</v>
      </c>
      <c r="BA213" s="230">
        <v>625500</v>
      </c>
      <c r="BB213" s="230">
        <v>-264375</v>
      </c>
      <c r="BC213" s="229">
        <v>-0.42270000000000002</v>
      </c>
      <c r="BD213" s="230">
        <v>40500</v>
      </c>
      <c r="BE213" s="230">
        <v>54000</v>
      </c>
      <c r="BF213" s="230">
        <v>-13500</v>
      </c>
      <c r="BG213" s="229">
        <v>-0.25</v>
      </c>
      <c r="BH213" s="230">
        <v>9730125</v>
      </c>
      <c r="BI213" s="230">
        <v>13926375</v>
      </c>
      <c r="BJ213" s="230">
        <v>-4196250</v>
      </c>
      <c r="BK213" s="229">
        <v>-0.30130000000000001</v>
      </c>
      <c r="BL213" s="230">
        <v>4218750</v>
      </c>
      <c r="BM213" s="230">
        <v>6962625</v>
      </c>
      <c r="BN213" s="230">
        <v>-2743875</v>
      </c>
      <c r="BO213" s="229">
        <v>-0.39410000000000001</v>
      </c>
      <c r="BP213" s="230">
        <v>19744875</v>
      </c>
      <c r="BQ213" s="230">
        <v>29212875</v>
      </c>
      <c r="BR213" s="230">
        <v>-9468000</v>
      </c>
      <c r="BS213" s="229">
        <v>-0.3241</v>
      </c>
      <c r="BT213" s="230">
        <v>6135952</v>
      </c>
      <c r="BU213" s="230">
        <v>7148674</v>
      </c>
      <c r="BV213" s="230">
        <v>-1012722</v>
      </c>
      <c r="BW213" s="229">
        <v>-0.14169999999999999</v>
      </c>
      <c r="BX213" s="230">
        <v>45721125</v>
      </c>
      <c r="BY213" s="230">
        <v>44227125</v>
      </c>
      <c r="BZ213" s="230">
        <v>1494000</v>
      </c>
      <c r="CA213" s="229">
        <v>3.3799999999999997E-2</v>
      </c>
      <c r="CB213" s="230">
        <v>44590500</v>
      </c>
      <c r="CC213" s="230">
        <v>43039125</v>
      </c>
      <c r="CD213" s="230">
        <v>1551375</v>
      </c>
      <c r="CE213" s="229">
        <v>3.5999999999999997E-2</v>
      </c>
      <c r="CF213" s="230">
        <v>997875</v>
      </c>
      <c r="CG213" s="230">
        <v>1066500</v>
      </c>
      <c r="CH213" s="230">
        <v>-68625</v>
      </c>
      <c r="CI213" s="229">
        <v>-6.4299999999999996E-2</v>
      </c>
      <c r="CJ213" s="230">
        <v>132750</v>
      </c>
      <c r="CK213" s="230">
        <v>121500</v>
      </c>
      <c r="CL213" s="230">
        <v>11250</v>
      </c>
      <c r="CM213" s="229">
        <v>9.2600000000000002E-2</v>
      </c>
      <c r="CN213" s="230">
        <v>10251000</v>
      </c>
      <c r="CO213" s="230">
        <v>10541250</v>
      </c>
      <c r="CP213" s="230">
        <v>-290250</v>
      </c>
      <c r="CQ213" s="229">
        <v>-2.75E-2</v>
      </c>
      <c r="CR213" s="230">
        <v>7058250</v>
      </c>
      <c r="CS213" s="230">
        <v>6925500</v>
      </c>
      <c r="CT213" s="230">
        <v>132750</v>
      </c>
      <c r="CU213" s="229">
        <v>1.9199999999999998E-2</v>
      </c>
      <c r="CV213" s="230">
        <v>63030375</v>
      </c>
      <c r="CW213" s="230">
        <v>61693875</v>
      </c>
      <c r="CX213" s="230">
        <v>1336500</v>
      </c>
      <c r="CY213" s="229">
        <v>2.1700000000000001E-2</v>
      </c>
      <c r="CZ213" s="228">
        <v>34.04</v>
      </c>
      <c r="DA213" s="228">
        <v>34.159999999999997</v>
      </c>
      <c r="DB213" s="228">
        <v>-0.12</v>
      </c>
      <c r="DC213" s="228">
        <v>-0.12</v>
      </c>
      <c r="DD213" s="228">
        <v>37.96</v>
      </c>
      <c r="DE213" s="228">
        <v>38.06</v>
      </c>
      <c r="DF213" s="228">
        <v>-3.92</v>
      </c>
      <c r="DG213" s="228">
        <v>-0.1</v>
      </c>
      <c r="DH213" s="228">
        <v>33.85</v>
      </c>
      <c r="DI213" s="228">
        <v>33.65</v>
      </c>
      <c r="DJ213" s="228">
        <v>0.2</v>
      </c>
      <c r="DK213" s="228">
        <v>0.2</v>
      </c>
      <c r="DL213" s="228">
        <v>34.479999999999997</v>
      </c>
      <c r="DM213" s="228">
        <v>35.159999999999997</v>
      </c>
      <c r="DN213" s="228">
        <v>-0.68</v>
      </c>
      <c r="DO213" s="228">
        <v>-0.68</v>
      </c>
      <c r="DP213" s="228">
        <v>0.69</v>
      </c>
      <c r="DQ213" s="228">
        <v>0.66</v>
      </c>
      <c r="DR213" s="228">
        <v>0.03</v>
      </c>
      <c r="DS213" s="229">
        <v>4.5499999999999999E-2</v>
      </c>
      <c r="DT213" s="228">
        <v>500</v>
      </c>
      <c r="DU213" s="228">
        <v>420</v>
      </c>
      <c r="DV213" s="228">
        <v>0.43</v>
      </c>
      <c r="DW213" s="228">
        <v>0.5</v>
      </c>
      <c r="DX213" s="228">
        <v>-7.0000000000000007E-2</v>
      </c>
      <c r="DY213" s="229">
        <v>-0.14000000000000001</v>
      </c>
      <c r="DZ213" s="229">
        <v>2.47E-2</v>
      </c>
      <c r="EA213" s="230">
        <v>1188000</v>
      </c>
      <c r="EB213" s="229">
        <v>5.1000000000000004E-3</v>
      </c>
      <c r="EC213" s="229">
        <v>2.47E-2</v>
      </c>
      <c r="ED213" s="228">
        <v>1.51</v>
      </c>
      <c r="EE213" s="229">
        <v>3.5000000000000001E-3</v>
      </c>
      <c r="EF213" s="230">
        <v>2811101</v>
      </c>
      <c r="EG213" s="230">
        <v>3442625</v>
      </c>
      <c r="EH213" s="229">
        <v>-0.18340000000000001</v>
      </c>
      <c r="EI213" s="229">
        <v>0.45810000000000001</v>
      </c>
      <c r="EJ213" s="231">
        <v>43680.29</v>
      </c>
      <c r="EK213" s="231">
        <v>17886.62</v>
      </c>
      <c r="EL213" s="231">
        <v>24685.439999999999</v>
      </c>
      <c r="EM213" s="231">
        <v>4509</v>
      </c>
      <c r="EN213" s="231">
        <v>86252.35</v>
      </c>
      <c r="EO213" s="231">
        <v>126270.01</v>
      </c>
      <c r="EP213" s="231">
        <v>-40017.660000000003</v>
      </c>
      <c r="EQ213" s="229">
        <v>-0.31690000000000002</v>
      </c>
      <c r="ER213" s="231">
        <v>45305</v>
      </c>
      <c r="ES213" s="231">
        <v>28713</v>
      </c>
      <c r="ET213" s="231">
        <v>194366</v>
      </c>
      <c r="EU213" s="231">
        <v>205765243</v>
      </c>
      <c r="EV213" s="231">
        <v>268384</v>
      </c>
      <c r="EW213" s="231">
        <v>261992</v>
      </c>
      <c r="EX213" s="231">
        <v>6392</v>
      </c>
      <c r="EY213" s="229">
        <v>2.4400000000000002E-2</v>
      </c>
      <c r="EZ213" s="229">
        <v>0.30630000000000002</v>
      </c>
      <c r="FA213" s="227" t="s">
        <v>555</v>
      </c>
      <c r="FB213" s="161">
        <f t="shared" si="5"/>
        <v>0</v>
      </c>
    </row>
    <row r="214" spans="1:158" ht="17.25" thickBot="1" x14ac:dyDescent="0.3">
      <c r="A214" s="226">
        <v>46121</v>
      </c>
      <c r="B214" s="227" t="s">
        <v>227</v>
      </c>
      <c r="C214" s="227" t="s">
        <v>304</v>
      </c>
      <c r="D214" s="228">
        <v>1150</v>
      </c>
      <c r="E214" s="228">
        <v>740.8</v>
      </c>
      <c r="F214" s="228">
        <v>725.5</v>
      </c>
      <c r="G214" s="228">
        <v>15.3</v>
      </c>
      <c r="H214" s="229">
        <v>2.1100000000000001E-2</v>
      </c>
      <c r="I214" s="228">
        <v>737</v>
      </c>
      <c r="J214" s="228">
        <v>721.4</v>
      </c>
      <c r="K214" s="228">
        <v>15.6</v>
      </c>
      <c r="L214" s="229">
        <v>2.1600000000000001E-2</v>
      </c>
      <c r="M214" s="228">
        <v>740.8</v>
      </c>
      <c r="N214" s="228">
        <v>725.5</v>
      </c>
      <c r="O214" s="228">
        <v>15.3</v>
      </c>
      <c r="P214" s="229">
        <v>2.1100000000000001E-2</v>
      </c>
      <c r="Q214" s="228">
        <v>743</v>
      </c>
      <c r="R214" s="228">
        <v>727.75</v>
      </c>
      <c r="S214" s="228">
        <v>15.25</v>
      </c>
      <c r="T214" s="229">
        <v>2.1000000000000001E-2</v>
      </c>
      <c r="U214" s="228">
        <v>743.15</v>
      </c>
      <c r="V214" s="228">
        <v>728.95</v>
      </c>
      <c r="W214" s="228">
        <v>14.2</v>
      </c>
      <c r="X214" s="229">
        <v>1.95E-2</v>
      </c>
      <c r="Y214" s="228">
        <v>3.8</v>
      </c>
      <c r="Z214" s="228">
        <v>4.0999999999999996</v>
      </c>
      <c r="AA214" s="228">
        <v>-0.3</v>
      </c>
      <c r="AB214" s="229">
        <v>5.1999999999999998E-3</v>
      </c>
      <c r="AC214" s="228">
        <v>3.8</v>
      </c>
      <c r="AD214" s="228">
        <v>4.0999999999999996</v>
      </c>
      <c r="AE214" s="228">
        <v>-0.3</v>
      </c>
      <c r="AF214" s="229">
        <v>5.1999999999999998E-3</v>
      </c>
      <c r="AG214" s="228">
        <v>6</v>
      </c>
      <c r="AH214" s="228">
        <v>6.35</v>
      </c>
      <c r="AI214" s="228">
        <v>-0.35</v>
      </c>
      <c r="AJ214" s="229">
        <v>8.0999999999999996E-3</v>
      </c>
      <c r="AK214" s="228">
        <v>6.15</v>
      </c>
      <c r="AL214" s="228">
        <v>7.55</v>
      </c>
      <c r="AM214" s="228">
        <v>-1.4</v>
      </c>
      <c r="AN214" s="229">
        <v>8.3000000000000001E-3</v>
      </c>
      <c r="AO214" s="228">
        <v>737.7</v>
      </c>
      <c r="AP214" s="228">
        <v>739.98</v>
      </c>
      <c r="AQ214" s="228">
        <v>0</v>
      </c>
      <c r="AR214" s="230">
        <v>12216450</v>
      </c>
      <c r="AS214" s="230">
        <v>15526150</v>
      </c>
      <c r="AT214" s="230">
        <v>-3309700</v>
      </c>
      <c r="AU214" s="229">
        <v>-0.2132</v>
      </c>
      <c r="AV214" s="230">
        <v>11233200</v>
      </c>
      <c r="AW214" s="230">
        <v>14334750</v>
      </c>
      <c r="AX214" s="230">
        <v>-3101550</v>
      </c>
      <c r="AY214" s="229">
        <v>-0.21640000000000001</v>
      </c>
      <c r="AZ214" s="230">
        <v>831450</v>
      </c>
      <c r="BA214" s="230">
        <v>1043050</v>
      </c>
      <c r="BB214" s="230">
        <v>-211600</v>
      </c>
      <c r="BC214" s="229">
        <v>-0.2029</v>
      </c>
      <c r="BD214" s="230">
        <v>151800</v>
      </c>
      <c r="BE214" s="230">
        <v>148350</v>
      </c>
      <c r="BF214" s="230">
        <v>3450</v>
      </c>
      <c r="BG214" s="229">
        <v>2.3300000000000001E-2</v>
      </c>
      <c r="BH214" s="230">
        <v>46472650</v>
      </c>
      <c r="BI214" s="230">
        <v>36988600</v>
      </c>
      <c r="BJ214" s="230">
        <v>9484050</v>
      </c>
      <c r="BK214" s="229">
        <v>0.25640000000000002</v>
      </c>
      <c r="BL214" s="230">
        <v>27968000</v>
      </c>
      <c r="BM214" s="230">
        <v>27429800</v>
      </c>
      <c r="BN214" s="230">
        <v>538200</v>
      </c>
      <c r="BO214" s="229">
        <v>1.9599999999999999E-2</v>
      </c>
      <c r="BP214" s="230">
        <v>86657100</v>
      </c>
      <c r="BQ214" s="230">
        <v>79944550</v>
      </c>
      <c r="BR214" s="230">
        <v>6712550</v>
      </c>
      <c r="BS214" s="229">
        <v>8.4000000000000005E-2</v>
      </c>
      <c r="BT214" s="230">
        <v>16200939</v>
      </c>
      <c r="BU214" s="230">
        <v>17322194</v>
      </c>
      <c r="BV214" s="230">
        <v>-1121255</v>
      </c>
      <c r="BW214" s="229">
        <v>-6.4699999999999994E-2</v>
      </c>
      <c r="BX214" s="230">
        <v>52467600</v>
      </c>
      <c r="BY214" s="230">
        <v>49795000</v>
      </c>
      <c r="BZ214" s="230">
        <v>2672600</v>
      </c>
      <c r="CA214" s="229">
        <v>5.3699999999999998E-2</v>
      </c>
      <c r="CB214" s="230">
        <v>50486150</v>
      </c>
      <c r="CC214" s="230">
        <v>47976850</v>
      </c>
      <c r="CD214" s="230">
        <v>2509300</v>
      </c>
      <c r="CE214" s="229">
        <v>5.2299999999999999E-2</v>
      </c>
      <c r="CF214" s="230">
        <v>1843450</v>
      </c>
      <c r="CG214" s="230">
        <v>1687050</v>
      </c>
      <c r="CH214" s="230">
        <v>156400</v>
      </c>
      <c r="CI214" s="229">
        <v>9.2700000000000005E-2</v>
      </c>
      <c r="CJ214" s="230">
        <v>138000</v>
      </c>
      <c r="CK214" s="230">
        <v>131100</v>
      </c>
      <c r="CL214" s="230">
        <v>6900</v>
      </c>
      <c r="CM214" s="229">
        <v>5.2600000000000001E-2</v>
      </c>
      <c r="CN214" s="230">
        <v>24408750</v>
      </c>
      <c r="CO214" s="230">
        <v>24020050</v>
      </c>
      <c r="CP214" s="230">
        <v>388700</v>
      </c>
      <c r="CQ214" s="229">
        <v>1.6199999999999999E-2</v>
      </c>
      <c r="CR214" s="230">
        <v>22874650</v>
      </c>
      <c r="CS214" s="230">
        <v>21049600</v>
      </c>
      <c r="CT214" s="230">
        <v>1825050</v>
      </c>
      <c r="CU214" s="229">
        <v>8.6699999999999999E-2</v>
      </c>
      <c r="CV214" s="230">
        <v>99751000</v>
      </c>
      <c r="CW214" s="230">
        <v>94864650</v>
      </c>
      <c r="CX214" s="230">
        <v>4886350</v>
      </c>
      <c r="CY214" s="229">
        <v>5.1499999999999997E-2</v>
      </c>
      <c r="CZ214" s="228">
        <v>37.4</v>
      </c>
      <c r="DA214" s="228">
        <v>37.39</v>
      </c>
      <c r="DB214" s="228">
        <v>0.01</v>
      </c>
      <c r="DC214" s="228">
        <v>0.01</v>
      </c>
      <c r="DD214" s="228">
        <v>41.1</v>
      </c>
      <c r="DE214" s="228">
        <v>41.1</v>
      </c>
      <c r="DF214" s="228">
        <v>-3.7</v>
      </c>
      <c r="DG214" s="228">
        <v>0</v>
      </c>
      <c r="DH214" s="228">
        <v>36.380000000000003</v>
      </c>
      <c r="DI214" s="228">
        <v>36.549999999999997</v>
      </c>
      <c r="DJ214" s="228">
        <v>-0.17</v>
      </c>
      <c r="DK214" s="228">
        <v>-0.17</v>
      </c>
      <c r="DL214" s="228">
        <v>39.090000000000003</v>
      </c>
      <c r="DM214" s="228">
        <v>38.51</v>
      </c>
      <c r="DN214" s="228">
        <v>0.57999999999999996</v>
      </c>
      <c r="DO214" s="228">
        <v>0.57999999999999996</v>
      </c>
      <c r="DP214" s="228">
        <v>0.94</v>
      </c>
      <c r="DQ214" s="228">
        <v>0.88</v>
      </c>
      <c r="DR214" s="228">
        <v>0.06</v>
      </c>
      <c r="DS214" s="229">
        <v>6.8199999999999997E-2</v>
      </c>
      <c r="DT214" s="228">
        <v>750</v>
      </c>
      <c r="DU214" s="228">
        <v>700</v>
      </c>
      <c r="DV214" s="228">
        <v>0.6</v>
      </c>
      <c r="DW214" s="228">
        <v>0.74</v>
      </c>
      <c r="DX214" s="228">
        <v>-0.14000000000000001</v>
      </c>
      <c r="DY214" s="229">
        <v>-0.18920000000000001</v>
      </c>
      <c r="DZ214" s="229">
        <v>3.78E-2</v>
      </c>
      <c r="EA214" s="230">
        <v>1818150</v>
      </c>
      <c r="EB214" s="229">
        <v>3.0000000000000001E-3</v>
      </c>
      <c r="EC214" s="229">
        <v>3.78E-2</v>
      </c>
      <c r="ED214" s="228">
        <v>2.2799999999999998</v>
      </c>
      <c r="EE214" s="229">
        <v>3.0999999999999999E-3</v>
      </c>
      <c r="EF214" s="230">
        <v>6386240</v>
      </c>
      <c r="EG214" s="230">
        <v>7041775</v>
      </c>
      <c r="EH214" s="229">
        <v>-9.3100000000000002E-2</v>
      </c>
      <c r="EI214" s="229">
        <v>0.39419999999999999</v>
      </c>
      <c r="EJ214" s="231">
        <v>358991.82</v>
      </c>
      <c r="EK214" s="231">
        <v>198925.19</v>
      </c>
      <c r="EL214" s="231">
        <v>90142.48</v>
      </c>
      <c r="EM214" s="231">
        <v>12726</v>
      </c>
      <c r="EN214" s="231">
        <v>648059.49</v>
      </c>
      <c r="EO214" s="231">
        <v>588117.82999999996</v>
      </c>
      <c r="EP214" s="231">
        <v>59941.66</v>
      </c>
      <c r="EQ214" s="229">
        <v>0.1019</v>
      </c>
      <c r="ER214" s="231">
        <v>178373</v>
      </c>
      <c r="ES214" s="231">
        <v>153716</v>
      </c>
      <c r="ET214" s="231">
        <v>388724</v>
      </c>
      <c r="EU214" s="231">
        <v>255495438</v>
      </c>
      <c r="EV214" s="231">
        <v>720813</v>
      </c>
      <c r="EW214" s="231">
        <v>675042</v>
      </c>
      <c r="EX214" s="231">
        <v>45771</v>
      </c>
      <c r="EY214" s="229">
        <v>6.7799999999999999E-2</v>
      </c>
      <c r="EZ214" s="229">
        <v>0.39040000000000002</v>
      </c>
      <c r="FA214" s="227" t="s">
        <v>555</v>
      </c>
      <c r="FB214" s="161">
        <f t="shared" si="5"/>
        <v>0</v>
      </c>
    </row>
    <row r="215" spans="1:158" ht="17.25" thickBot="1" x14ac:dyDescent="0.3">
      <c r="A215" s="226">
        <v>46121</v>
      </c>
      <c r="B215" s="227" t="s">
        <v>702</v>
      </c>
      <c r="C215" s="227" t="s">
        <v>698</v>
      </c>
      <c r="D215" s="228">
        <v>4850</v>
      </c>
      <c r="E215" s="228">
        <v>112.73</v>
      </c>
      <c r="F215" s="228">
        <v>116.74</v>
      </c>
      <c r="G215" s="228">
        <v>-4.01</v>
      </c>
      <c r="H215" s="229">
        <v>-3.4299999999999997E-2</v>
      </c>
      <c r="I215" s="228">
        <v>112.07</v>
      </c>
      <c r="J215" s="228">
        <v>116.59</v>
      </c>
      <c r="K215" s="228">
        <v>-4.5199999999999996</v>
      </c>
      <c r="L215" s="229">
        <v>-3.8800000000000001E-2</v>
      </c>
      <c r="M215" s="228">
        <v>112.73</v>
      </c>
      <c r="N215" s="228">
        <v>116.74</v>
      </c>
      <c r="O215" s="228">
        <v>-4.01</v>
      </c>
      <c r="P215" s="229">
        <v>-3.4299999999999997E-2</v>
      </c>
      <c r="Q215" s="228">
        <v>113.03</v>
      </c>
      <c r="R215" s="228">
        <v>116.76</v>
      </c>
      <c r="S215" s="228">
        <v>-3.73</v>
      </c>
      <c r="T215" s="229">
        <v>-3.1899999999999998E-2</v>
      </c>
      <c r="U215" s="228">
        <v>112.97</v>
      </c>
      <c r="V215" s="228">
        <v>103</v>
      </c>
      <c r="W215" s="228">
        <v>9.9700000000000006</v>
      </c>
      <c r="X215" s="229">
        <v>9.6799999999999997E-2</v>
      </c>
      <c r="Y215" s="228">
        <v>0.66</v>
      </c>
      <c r="Z215" s="228">
        <v>0.15</v>
      </c>
      <c r="AA215" s="228">
        <v>0.51</v>
      </c>
      <c r="AB215" s="229">
        <v>5.8999999999999999E-3</v>
      </c>
      <c r="AC215" s="228">
        <v>0.66</v>
      </c>
      <c r="AD215" s="228">
        <v>0.15</v>
      </c>
      <c r="AE215" s="228">
        <v>0.51</v>
      </c>
      <c r="AF215" s="229">
        <v>5.8999999999999999E-3</v>
      </c>
      <c r="AG215" s="228">
        <v>0.96</v>
      </c>
      <c r="AH215" s="228">
        <v>0.17</v>
      </c>
      <c r="AI215" s="228">
        <v>0.79</v>
      </c>
      <c r="AJ215" s="229">
        <v>8.6E-3</v>
      </c>
      <c r="AK215" s="228">
        <v>0.9</v>
      </c>
      <c r="AL215" s="228">
        <v>-13.59</v>
      </c>
      <c r="AM215" s="228">
        <v>14.49</v>
      </c>
      <c r="AN215" s="229">
        <v>8.0000000000000002E-3</v>
      </c>
      <c r="AO215" s="228">
        <v>113.61</v>
      </c>
      <c r="AP215" s="228">
        <v>113.88</v>
      </c>
      <c r="AQ215" s="228">
        <v>0</v>
      </c>
      <c r="AR215" s="230">
        <v>12454800</v>
      </c>
      <c r="AS215" s="230">
        <v>9215000</v>
      </c>
      <c r="AT215" s="230">
        <v>3239800</v>
      </c>
      <c r="AU215" s="229">
        <v>0.35160000000000002</v>
      </c>
      <c r="AV215" s="230">
        <v>11775800</v>
      </c>
      <c r="AW215" s="230">
        <v>8666950</v>
      </c>
      <c r="AX215" s="230">
        <v>3108850</v>
      </c>
      <c r="AY215" s="229">
        <v>0.35870000000000002</v>
      </c>
      <c r="AZ215" s="230">
        <v>596550</v>
      </c>
      <c r="BA215" s="230">
        <v>548050</v>
      </c>
      <c r="BB215" s="230">
        <v>48500</v>
      </c>
      <c r="BC215" s="229">
        <v>8.8499999999999995E-2</v>
      </c>
      <c r="BD215" s="230">
        <v>82450</v>
      </c>
      <c r="BE215" s="228">
        <v>0</v>
      </c>
      <c r="BF215" s="230">
        <v>82450</v>
      </c>
      <c r="BG215" s="229">
        <v>0</v>
      </c>
      <c r="BH215" s="230">
        <v>7197400</v>
      </c>
      <c r="BI215" s="230">
        <v>4864550</v>
      </c>
      <c r="BJ215" s="230">
        <v>2332850</v>
      </c>
      <c r="BK215" s="229">
        <v>0.47960000000000003</v>
      </c>
      <c r="BL215" s="230">
        <v>5208900</v>
      </c>
      <c r="BM215" s="230">
        <v>1459850</v>
      </c>
      <c r="BN215" s="230">
        <v>3749050</v>
      </c>
      <c r="BO215" s="229">
        <v>2.5680999999999998</v>
      </c>
      <c r="BP215" s="230">
        <v>24861100</v>
      </c>
      <c r="BQ215" s="230">
        <v>15539400</v>
      </c>
      <c r="BR215" s="230">
        <v>9321700</v>
      </c>
      <c r="BS215" s="229">
        <v>0.59989999999999999</v>
      </c>
      <c r="BT215" s="230">
        <v>26742888</v>
      </c>
      <c r="BU215" s="230">
        <v>18398112</v>
      </c>
      <c r="BV215" s="230">
        <v>8344776</v>
      </c>
      <c r="BW215" s="229">
        <v>0.4536</v>
      </c>
      <c r="BX215" s="230">
        <v>19550350</v>
      </c>
      <c r="BY215" s="230">
        <v>18134150</v>
      </c>
      <c r="BZ215" s="230">
        <v>1416200</v>
      </c>
      <c r="CA215" s="229">
        <v>7.8100000000000003E-2</v>
      </c>
      <c r="CB215" s="230">
        <v>19045950</v>
      </c>
      <c r="CC215" s="230">
        <v>17891650</v>
      </c>
      <c r="CD215" s="230">
        <v>1154300</v>
      </c>
      <c r="CE215" s="229">
        <v>6.4500000000000002E-2</v>
      </c>
      <c r="CF215" s="230">
        <v>431650</v>
      </c>
      <c r="CG215" s="230">
        <v>237650</v>
      </c>
      <c r="CH215" s="230">
        <v>194000</v>
      </c>
      <c r="CI215" s="229">
        <v>0.81630000000000003</v>
      </c>
      <c r="CJ215" s="230">
        <v>72750</v>
      </c>
      <c r="CK215" s="230">
        <v>4850</v>
      </c>
      <c r="CL215" s="230">
        <v>67900</v>
      </c>
      <c r="CM215" s="229">
        <v>14</v>
      </c>
      <c r="CN215" s="230">
        <v>4757850</v>
      </c>
      <c r="CO215" s="230">
        <v>3385300</v>
      </c>
      <c r="CP215" s="230">
        <v>1372550</v>
      </c>
      <c r="CQ215" s="229">
        <v>0.40539999999999998</v>
      </c>
      <c r="CR215" s="230">
        <v>3705400</v>
      </c>
      <c r="CS215" s="230">
        <v>2963350</v>
      </c>
      <c r="CT215" s="230">
        <v>742050</v>
      </c>
      <c r="CU215" s="229">
        <v>0.25040000000000001</v>
      </c>
      <c r="CV215" s="230">
        <v>28013600</v>
      </c>
      <c r="CW215" s="230">
        <v>24482800</v>
      </c>
      <c r="CX215" s="230">
        <v>3530800</v>
      </c>
      <c r="CY215" s="229">
        <v>0.14419999999999999</v>
      </c>
      <c r="CZ215" s="228">
        <v>44.51</v>
      </c>
      <c r="DA215" s="228">
        <v>39.92</v>
      </c>
      <c r="DB215" s="228">
        <v>4.59</v>
      </c>
      <c r="DC215" s="228">
        <v>4.59</v>
      </c>
      <c r="DD215" s="228">
        <v>38.409999999999997</v>
      </c>
      <c r="DE215" s="228">
        <v>38.130000000000003</v>
      </c>
      <c r="DF215" s="228">
        <v>6.1</v>
      </c>
      <c r="DG215" s="228">
        <v>0.28000000000000003</v>
      </c>
      <c r="DH215" s="228">
        <v>42.05</v>
      </c>
      <c r="DI215" s="228">
        <v>38.72</v>
      </c>
      <c r="DJ215" s="228">
        <v>3.33</v>
      </c>
      <c r="DK215" s="228">
        <v>3.33</v>
      </c>
      <c r="DL215" s="228">
        <v>47.92</v>
      </c>
      <c r="DM215" s="228">
        <v>43.93</v>
      </c>
      <c r="DN215" s="228">
        <v>3.99</v>
      </c>
      <c r="DO215" s="228">
        <v>3.99</v>
      </c>
      <c r="DP215" s="228">
        <v>0.78</v>
      </c>
      <c r="DQ215" s="228">
        <v>0.88</v>
      </c>
      <c r="DR215" s="228">
        <v>-0.1</v>
      </c>
      <c r="DS215" s="229">
        <v>-0.11360000000000001</v>
      </c>
      <c r="DT215" s="228">
        <v>120</v>
      </c>
      <c r="DU215" s="228">
        <v>105</v>
      </c>
      <c r="DV215" s="228">
        <v>0.72</v>
      </c>
      <c r="DW215" s="228">
        <v>0.3</v>
      </c>
      <c r="DX215" s="228">
        <v>0.42</v>
      </c>
      <c r="DY215" s="229">
        <v>1.4</v>
      </c>
      <c r="DZ215" s="229">
        <v>2.58E-2</v>
      </c>
      <c r="EA215" s="230">
        <v>242500</v>
      </c>
      <c r="EB215" s="229">
        <v>2.7000000000000001E-3</v>
      </c>
      <c r="EC215" s="229">
        <v>2.58E-2</v>
      </c>
      <c r="ED215" s="228">
        <v>0.27</v>
      </c>
      <c r="EE215" s="229">
        <v>2.3999999999999998E-3</v>
      </c>
      <c r="EF215" s="230">
        <v>12371316</v>
      </c>
      <c r="EG215" s="230">
        <v>8024633</v>
      </c>
      <c r="EH215" s="229">
        <v>0.54169999999999996</v>
      </c>
      <c r="EI215" s="229">
        <v>0.46260000000000001</v>
      </c>
      <c r="EJ215" s="231">
        <v>8563.74</v>
      </c>
      <c r="EK215" s="231">
        <v>5681.85</v>
      </c>
      <c r="EL215" s="231">
        <v>14152.98</v>
      </c>
      <c r="EM215" s="231">
        <v>1853</v>
      </c>
      <c r="EN215" s="231">
        <v>28398.57</v>
      </c>
      <c r="EO215" s="231">
        <v>18149.37</v>
      </c>
      <c r="EP215" s="231">
        <v>10249.200000000001</v>
      </c>
      <c r="EQ215" s="229">
        <v>0.56469999999999998</v>
      </c>
      <c r="ER215" s="231">
        <v>5387</v>
      </c>
      <c r="ES215" s="231">
        <v>3929</v>
      </c>
      <c r="ET215" s="231">
        <v>22041</v>
      </c>
      <c r="EU215" s="231">
        <v>321828727</v>
      </c>
      <c r="EV215" s="231">
        <v>31356</v>
      </c>
      <c r="EW215" s="231">
        <v>28120</v>
      </c>
      <c r="EX215" s="231">
        <v>3236</v>
      </c>
      <c r="EY215" s="229">
        <v>0.11509999999999999</v>
      </c>
      <c r="EZ215" s="229">
        <v>8.6999999999999994E-2</v>
      </c>
      <c r="FA215" s="227" t="s">
        <v>566</v>
      </c>
      <c r="FB215" s="161">
        <f t="shared" si="5"/>
        <v>0</v>
      </c>
    </row>
    <row r="216" spans="1:158" ht="17.25" thickBot="1" x14ac:dyDescent="0.3">
      <c r="A216" s="226">
        <v>46121</v>
      </c>
      <c r="B216" s="227" t="s">
        <v>184</v>
      </c>
      <c r="C216" s="227" t="s">
        <v>305</v>
      </c>
      <c r="D216" s="228">
        <v>375</v>
      </c>
      <c r="E216" s="231">
        <v>1286.8</v>
      </c>
      <c r="F216" s="231">
        <v>1259.0999999999999</v>
      </c>
      <c r="G216" s="228">
        <v>27.7</v>
      </c>
      <c r="H216" s="229">
        <v>2.1999999999999999E-2</v>
      </c>
      <c r="I216" s="231">
        <v>1283.9000000000001</v>
      </c>
      <c r="J216" s="231">
        <v>1264.8</v>
      </c>
      <c r="K216" s="228">
        <v>19.100000000000001</v>
      </c>
      <c r="L216" s="229">
        <v>1.5100000000000001E-2</v>
      </c>
      <c r="M216" s="231">
        <v>1286.8</v>
      </c>
      <c r="N216" s="231">
        <v>1259.0999999999999</v>
      </c>
      <c r="O216" s="228">
        <v>27.7</v>
      </c>
      <c r="P216" s="229">
        <v>2.1999999999999999E-2</v>
      </c>
      <c r="Q216" s="231">
        <v>1274.3</v>
      </c>
      <c r="R216" s="231">
        <v>1246.3</v>
      </c>
      <c r="S216" s="228">
        <v>28</v>
      </c>
      <c r="T216" s="229">
        <v>2.2499999999999999E-2</v>
      </c>
      <c r="U216" s="231">
        <v>1259</v>
      </c>
      <c r="V216" s="231">
        <v>1233.4000000000001</v>
      </c>
      <c r="W216" s="228">
        <v>25.6</v>
      </c>
      <c r="X216" s="229">
        <v>2.0799999999999999E-2</v>
      </c>
      <c r="Y216" s="228">
        <v>2.9</v>
      </c>
      <c r="Z216" s="228">
        <v>-5.7</v>
      </c>
      <c r="AA216" s="228">
        <v>8.6</v>
      </c>
      <c r="AB216" s="229">
        <v>2.3E-3</v>
      </c>
      <c r="AC216" s="228">
        <v>2.9</v>
      </c>
      <c r="AD216" s="228">
        <v>-5.7</v>
      </c>
      <c r="AE216" s="228">
        <v>8.6</v>
      </c>
      <c r="AF216" s="229">
        <v>2.3E-3</v>
      </c>
      <c r="AG216" s="228">
        <v>-9.6</v>
      </c>
      <c r="AH216" s="228">
        <v>-18.5</v>
      </c>
      <c r="AI216" s="228">
        <v>8.9</v>
      </c>
      <c r="AJ216" s="229">
        <v>-7.4999999999999997E-3</v>
      </c>
      <c r="AK216" s="228">
        <v>-24.9</v>
      </c>
      <c r="AL216" s="228">
        <v>-31.4</v>
      </c>
      <c r="AM216" s="228">
        <v>6.5</v>
      </c>
      <c r="AN216" s="229">
        <v>-1.9400000000000001E-2</v>
      </c>
      <c r="AO216" s="231">
        <v>1268.76</v>
      </c>
      <c r="AP216" s="231">
        <v>1249.72</v>
      </c>
      <c r="AQ216" s="228">
        <v>0</v>
      </c>
      <c r="AR216" s="230">
        <v>3541875</v>
      </c>
      <c r="AS216" s="230">
        <v>3457500</v>
      </c>
      <c r="AT216" s="230">
        <v>84375</v>
      </c>
      <c r="AU216" s="229">
        <v>2.4400000000000002E-2</v>
      </c>
      <c r="AV216" s="230">
        <v>3244500</v>
      </c>
      <c r="AW216" s="230">
        <v>2979375</v>
      </c>
      <c r="AX216" s="230">
        <v>265125</v>
      </c>
      <c r="AY216" s="229">
        <v>8.8999999999999996E-2</v>
      </c>
      <c r="AZ216" s="230">
        <v>264750</v>
      </c>
      <c r="BA216" s="230">
        <v>421125</v>
      </c>
      <c r="BB216" s="230">
        <v>-156375</v>
      </c>
      <c r="BC216" s="229">
        <v>-0.37130000000000002</v>
      </c>
      <c r="BD216" s="230">
        <v>32625</v>
      </c>
      <c r="BE216" s="230">
        <v>57000</v>
      </c>
      <c r="BF216" s="230">
        <v>-24375</v>
      </c>
      <c r="BG216" s="229">
        <v>-0.42759999999999998</v>
      </c>
      <c r="BH216" s="230">
        <v>9271875</v>
      </c>
      <c r="BI216" s="230">
        <v>8840625</v>
      </c>
      <c r="BJ216" s="230">
        <v>431250</v>
      </c>
      <c r="BK216" s="229">
        <v>4.8800000000000003E-2</v>
      </c>
      <c r="BL216" s="230">
        <v>4259250</v>
      </c>
      <c r="BM216" s="230">
        <v>3616875</v>
      </c>
      <c r="BN216" s="230">
        <v>642375</v>
      </c>
      <c r="BO216" s="229">
        <v>0.17760000000000001</v>
      </c>
      <c r="BP216" s="230">
        <v>17073000</v>
      </c>
      <c r="BQ216" s="230">
        <v>15915000</v>
      </c>
      <c r="BR216" s="230">
        <v>1158000</v>
      </c>
      <c r="BS216" s="229">
        <v>7.2800000000000004E-2</v>
      </c>
      <c r="BT216" s="230">
        <v>2073119</v>
      </c>
      <c r="BU216" s="230">
        <v>1641003</v>
      </c>
      <c r="BV216" s="230">
        <v>432116</v>
      </c>
      <c r="BW216" s="229">
        <v>0.26329999999999998</v>
      </c>
      <c r="BX216" s="230">
        <v>13003500</v>
      </c>
      <c r="BY216" s="230">
        <v>13087125</v>
      </c>
      <c r="BZ216" s="230">
        <v>-83625</v>
      </c>
      <c r="CA216" s="229">
        <v>-6.4000000000000003E-3</v>
      </c>
      <c r="CB216" s="230">
        <v>12301125</v>
      </c>
      <c r="CC216" s="230">
        <v>12470250</v>
      </c>
      <c r="CD216" s="230">
        <v>-169125</v>
      </c>
      <c r="CE216" s="229">
        <v>-1.3599999999999999E-2</v>
      </c>
      <c r="CF216" s="230">
        <v>642750</v>
      </c>
      <c r="CG216" s="230">
        <v>554625</v>
      </c>
      <c r="CH216" s="230">
        <v>88125</v>
      </c>
      <c r="CI216" s="229">
        <v>0.15890000000000001</v>
      </c>
      <c r="CJ216" s="230">
        <v>59625</v>
      </c>
      <c r="CK216" s="230">
        <v>62250</v>
      </c>
      <c r="CL216" s="230">
        <v>-2625</v>
      </c>
      <c r="CM216" s="229">
        <v>-4.2200000000000001E-2</v>
      </c>
      <c r="CN216" s="230">
        <v>4731750</v>
      </c>
      <c r="CO216" s="230">
        <v>4543875</v>
      </c>
      <c r="CP216" s="230">
        <v>187875</v>
      </c>
      <c r="CQ216" s="229">
        <v>4.1300000000000003E-2</v>
      </c>
      <c r="CR216" s="230">
        <v>2947125</v>
      </c>
      <c r="CS216" s="230">
        <v>2411250</v>
      </c>
      <c r="CT216" s="230">
        <v>535875</v>
      </c>
      <c r="CU216" s="229">
        <v>0.22220000000000001</v>
      </c>
      <c r="CV216" s="230">
        <v>20682375</v>
      </c>
      <c r="CW216" s="230">
        <v>20042250</v>
      </c>
      <c r="CX216" s="230">
        <v>640125</v>
      </c>
      <c r="CY216" s="229">
        <v>3.1899999999999998E-2</v>
      </c>
      <c r="CZ216" s="228">
        <v>42.78</v>
      </c>
      <c r="DA216" s="228">
        <v>42.51</v>
      </c>
      <c r="DB216" s="228">
        <v>0.27</v>
      </c>
      <c r="DC216" s="228">
        <v>0.27</v>
      </c>
      <c r="DD216" s="228">
        <v>39.840000000000003</v>
      </c>
      <c r="DE216" s="228">
        <v>39.83</v>
      </c>
      <c r="DF216" s="228">
        <v>2.94</v>
      </c>
      <c r="DG216" s="228">
        <v>0.01</v>
      </c>
      <c r="DH216" s="228">
        <v>42.41</v>
      </c>
      <c r="DI216" s="228">
        <v>41.57</v>
      </c>
      <c r="DJ216" s="228">
        <v>0.84</v>
      </c>
      <c r="DK216" s="228">
        <v>0.84</v>
      </c>
      <c r="DL216" s="228">
        <v>43.57</v>
      </c>
      <c r="DM216" s="228">
        <v>44.8</v>
      </c>
      <c r="DN216" s="228">
        <v>-1.23</v>
      </c>
      <c r="DO216" s="228">
        <v>-1.23</v>
      </c>
      <c r="DP216" s="228">
        <v>0.62</v>
      </c>
      <c r="DQ216" s="228">
        <v>0.53</v>
      </c>
      <c r="DR216" s="228">
        <v>0.09</v>
      </c>
      <c r="DS216" s="229">
        <v>0.16980000000000001</v>
      </c>
      <c r="DT216" s="231">
        <v>1300</v>
      </c>
      <c r="DU216" s="231">
        <v>1200</v>
      </c>
      <c r="DV216" s="228">
        <v>0.46</v>
      </c>
      <c r="DW216" s="228">
        <v>0.41</v>
      </c>
      <c r="DX216" s="228">
        <v>0.05</v>
      </c>
      <c r="DY216" s="229">
        <v>0.122</v>
      </c>
      <c r="DZ216" s="229">
        <v>5.3999999999999999E-2</v>
      </c>
      <c r="EA216" s="230">
        <v>616875</v>
      </c>
      <c r="EB216" s="229">
        <v>-9.7000000000000003E-3</v>
      </c>
      <c r="EC216" s="229">
        <v>5.3999999999999999E-2</v>
      </c>
      <c r="ED216" s="228">
        <v>-19.04</v>
      </c>
      <c r="EE216" s="229">
        <v>-1.4999999999999999E-2</v>
      </c>
      <c r="EF216" s="230">
        <v>1082467</v>
      </c>
      <c r="EG216" s="230">
        <v>603708</v>
      </c>
      <c r="EH216" s="229">
        <v>0.79300000000000004</v>
      </c>
      <c r="EI216" s="229">
        <v>0.52210000000000001</v>
      </c>
      <c r="EJ216" s="231">
        <v>126225.83</v>
      </c>
      <c r="EK216" s="231">
        <v>54308.74</v>
      </c>
      <c r="EL216" s="231">
        <v>44879.19</v>
      </c>
      <c r="EM216" s="231">
        <v>5999</v>
      </c>
      <c r="EN216" s="231">
        <v>225413.76000000001</v>
      </c>
      <c r="EO216" s="231">
        <v>207908.95</v>
      </c>
      <c r="EP216" s="231">
        <v>17504.810000000001</v>
      </c>
      <c r="EQ216" s="229">
        <v>8.4199999999999997E-2</v>
      </c>
      <c r="ER216" s="231">
        <v>65802</v>
      </c>
      <c r="ES216" s="231">
        <v>36270</v>
      </c>
      <c r="ET216" s="231">
        <v>167232</v>
      </c>
      <c r="EU216" s="231">
        <v>25134629</v>
      </c>
      <c r="EV216" s="231">
        <v>269304</v>
      </c>
      <c r="EW216" s="231">
        <v>257122</v>
      </c>
      <c r="EX216" s="231">
        <v>12182</v>
      </c>
      <c r="EY216" s="229">
        <v>4.7399999999999998E-2</v>
      </c>
      <c r="EZ216" s="229">
        <v>0.82289999999999996</v>
      </c>
      <c r="FA216" s="227" t="s">
        <v>694</v>
      </c>
      <c r="FB216" s="161">
        <f t="shared" si="5"/>
        <v>0</v>
      </c>
    </row>
    <row r="217" spans="1:158" ht="17.25" thickBot="1" x14ac:dyDescent="0.3">
      <c r="A217" s="226">
        <v>46121</v>
      </c>
      <c r="B217" s="227" t="s">
        <v>184</v>
      </c>
      <c r="C217" s="227" t="s">
        <v>690</v>
      </c>
      <c r="D217" s="228">
        <v>175</v>
      </c>
      <c r="E217" s="231">
        <v>3249.2</v>
      </c>
      <c r="F217" s="231">
        <v>3142.4</v>
      </c>
      <c r="G217" s="228">
        <v>106.8</v>
      </c>
      <c r="H217" s="229">
        <v>3.4000000000000002E-2</v>
      </c>
      <c r="I217" s="231">
        <v>3232.3</v>
      </c>
      <c r="J217" s="231">
        <v>3125</v>
      </c>
      <c r="K217" s="228">
        <v>107.3</v>
      </c>
      <c r="L217" s="229">
        <v>3.4299999999999997E-2</v>
      </c>
      <c r="M217" s="231">
        <v>3249.2</v>
      </c>
      <c r="N217" s="231">
        <v>3142.4</v>
      </c>
      <c r="O217" s="228">
        <v>106.8</v>
      </c>
      <c r="P217" s="229">
        <v>3.4000000000000002E-2</v>
      </c>
      <c r="Q217" s="231">
        <v>3267.2</v>
      </c>
      <c r="R217" s="231">
        <v>3158.3</v>
      </c>
      <c r="S217" s="228">
        <v>108.9</v>
      </c>
      <c r="T217" s="229">
        <v>3.4500000000000003E-2</v>
      </c>
      <c r="U217" s="231">
        <v>3290.8</v>
      </c>
      <c r="V217" s="231">
        <v>3173.5</v>
      </c>
      <c r="W217" s="228">
        <v>117.3</v>
      </c>
      <c r="X217" s="229">
        <v>3.6999999999999998E-2</v>
      </c>
      <c r="Y217" s="228">
        <v>16.899999999999999</v>
      </c>
      <c r="Z217" s="228">
        <v>17.399999999999999</v>
      </c>
      <c r="AA217" s="228">
        <v>-0.5</v>
      </c>
      <c r="AB217" s="229">
        <v>5.1999999999999998E-3</v>
      </c>
      <c r="AC217" s="228">
        <v>16.899999999999999</v>
      </c>
      <c r="AD217" s="228">
        <v>17.399999999999999</v>
      </c>
      <c r="AE217" s="228">
        <v>-0.5</v>
      </c>
      <c r="AF217" s="229">
        <v>5.1999999999999998E-3</v>
      </c>
      <c r="AG217" s="228">
        <v>34.9</v>
      </c>
      <c r="AH217" s="228">
        <v>33.299999999999997</v>
      </c>
      <c r="AI217" s="228">
        <v>1.6</v>
      </c>
      <c r="AJ217" s="229">
        <v>1.0800000000000001E-2</v>
      </c>
      <c r="AK217" s="228">
        <v>58.5</v>
      </c>
      <c r="AL217" s="228">
        <v>48.5</v>
      </c>
      <c r="AM217" s="228">
        <v>10</v>
      </c>
      <c r="AN217" s="229">
        <v>1.8100000000000002E-2</v>
      </c>
      <c r="AO217" s="231">
        <v>3214.02</v>
      </c>
      <c r="AP217" s="231">
        <v>3231.15</v>
      </c>
      <c r="AQ217" s="228">
        <v>0</v>
      </c>
      <c r="AR217" s="230">
        <v>1452850</v>
      </c>
      <c r="AS217" s="230">
        <v>1519350</v>
      </c>
      <c r="AT217" s="230">
        <v>-66500</v>
      </c>
      <c r="AU217" s="229">
        <v>-4.3799999999999999E-2</v>
      </c>
      <c r="AV217" s="230">
        <v>1352575</v>
      </c>
      <c r="AW217" s="230">
        <v>1390550</v>
      </c>
      <c r="AX217" s="230">
        <v>-37975</v>
      </c>
      <c r="AY217" s="229">
        <v>-2.7300000000000001E-2</v>
      </c>
      <c r="AZ217" s="230">
        <v>95375</v>
      </c>
      <c r="BA217" s="230">
        <v>124600</v>
      </c>
      <c r="BB217" s="230">
        <v>-29225</v>
      </c>
      <c r="BC217" s="229">
        <v>-0.2346</v>
      </c>
      <c r="BD217" s="230">
        <v>4900</v>
      </c>
      <c r="BE217" s="230">
        <v>4200</v>
      </c>
      <c r="BF217" s="228">
        <v>700</v>
      </c>
      <c r="BG217" s="229">
        <v>0.16669999999999999</v>
      </c>
      <c r="BH217" s="230">
        <v>7395325</v>
      </c>
      <c r="BI217" s="230">
        <v>2951725</v>
      </c>
      <c r="BJ217" s="230">
        <v>4443600</v>
      </c>
      <c r="BK217" s="229">
        <v>1.5054000000000001</v>
      </c>
      <c r="BL217" s="230">
        <v>1523375</v>
      </c>
      <c r="BM217" s="230">
        <v>1250200</v>
      </c>
      <c r="BN217" s="230">
        <v>273175</v>
      </c>
      <c r="BO217" s="229">
        <v>0.2185</v>
      </c>
      <c r="BP217" s="230">
        <v>10371550</v>
      </c>
      <c r="BQ217" s="230">
        <v>5721275</v>
      </c>
      <c r="BR217" s="230">
        <v>4650275</v>
      </c>
      <c r="BS217" s="229">
        <v>0.81279999999999997</v>
      </c>
      <c r="BT217" s="230">
        <v>2495594</v>
      </c>
      <c r="BU217" s="230">
        <v>1759222</v>
      </c>
      <c r="BV217" s="230">
        <v>736372</v>
      </c>
      <c r="BW217" s="229">
        <v>0.41860000000000003</v>
      </c>
      <c r="BX217" s="230">
        <v>3953075</v>
      </c>
      <c r="BY217" s="230">
        <v>3495975</v>
      </c>
      <c r="BZ217" s="230">
        <v>457100</v>
      </c>
      <c r="CA217" s="229">
        <v>0.1308</v>
      </c>
      <c r="CB217" s="230">
        <v>3817800</v>
      </c>
      <c r="CC217" s="230">
        <v>3388000</v>
      </c>
      <c r="CD217" s="230">
        <v>429800</v>
      </c>
      <c r="CE217" s="229">
        <v>0.12690000000000001</v>
      </c>
      <c r="CF217" s="230">
        <v>129850</v>
      </c>
      <c r="CG217" s="230">
        <v>104650</v>
      </c>
      <c r="CH217" s="230">
        <v>25200</v>
      </c>
      <c r="CI217" s="229">
        <v>0.24079999999999999</v>
      </c>
      <c r="CJ217" s="230">
        <v>5425</v>
      </c>
      <c r="CK217" s="230">
        <v>3325</v>
      </c>
      <c r="CL217" s="230">
        <v>2100</v>
      </c>
      <c r="CM217" s="229">
        <v>0.63160000000000005</v>
      </c>
      <c r="CN217" s="230">
        <v>1682625</v>
      </c>
      <c r="CO217" s="230">
        <v>1297625</v>
      </c>
      <c r="CP217" s="230">
        <v>385000</v>
      </c>
      <c r="CQ217" s="229">
        <v>0.29670000000000002</v>
      </c>
      <c r="CR217" s="230">
        <v>860650</v>
      </c>
      <c r="CS217" s="230">
        <v>702800</v>
      </c>
      <c r="CT217" s="230">
        <v>157850</v>
      </c>
      <c r="CU217" s="229">
        <v>0.22459999999999999</v>
      </c>
      <c r="CV217" s="230">
        <v>6496350</v>
      </c>
      <c r="CW217" s="230">
        <v>5496400</v>
      </c>
      <c r="CX217" s="230">
        <v>999950</v>
      </c>
      <c r="CY217" s="229">
        <v>0.18190000000000001</v>
      </c>
      <c r="CZ217" s="228">
        <v>50.06</v>
      </c>
      <c r="DA217" s="228">
        <v>47.37</v>
      </c>
      <c r="DB217" s="228">
        <v>2.69</v>
      </c>
      <c r="DC217" s="228">
        <v>2.69</v>
      </c>
      <c r="DD217" s="228">
        <v>53.34</v>
      </c>
      <c r="DE217" s="228">
        <v>53.28</v>
      </c>
      <c r="DF217" s="228">
        <v>-3.28</v>
      </c>
      <c r="DG217" s="228">
        <v>0.06</v>
      </c>
      <c r="DH217" s="228">
        <v>49.84</v>
      </c>
      <c r="DI217" s="228">
        <v>46.64</v>
      </c>
      <c r="DJ217" s="228">
        <v>3.2</v>
      </c>
      <c r="DK217" s="228">
        <v>3.2</v>
      </c>
      <c r="DL217" s="228">
        <v>51.13</v>
      </c>
      <c r="DM217" s="228">
        <v>49.1</v>
      </c>
      <c r="DN217" s="228">
        <v>2.0299999999999998</v>
      </c>
      <c r="DO217" s="228">
        <v>2.0299999999999998</v>
      </c>
      <c r="DP217" s="228">
        <v>0.51</v>
      </c>
      <c r="DQ217" s="228">
        <v>0.54</v>
      </c>
      <c r="DR217" s="228">
        <v>-0.03</v>
      </c>
      <c r="DS217" s="229">
        <v>-5.5599999999999997E-2</v>
      </c>
      <c r="DT217" s="231">
        <v>3500</v>
      </c>
      <c r="DU217" s="231">
        <v>3100</v>
      </c>
      <c r="DV217" s="228">
        <v>0.21</v>
      </c>
      <c r="DW217" s="228">
        <v>0.42</v>
      </c>
      <c r="DX217" s="228">
        <v>-0.21</v>
      </c>
      <c r="DY217" s="229">
        <v>-0.5</v>
      </c>
      <c r="DZ217" s="229">
        <v>3.4200000000000001E-2</v>
      </c>
      <c r="EA217" s="230">
        <v>107975</v>
      </c>
      <c r="EB217" s="229">
        <v>5.4999999999999997E-3</v>
      </c>
      <c r="EC217" s="229">
        <v>3.4200000000000001E-2</v>
      </c>
      <c r="ED217" s="228">
        <v>17.13</v>
      </c>
      <c r="EE217" s="229">
        <v>5.3E-3</v>
      </c>
      <c r="EF217" s="230">
        <v>936701</v>
      </c>
      <c r="EG217" s="230">
        <v>720769</v>
      </c>
      <c r="EH217" s="229">
        <v>0.29959999999999998</v>
      </c>
      <c r="EI217" s="229">
        <v>0.37530000000000002</v>
      </c>
      <c r="EJ217" s="231">
        <v>255769.96</v>
      </c>
      <c r="EK217" s="231">
        <v>47625.29</v>
      </c>
      <c r="EL217" s="231">
        <v>46712.46</v>
      </c>
      <c r="EM217" s="231">
        <v>4527</v>
      </c>
      <c r="EN217" s="231">
        <v>350107.71</v>
      </c>
      <c r="EO217" s="231">
        <v>186391.94</v>
      </c>
      <c r="EP217" s="231">
        <v>163715.76999999999</v>
      </c>
      <c r="EQ217" s="229">
        <v>0.87829999999999997</v>
      </c>
      <c r="ER217" s="231">
        <v>56722</v>
      </c>
      <c r="ES217" s="231">
        <v>25767</v>
      </c>
      <c r="ET217" s="231">
        <v>128469</v>
      </c>
      <c r="EU217" s="231">
        <v>15436318</v>
      </c>
      <c r="EV217" s="231">
        <v>210958</v>
      </c>
      <c r="EW217" s="231">
        <v>173913</v>
      </c>
      <c r="EX217" s="231">
        <v>37045</v>
      </c>
      <c r="EY217" s="229">
        <v>0.21299999999999999</v>
      </c>
      <c r="EZ217" s="229">
        <v>0.42080000000000001</v>
      </c>
      <c r="FA217" s="227" t="s">
        <v>555</v>
      </c>
      <c r="FB217" s="161">
        <f t="shared" si="5"/>
        <v>0</v>
      </c>
    </row>
    <row r="218" spans="1:158" ht="17.25" thickBot="1" x14ac:dyDescent="0.3">
      <c r="A218" s="226">
        <v>46121</v>
      </c>
      <c r="B218" s="227" t="s">
        <v>221</v>
      </c>
      <c r="C218" s="227" t="s">
        <v>306</v>
      </c>
      <c r="D218" s="228">
        <v>3000</v>
      </c>
      <c r="E218" s="228">
        <v>202.36</v>
      </c>
      <c r="F218" s="228">
        <v>201.82</v>
      </c>
      <c r="G218" s="228">
        <v>0.54</v>
      </c>
      <c r="H218" s="229">
        <v>2.7000000000000001E-3</v>
      </c>
      <c r="I218" s="228">
        <v>202.87</v>
      </c>
      <c r="J218" s="228">
        <v>203.42</v>
      </c>
      <c r="K218" s="228">
        <v>-0.55000000000000004</v>
      </c>
      <c r="L218" s="229">
        <v>-2.7000000000000001E-3</v>
      </c>
      <c r="M218" s="228">
        <v>202.36</v>
      </c>
      <c r="N218" s="228">
        <v>201.82</v>
      </c>
      <c r="O218" s="228">
        <v>0.54</v>
      </c>
      <c r="P218" s="229">
        <v>2.7000000000000001E-3</v>
      </c>
      <c r="Q218" s="228">
        <v>201.44</v>
      </c>
      <c r="R218" s="228">
        <v>201.01</v>
      </c>
      <c r="S218" s="228">
        <v>0.43</v>
      </c>
      <c r="T218" s="229">
        <v>2.0999999999999999E-3</v>
      </c>
      <c r="U218" s="228">
        <v>201.15</v>
      </c>
      <c r="V218" s="228">
        <v>200.84</v>
      </c>
      <c r="W218" s="228">
        <v>0.31</v>
      </c>
      <c r="X218" s="229">
        <v>1.5E-3</v>
      </c>
      <c r="Y218" s="228">
        <v>-0.51</v>
      </c>
      <c r="Z218" s="228">
        <v>-1.6</v>
      </c>
      <c r="AA218" s="228">
        <v>1.0900000000000001</v>
      </c>
      <c r="AB218" s="229">
        <v>-2.5000000000000001E-3</v>
      </c>
      <c r="AC218" s="228">
        <v>-0.51</v>
      </c>
      <c r="AD218" s="228">
        <v>-1.6</v>
      </c>
      <c r="AE218" s="228">
        <v>1.0900000000000001</v>
      </c>
      <c r="AF218" s="229">
        <v>-2.5000000000000001E-3</v>
      </c>
      <c r="AG218" s="228">
        <v>-1.43</v>
      </c>
      <c r="AH218" s="228">
        <v>-2.41</v>
      </c>
      <c r="AI218" s="228">
        <v>0.98</v>
      </c>
      <c r="AJ218" s="229">
        <v>-7.0000000000000001E-3</v>
      </c>
      <c r="AK218" s="228">
        <v>-1.72</v>
      </c>
      <c r="AL218" s="228">
        <v>-2.58</v>
      </c>
      <c r="AM218" s="228">
        <v>0.86</v>
      </c>
      <c r="AN218" s="229">
        <v>-8.5000000000000006E-3</v>
      </c>
      <c r="AO218" s="228">
        <v>201.79</v>
      </c>
      <c r="AP218" s="228">
        <v>200.79</v>
      </c>
      <c r="AQ218" s="228">
        <v>0</v>
      </c>
      <c r="AR218" s="230">
        <v>20913000</v>
      </c>
      <c r="AS218" s="230">
        <v>50544000</v>
      </c>
      <c r="AT218" s="230">
        <v>-29631000</v>
      </c>
      <c r="AU218" s="229">
        <v>-0.58620000000000005</v>
      </c>
      <c r="AV218" s="230">
        <v>17991000</v>
      </c>
      <c r="AW218" s="230">
        <v>38925000</v>
      </c>
      <c r="AX218" s="230">
        <v>-20934000</v>
      </c>
      <c r="AY218" s="229">
        <v>-0.53779999999999994</v>
      </c>
      <c r="AZ218" s="230">
        <v>2529000</v>
      </c>
      <c r="BA218" s="230">
        <v>10104000</v>
      </c>
      <c r="BB218" s="230">
        <v>-7575000</v>
      </c>
      <c r="BC218" s="229">
        <v>-0.74970000000000003</v>
      </c>
      <c r="BD218" s="230">
        <v>393000</v>
      </c>
      <c r="BE218" s="230">
        <v>1515000</v>
      </c>
      <c r="BF218" s="230">
        <v>-1122000</v>
      </c>
      <c r="BG218" s="229">
        <v>-0.74060000000000004</v>
      </c>
      <c r="BH218" s="230">
        <v>38769000</v>
      </c>
      <c r="BI218" s="230">
        <v>68007000</v>
      </c>
      <c r="BJ218" s="230">
        <v>-29238000</v>
      </c>
      <c r="BK218" s="229">
        <v>-0.4299</v>
      </c>
      <c r="BL218" s="230">
        <v>19440000</v>
      </c>
      <c r="BM218" s="230">
        <v>30381000</v>
      </c>
      <c r="BN218" s="230">
        <v>-10941000</v>
      </c>
      <c r="BO218" s="229">
        <v>-0.36009999999999998</v>
      </c>
      <c r="BP218" s="230">
        <v>79122000</v>
      </c>
      <c r="BQ218" s="230">
        <v>148932000</v>
      </c>
      <c r="BR218" s="230">
        <v>-69810000</v>
      </c>
      <c r="BS218" s="229">
        <v>-0.46870000000000001</v>
      </c>
      <c r="BT218" s="230">
        <v>14884053</v>
      </c>
      <c r="BU218" s="230">
        <v>22911491</v>
      </c>
      <c r="BV218" s="230">
        <v>-8027438</v>
      </c>
      <c r="BW218" s="229">
        <v>-0.35039999999999999</v>
      </c>
      <c r="BX218" s="230">
        <v>224436000</v>
      </c>
      <c r="BY218" s="230">
        <v>221691000</v>
      </c>
      <c r="BZ218" s="230">
        <v>2745000</v>
      </c>
      <c r="CA218" s="229">
        <v>1.24E-2</v>
      </c>
      <c r="CB218" s="230">
        <v>208431000</v>
      </c>
      <c r="CC218" s="230">
        <v>206853000</v>
      </c>
      <c r="CD218" s="230">
        <v>1578000</v>
      </c>
      <c r="CE218" s="229">
        <v>7.6E-3</v>
      </c>
      <c r="CF218" s="230">
        <v>13827000</v>
      </c>
      <c r="CG218" s="230">
        <v>12813000</v>
      </c>
      <c r="CH218" s="230">
        <v>1014000</v>
      </c>
      <c r="CI218" s="229">
        <v>7.9100000000000004E-2</v>
      </c>
      <c r="CJ218" s="230">
        <v>2178000</v>
      </c>
      <c r="CK218" s="230">
        <v>2025000</v>
      </c>
      <c r="CL218" s="230">
        <v>153000</v>
      </c>
      <c r="CM218" s="229">
        <v>7.5600000000000001E-2</v>
      </c>
      <c r="CN218" s="230">
        <v>53088000</v>
      </c>
      <c r="CO218" s="230">
        <v>51000000</v>
      </c>
      <c r="CP218" s="230">
        <v>2088000</v>
      </c>
      <c r="CQ218" s="229">
        <v>4.0899999999999999E-2</v>
      </c>
      <c r="CR218" s="230">
        <v>38829000</v>
      </c>
      <c r="CS218" s="230">
        <v>35193000</v>
      </c>
      <c r="CT218" s="230">
        <v>3636000</v>
      </c>
      <c r="CU218" s="229">
        <v>0.1033</v>
      </c>
      <c r="CV218" s="230">
        <v>316353000</v>
      </c>
      <c r="CW218" s="230">
        <v>307884000</v>
      </c>
      <c r="CX218" s="230">
        <v>8469000</v>
      </c>
      <c r="CY218" s="229">
        <v>2.75E-2</v>
      </c>
      <c r="CZ218" s="228">
        <v>38.97</v>
      </c>
      <c r="DA218" s="228">
        <v>38</v>
      </c>
      <c r="DB218" s="228">
        <v>0.97</v>
      </c>
      <c r="DC218" s="228">
        <v>0.97</v>
      </c>
      <c r="DD218" s="228">
        <v>31.32</v>
      </c>
      <c r="DE218" s="228">
        <v>31.4</v>
      </c>
      <c r="DF218" s="228">
        <v>7.65</v>
      </c>
      <c r="DG218" s="228">
        <v>-0.08</v>
      </c>
      <c r="DH218" s="228">
        <v>38.4</v>
      </c>
      <c r="DI218" s="228">
        <v>37.729999999999997</v>
      </c>
      <c r="DJ218" s="228">
        <v>0.67</v>
      </c>
      <c r="DK218" s="228">
        <v>0.67</v>
      </c>
      <c r="DL218" s="228">
        <v>40.11</v>
      </c>
      <c r="DM218" s="228">
        <v>38.61</v>
      </c>
      <c r="DN218" s="228">
        <v>1.5</v>
      </c>
      <c r="DO218" s="228">
        <v>1.5</v>
      </c>
      <c r="DP218" s="228">
        <v>0.73</v>
      </c>
      <c r="DQ218" s="228">
        <v>0.69</v>
      </c>
      <c r="DR218" s="228">
        <v>0.04</v>
      </c>
      <c r="DS218" s="229">
        <v>5.8000000000000003E-2</v>
      </c>
      <c r="DT218" s="228">
        <v>200</v>
      </c>
      <c r="DU218" s="228">
        <v>200</v>
      </c>
      <c r="DV218" s="228">
        <v>0.5</v>
      </c>
      <c r="DW218" s="228">
        <v>0.45</v>
      </c>
      <c r="DX218" s="228">
        <v>0.05</v>
      </c>
      <c r="DY218" s="229">
        <v>0.1111</v>
      </c>
      <c r="DZ218" s="229">
        <v>7.1300000000000002E-2</v>
      </c>
      <c r="EA218" s="230">
        <v>14838000</v>
      </c>
      <c r="EB218" s="229">
        <v>-4.4999999999999997E-3</v>
      </c>
      <c r="EC218" s="229">
        <v>7.1300000000000002E-2</v>
      </c>
      <c r="ED218" s="228">
        <v>-1</v>
      </c>
      <c r="EE218" s="229">
        <v>-5.0000000000000001E-3</v>
      </c>
      <c r="EF218" s="230">
        <v>7239417</v>
      </c>
      <c r="EG218" s="230">
        <v>8669641</v>
      </c>
      <c r="EH218" s="229">
        <v>-0.16500000000000001</v>
      </c>
      <c r="EI218" s="229">
        <v>0.4864</v>
      </c>
      <c r="EJ218" s="231">
        <v>83437.070000000007</v>
      </c>
      <c r="EK218" s="231">
        <v>38560.25</v>
      </c>
      <c r="EL218" s="231">
        <v>42169.94</v>
      </c>
      <c r="EM218" s="231">
        <v>11146</v>
      </c>
      <c r="EN218" s="231">
        <v>164167.26</v>
      </c>
      <c r="EO218" s="231">
        <v>309706.63</v>
      </c>
      <c r="EP218" s="231">
        <v>-145539.37</v>
      </c>
      <c r="EQ218" s="229">
        <v>-0.46989999999999998</v>
      </c>
      <c r="ER218" s="231">
        <v>111558</v>
      </c>
      <c r="ES218" s="231">
        <v>75516</v>
      </c>
      <c r="ET218" s="231">
        <v>454015</v>
      </c>
      <c r="EU218" s="231">
        <v>428710078</v>
      </c>
      <c r="EV218" s="231">
        <v>641090</v>
      </c>
      <c r="EW218" s="231">
        <v>622797</v>
      </c>
      <c r="EX218" s="231">
        <v>18293</v>
      </c>
      <c r="EY218" s="229">
        <v>2.9399999999999999E-2</v>
      </c>
      <c r="EZ218" s="229">
        <v>0.7379</v>
      </c>
      <c r="FA218" s="227" t="s">
        <v>555</v>
      </c>
      <c r="FB218" s="161">
        <f t="shared" si="5"/>
        <v>0</v>
      </c>
    </row>
    <row r="219" spans="1:158" ht="17.25" thickBot="1" x14ac:dyDescent="0.3">
      <c r="A219" s="226">
        <v>46121</v>
      </c>
      <c r="B219" s="227" t="s">
        <v>172</v>
      </c>
      <c r="C219" s="227" t="s">
        <v>589</v>
      </c>
      <c r="D219" s="228">
        <v>31100</v>
      </c>
      <c r="E219" s="228">
        <v>19.02</v>
      </c>
      <c r="F219" s="228">
        <v>19.11</v>
      </c>
      <c r="G219" s="228">
        <v>-0.09</v>
      </c>
      <c r="H219" s="229">
        <v>-4.7000000000000002E-3</v>
      </c>
      <c r="I219" s="228">
        <v>18.93</v>
      </c>
      <c r="J219" s="228">
        <v>19.04</v>
      </c>
      <c r="K219" s="228">
        <v>-0.11</v>
      </c>
      <c r="L219" s="229">
        <v>-5.7999999999999996E-3</v>
      </c>
      <c r="M219" s="228">
        <v>19.02</v>
      </c>
      <c r="N219" s="228">
        <v>19.11</v>
      </c>
      <c r="O219" s="228">
        <v>-0.09</v>
      </c>
      <c r="P219" s="229">
        <v>-4.7000000000000002E-3</v>
      </c>
      <c r="Q219" s="228">
        <v>19.14</v>
      </c>
      <c r="R219" s="228">
        <v>19.22</v>
      </c>
      <c r="S219" s="228">
        <v>-0.08</v>
      </c>
      <c r="T219" s="229">
        <v>-4.1999999999999997E-3</v>
      </c>
      <c r="U219" s="228">
        <v>19.27</v>
      </c>
      <c r="V219" s="228">
        <v>19.37</v>
      </c>
      <c r="W219" s="228">
        <v>-0.1</v>
      </c>
      <c r="X219" s="229">
        <v>-5.1999999999999998E-3</v>
      </c>
      <c r="Y219" s="228">
        <v>0.09</v>
      </c>
      <c r="Z219" s="228">
        <v>7.0000000000000007E-2</v>
      </c>
      <c r="AA219" s="228">
        <v>0.02</v>
      </c>
      <c r="AB219" s="229">
        <v>4.7999999999999996E-3</v>
      </c>
      <c r="AC219" s="228">
        <v>0.09</v>
      </c>
      <c r="AD219" s="228">
        <v>7.0000000000000007E-2</v>
      </c>
      <c r="AE219" s="228">
        <v>0.02</v>
      </c>
      <c r="AF219" s="229">
        <v>4.7999999999999996E-3</v>
      </c>
      <c r="AG219" s="228">
        <v>0.21</v>
      </c>
      <c r="AH219" s="228">
        <v>0.18</v>
      </c>
      <c r="AI219" s="228">
        <v>0.03</v>
      </c>
      <c r="AJ219" s="229">
        <v>1.11E-2</v>
      </c>
      <c r="AK219" s="228">
        <v>0.34</v>
      </c>
      <c r="AL219" s="228">
        <v>0.33</v>
      </c>
      <c r="AM219" s="228">
        <v>0.01</v>
      </c>
      <c r="AN219" s="229">
        <v>1.7999999999999999E-2</v>
      </c>
      <c r="AO219" s="228">
        <v>19.07</v>
      </c>
      <c r="AP219" s="228">
        <v>19.190000000000001</v>
      </c>
      <c r="AQ219" s="228">
        <v>0</v>
      </c>
      <c r="AR219" s="230">
        <v>81388700</v>
      </c>
      <c r="AS219" s="230">
        <v>159138700</v>
      </c>
      <c r="AT219" s="230">
        <v>-77750000</v>
      </c>
      <c r="AU219" s="229">
        <v>-0.48859999999999998</v>
      </c>
      <c r="AV219" s="230">
        <v>65932000</v>
      </c>
      <c r="AW219" s="230">
        <v>138426100</v>
      </c>
      <c r="AX219" s="230">
        <v>-72494100</v>
      </c>
      <c r="AY219" s="229">
        <v>-0.52370000000000005</v>
      </c>
      <c r="AZ219" s="230">
        <v>13497400</v>
      </c>
      <c r="BA219" s="230">
        <v>18069100</v>
      </c>
      <c r="BB219" s="230">
        <v>-4571700</v>
      </c>
      <c r="BC219" s="229">
        <v>-0.253</v>
      </c>
      <c r="BD219" s="230">
        <v>1959300</v>
      </c>
      <c r="BE219" s="230">
        <v>2643500</v>
      </c>
      <c r="BF219" s="230">
        <v>-684200</v>
      </c>
      <c r="BG219" s="229">
        <v>-0.25879999999999997</v>
      </c>
      <c r="BH219" s="230">
        <v>222582700</v>
      </c>
      <c r="BI219" s="230">
        <v>329660000</v>
      </c>
      <c r="BJ219" s="230">
        <v>-107077300</v>
      </c>
      <c r="BK219" s="229">
        <v>-0.32479999999999998</v>
      </c>
      <c r="BL219" s="230">
        <v>117122600</v>
      </c>
      <c r="BM219" s="230">
        <v>174253300</v>
      </c>
      <c r="BN219" s="230">
        <v>-57130700</v>
      </c>
      <c r="BO219" s="229">
        <v>-0.32790000000000002</v>
      </c>
      <c r="BP219" s="230">
        <v>421094000</v>
      </c>
      <c r="BQ219" s="230">
        <v>663052000</v>
      </c>
      <c r="BR219" s="230">
        <v>-241958000</v>
      </c>
      <c r="BS219" s="229">
        <v>-0.3649</v>
      </c>
      <c r="BT219" s="230">
        <v>88849586</v>
      </c>
      <c r="BU219" s="230">
        <v>129163515</v>
      </c>
      <c r="BV219" s="230">
        <v>-40313929</v>
      </c>
      <c r="BW219" s="229">
        <v>-0.31209999999999999</v>
      </c>
      <c r="BX219" s="230">
        <v>1154089900</v>
      </c>
      <c r="BY219" s="230">
        <v>1151819600</v>
      </c>
      <c r="BZ219" s="230">
        <v>2270300</v>
      </c>
      <c r="CA219" s="229">
        <v>2E-3</v>
      </c>
      <c r="CB219" s="230">
        <v>1065237200</v>
      </c>
      <c r="CC219" s="230">
        <v>1065828100</v>
      </c>
      <c r="CD219" s="230">
        <v>-590900</v>
      </c>
      <c r="CE219" s="229">
        <v>-5.9999999999999995E-4</v>
      </c>
      <c r="CF219" s="230">
        <v>80953300</v>
      </c>
      <c r="CG219" s="230">
        <v>78651900</v>
      </c>
      <c r="CH219" s="230">
        <v>2301400</v>
      </c>
      <c r="CI219" s="229">
        <v>2.93E-2</v>
      </c>
      <c r="CJ219" s="230">
        <v>7899400</v>
      </c>
      <c r="CK219" s="230">
        <v>7339600</v>
      </c>
      <c r="CL219" s="230">
        <v>559800</v>
      </c>
      <c r="CM219" s="229">
        <v>7.6300000000000007E-2</v>
      </c>
      <c r="CN219" s="230">
        <v>280459800</v>
      </c>
      <c r="CO219" s="230">
        <v>266184900</v>
      </c>
      <c r="CP219" s="230">
        <v>14274900</v>
      </c>
      <c r="CQ219" s="229">
        <v>5.3600000000000002E-2</v>
      </c>
      <c r="CR219" s="230">
        <v>242206800</v>
      </c>
      <c r="CS219" s="230">
        <v>234214100</v>
      </c>
      <c r="CT219" s="230">
        <v>7992700</v>
      </c>
      <c r="CU219" s="229">
        <v>3.4099999999999998E-2</v>
      </c>
      <c r="CV219" s="230">
        <v>1676756500</v>
      </c>
      <c r="CW219" s="230">
        <v>1652218600</v>
      </c>
      <c r="CX219" s="230">
        <v>24537900</v>
      </c>
      <c r="CY219" s="229">
        <v>1.49E-2</v>
      </c>
      <c r="CZ219" s="228">
        <v>37.92</v>
      </c>
      <c r="DA219" s="228">
        <v>38.25</v>
      </c>
      <c r="DB219" s="228">
        <v>-0.33</v>
      </c>
      <c r="DC219" s="228">
        <v>-0.33</v>
      </c>
      <c r="DD219" s="228">
        <v>38.68</v>
      </c>
      <c r="DE219" s="228">
        <v>38.78</v>
      </c>
      <c r="DF219" s="228">
        <v>-0.76</v>
      </c>
      <c r="DG219" s="228">
        <v>-0.1</v>
      </c>
      <c r="DH219" s="228">
        <v>36.54</v>
      </c>
      <c r="DI219" s="228">
        <v>37.17</v>
      </c>
      <c r="DJ219" s="228">
        <v>-0.63</v>
      </c>
      <c r="DK219" s="228">
        <v>-0.63</v>
      </c>
      <c r="DL219" s="228">
        <v>40.56</v>
      </c>
      <c r="DM219" s="228">
        <v>40.299999999999997</v>
      </c>
      <c r="DN219" s="228">
        <v>0.26</v>
      </c>
      <c r="DO219" s="228">
        <v>0.26</v>
      </c>
      <c r="DP219" s="228">
        <v>0.86</v>
      </c>
      <c r="DQ219" s="228">
        <v>0.88</v>
      </c>
      <c r="DR219" s="228">
        <v>-0.02</v>
      </c>
      <c r="DS219" s="229">
        <v>-2.2700000000000001E-2</v>
      </c>
      <c r="DT219" s="228">
        <v>20</v>
      </c>
      <c r="DU219" s="228">
        <v>18</v>
      </c>
      <c r="DV219" s="228">
        <v>0.53</v>
      </c>
      <c r="DW219" s="228">
        <v>0.53</v>
      </c>
      <c r="DX219" s="228">
        <v>0</v>
      </c>
      <c r="DY219" s="229">
        <v>0</v>
      </c>
      <c r="DZ219" s="229">
        <v>7.6999999999999999E-2</v>
      </c>
      <c r="EA219" s="230">
        <v>85991500</v>
      </c>
      <c r="EB219" s="229">
        <v>6.3E-3</v>
      </c>
      <c r="EC219" s="229">
        <v>7.6999999999999999E-2</v>
      </c>
      <c r="ED219" s="228">
        <v>0.12</v>
      </c>
      <c r="EE219" s="229">
        <v>6.3E-3</v>
      </c>
      <c r="EF219" s="230">
        <v>31635407</v>
      </c>
      <c r="EG219" s="230">
        <v>52993089</v>
      </c>
      <c r="EH219" s="229">
        <v>-0.40300000000000002</v>
      </c>
      <c r="EI219" s="229">
        <v>0.35610000000000003</v>
      </c>
      <c r="EJ219" s="231">
        <v>46375.86</v>
      </c>
      <c r="EK219" s="231">
        <v>21173.16</v>
      </c>
      <c r="EL219" s="231">
        <v>15543.48</v>
      </c>
      <c r="EM219" s="231">
        <v>3915</v>
      </c>
      <c r="EN219" s="231">
        <v>83092.5</v>
      </c>
      <c r="EO219" s="231">
        <v>129307.28</v>
      </c>
      <c r="EP219" s="231">
        <v>-46214.78</v>
      </c>
      <c r="EQ219" s="229">
        <v>-0.3574</v>
      </c>
      <c r="ER219" s="231">
        <v>57006</v>
      </c>
      <c r="ES219" s="231">
        <v>43771</v>
      </c>
      <c r="ET219" s="231">
        <v>219625</v>
      </c>
      <c r="EU219" s="231">
        <v>3425130022</v>
      </c>
      <c r="EV219" s="231">
        <v>320402</v>
      </c>
      <c r="EW219" s="231">
        <v>316506</v>
      </c>
      <c r="EX219" s="231">
        <v>3896</v>
      </c>
      <c r="EY219" s="229">
        <v>1.23E-2</v>
      </c>
      <c r="EZ219" s="229">
        <v>0.48949999999999999</v>
      </c>
      <c r="FA219" s="227" t="s">
        <v>566</v>
      </c>
      <c r="FB219" s="161">
        <f t="shared" si="5"/>
        <v>0</v>
      </c>
    </row>
    <row r="220" spans="1:158" ht="17.25" thickBot="1" x14ac:dyDescent="0.3">
      <c r="A220" s="226">
        <v>46121</v>
      </c>
      <c r="B220" s="227" t="s">
        <v>170</v>
      </c>
      <c r="C220" s="227" t="s">
        <v>556</v>
      </c>
      <c r="D220" s="228">
        <v>900</v>
      </c>
      <c r="E220" s="228">
        <v>905.7</v>
      </c>
      <c r="F220" s="228">
        <v>893.45</v>
      </c>
      <c r="G220" s="228">
        <v>12.25</v>
      </c>
      <c r="H220" s="229">
        <v>1.37E-2</v>
      </c>
      <c r="I220" s="228">
        <v>902.25</v>
      </c>
      <c r="J220" s="228">
        <v>891.55</v>
      </c>
      <c r="K220" s="228">
        <v>10.7</v>
      </c>
      <c r="L220" s="229">
        <v>1.2E-2</v>
      </c>
      <c r="M220" s="228">
        <v>905.7</v>
      </c>
      <c r="N220" s="228">
        <v>893.45</v>
      </c>
      <c r="O220" s="228">
        <v>12.25</v>
      </c>
      <c r="P220" s="229">
        <v>1.37E-2</v>
      </c>
      <c r="Q220" s="228">
        <v>909.75</v>
      </c>
      <c r="R220" s="228">
        <v>899.6</v>
      </c>
      <c r="S220" s="228">
        <v>10.15</v>
      </c>
      <c r="T220" s="229">
        <v>1.1299999999999999E-2</v>
      </c>
      <c r="U220" s="228">
        <v>915.45</v>
      </c>
      <c r="V220" s="228">
        <v>902.4</v>
      </c>
      <c r="W220" s="228">
        <v>13.05</v>
      </c>
      <c r="X220" s="229">
        <v>1.4500000000000001E-2</v>
      </c>
      <c r="Y220" s="228">
        <v>3.45</v>
      </c>
      <c r="Z220" s="228">
        <v>1.9</v>
      </c>
      <c r="AA220" s="228">
        <v>1.55</v>
      </c>
      <c r="AB220" s="229">
        <v>3.8E-3</v>
      </c>
      <c r="AC220" s="228">
        <v>3.45</v>
      </c>
      <c r="AD220" s="228">
        <v>1.9</v>
      </c>
      <c r="AE220" s="228">
        <v>1.55</v>
      </c>
      <c r="AF220" s="229">
        <v>3.8E-3</v>
      </c>
      <c r="AG220" s="228">
        <v>7.5</v>
      </c>
      <c r="AH220" s="228">
        <v>8.0500000000000007</v>
      </c>
      <c r="AI220" s="228">
        <v>-0.55000000000000004</v>
      </c>
      <c r="AJ220" s="229">
        <v>8.3000000000000001E-3</v>
      </c>
      <c r="AK220" s="228">
        <v>13.2</v>
      </c>
      <c r="AL220" s="228">
        <v>10.85</v>
      </c>
      <c r="AM220" s="228">
        <v>2.35</v>
      </c>
      <c r="AN220" s="229">
        <v>1.46E-2</v>
      </c>
      <c r="AO220" s="228">
        <v>904.38</v>
      </c>
      <c r="AP220" s="228">
        <v>907.65</v>
      </c>
      <c r="AQ220" s="228">
        <v>0</v>
      </c>
      <c r="AR220" s="230">
        <v>1179000</v>
      </c>
      <c r="AS220" s="230">
        <v>1317600</v>
      </c>
      <c r="AT220" s="230">
        <v>-138600</v>
      </c>
      <c r="AU220" s="229">
        <v>-0.1052</v>
      </c>
      <c r="AV220" s="230">
        <v>1099800</v>
      </c>
      <c r="AW220" s="230">
        <v>1228500</v>
      </c>
      <c r="AX220" s="230">
        <v>-128700</v>
      </c>
      <c r="AY220" s="229">
        <v>-0.1048</v>
      </c>
      <c r="AZ220" s="230">
        <v>75600</v>
      </c>
      <c r="BA220" s="230">
        <v>87300</v>
      </c>
      <c r="BB220" s="230">
        <v>-11700</v>
      </c>
      <c r="BC220" s="229">
        <v>-0.13400000000000001</v>
      </c>
      <c r="BD220" s="230">
        <v>3600</v>
      </c>
      <c r="BE220" s="230">
        <v>1800</v>
      </c>
      <c r="BF220" s="230">
        <v>1800</v>
      </c>
      <c r="BG220" s="229">
        <v>1</v>
      </c>
      <c r="BH220" s="230">
        <v>5494500</v>
      </c>
      <c r="BI220" s="230">
        <v>2332800</v>
      </c>
      <c r="BJ220" s="230">
        <v>3161700</v>
      </c>
      <c r="BK220" s="229">
        <v>1.3552999999999999</v>
      </c>
      <c r="BL220" s="230">
        <v>1711800</v>
      </c>
      <c r="BM220" s="230">
        <v>1033200</v>
      </c>
      <c r="BN220" s="230">
        <v>678600</v>
      </c>
      <c r="BO220" s="229">
        <v>0.65680000000000005</v>
      </c>
      <c r="BP220" s="230">
        <v>8385300</v>
      </c>
      <c r="BQ220" s="230">
        <v>4683600</v>
      </c>
      <c r="BR220" s="230">
        <v>3701700</v>
      </c>
      <c r="BS220" s="229">
        <v>0.79039999999999999</v>
      </c>
      <c r="BT220" s="230">
        <v>732798</v>
      </c>
      <c r="BU220" s="230">
        <v>793841</v>
      </c>
      <c r="BV220" s="230">
        <v>-61043</v>
      </c>
      <c r="BW220" s="229">
        <v>-7.6899999999999996E-2</v>
      </c>
      <c r="BX220" s="230">
        <v>9027900</v>
      </c>
      <c r="BY220" s="230">
        <v>9190800</v>
      </c>
      <c r="BZ220" s="230">
        <v>-162900</v>
      </c>
      <c r="CA220" s="229">
        <v>-1.77E-2</v>
      </c>
      <c r="CB220" s="230">
        <v>8875800</v>
      </c>
      <c r="CC220" s="230">
        <v>9045900</v>
      </c>
      <c r="CD220" s="230">
        <v>-170100</v>
      </c>
      <c r="CE220" s="229">
        <v>-1.8800000000000001E-2</v>
      </c>
      <c r="CF220" s="230">
        <v>146700</v>
      </c>
      <c r="CG220" s="230">
        <v>140400</v>
      </c>
      <c r="CH220" s="230">
        <v>6300</v>
      </c>
      <c r="CI220" s="229">
        <v>4.4900000000000002E-2</v>
      </c>
      <c r="CJ220" s="230">
        <v>5400</v>
      </c>
      <c r="CK220" s="230">
        <v>4500</v>
      </c>
      <c r="CL220" s="228">
        <v>900</v>
      </c>
      <c r="CM220" s="229">
        <v>0.2</v>
      </c>
      <c r="CN220" s="230">
        <v>2614500</v>
      </c>
      <c r="CO220" s="230">
        <v>2313900</v>
      </c>
      <c r="CP220" s="230">
        <v>300600</v>
      </c>
      <c r="CQ220" s="229">
        <v>0.12989999999999999</v>
      </c>
      <c r="CR220" s="230">
        <v>2047500</v>
      </c>
      <c r="CS220" s="230">
        <v>1998900</v>
      </c>
      <c r="CT220" s="230">
        <v>48600</v>
      </c>
      <c r="CU220" s="229">
        <v>2.4299999999999999E-2</v>
      </c>
      <c r="CV220" s="230">
        <v>13689900</v>
      </c>
      <c r="CW220" s="230">
        <v>13503600</v>
      </c>
      <c r="CX220" s="230">
        <v>186300</v>
      </c>
      <c r="CY220" s="229">
        <v>1.38E-2</v>
      </c>
      <c r="CZ220" s="228">
        <v>25.13</v>
      </c>
      <c r="DA220" s="228">
        <v>25</v>
      </c>
      <c r="DB220" s="228">
        <v>0.13</v>
      </c>
      <c r="DC220" s="228">
        <v>0.13</v>
      </c>
      <c r="DD220" s="228">
        <v>28.35</v>
      </c>
      <c r="DE220" s="228">
        <v>28.36</v>
      </c>
      <c r="DF220" s="228">
        <v>-3.22</v>
      </c>
      <c r="DG220" s="228">
        <v>-0.01</v>
      </c>
      <c r="DH220" s="228">
        <v>24.56</v>
      </c>
      <c r="DI220" s="228">
        <v>24.25</v>
      </c>
      <c r="DJ220" s="228">
        <v>0.31</v>
      </c>
      <c r="DK220" s="228">
        <v>0.31</v>
      </c>
      <c r="DL220" s="228">
        <v>26.94</v>
      </c>
      <c r="DM220" s="228">
        <v>26.71</v>
      </c>
      <c r="DN220" s="228">
        <v>0.23</v>
      </c>
      <c r="DO220" s="228">
        <v>0.23</v>
      </c>
      <c r="DP220" s="228">
        <v>0.78</v>
      </c>
      <c r="DQ220" s="228">
        <v>0.86</v>
      </c>
      <c r="DR220" s="228">
        <v>-0.08</v>
      </c>
      <c r="DS220" s="229">
        <v>-9.2999999999999999E-2</v>
      </c>
      <c r="DT220" s="231">
        <v>1000</v>
      </c>
      <c r="DU220" s="228">
        <v>900</v>
      </c>
      <c r="DV220" s="228">
        <v>0.31</v>
      </c>
      <c r="DW220" s="228">
        <v>0.44</v>
      </c>
      <c r="DX220" s="228">
        <v>-0.13</v>
      </c>
      <c r="DY220" s="229">
        <v>-0.29549999999999998</v>
      </c>
      <c r="DZ220" s="229">
        <v>1.6799999999999999E-2</v>
      </c>
      <c r="EA220" s="230">
        <v>144900</v>
      </c>
      <c r="EB220" s="229">
        <v>4.4999999999999997E-3</v>
      </c>
      <c r="EC220" s="229">
        <v>1.6799999999999999E-2</v>
      </c>
      <c r="ED220" s="228">
        <v>3.27</v>
      </c>
      <c r="EE220" s="229">
        <v>3.5999999999999999E-3</v>
      </c>
      <c r="EF220" s="230">
        <v>351599</v>
      </c>
      <c r="EG220" s="230">
        <v>369128</v>
      </c>
      <c r="EH220" s="229">
        <v>-4.7500000000000001E-2</v>
      </c>
      <c r="EI220" s="229">
        <v>0.4798</v>
      </c>
      <c r="EJ220" s="231">
        <v>51571.79</v>
      </c>
      <c r="EK220" s="231">
        <v>15159.12</v>
      </c>
      <c r="EL220" s="231">
        <v>10665.43</v>
      </c>
      <c r="EM220" s="231">
        <v>1598</v>
      </c>
      <c r="EN220" s="231">
        <v>77396.34</v>
      </c>
      <c r="EO220" s="231">
        <v>42260.15</v>
      </c>
      <c r="EP220" s="231">
        <v>35136.19</v>
      </c>
      <c r="EQ220" s="229">
        <v>0.83140000000000003</v>
      </c>
      <c r="ER220" s="231">
        <v>24539</v>
      </c>
      <c r="ES220" s="231">
        <v>18128</v>
      </c>
      <c r="ET220" s="231">
        <v>81772</v>
      </c>
      <c r="EU220" s="231">
        <v>25160867</v>
      </c>
      <c r="EV220" s="231">
        <v>124439</v>
      </c>
      <c r="EW220" s="231">
        <v>121287</v>
      </c>
      <c r="EX220" s="231">
        <v>3152</v>
      </c>
      <c r="EY220" s="229">
        <v>2.5999999999999999E-2</v>
      </c>
      <c r="EZ220" s="229">
        <v>0.54410000000000003</v>
      </c>
      <c r="FA220" s="227" t="s">
        <v>694</v>
      </c>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BX330-CB330</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L8" sqref="L8"/>
    </sheetView>
  </sheetViews>
  <sheetFormatPr defaultColWidth="13.7109375" defaultRowHeight="15" x14ac:dyDescent="0.25"/>
  <cols>
    <col min="1" max="1" width="23.85546875" customWidth="1"/>
    <col min="2" max="2" width="12" customWidth="1"/>
    <col min="3" max="6" width="11.140625" customWidth="1"/>
    <col min="7" max="7" width="8.710937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46121</v>
      </c>
      <c r="C2" s="230">
        <v>9707024</v>
      </c>
      <c r="D2" s="230">
        <v>1454507</v>
      </c>
      <c r="E2" s="230">
        <v>9696635</v>
      </c>
      <c r="F2" s="230">
        <v>1450618</v>
      </c>
      <c r="G2" s="230">
        <v>10389</v>
      </c>
      <c r="H2" s="230">
        <v>3889</v>
      </c>
      <c r="I2" s="230">
        <v>13159652</v>
      </c>
      <c r="J2" s="230">
        <v>1325774</v>
      </c>
      <c r="K2" s="230">
        <v>504055</v>
      </c>
      <c r="L2" s="230">
        <v>56341</v>
      </c>
      <c r="M2" s="230">
        <v>13663707</v>
      </c>
      <c r="N2" s="230">
        <v>1382114</v>
      </c>
      <c r="O2" s="61"/>
      <c r="P2" s="61"/>
      <c r="Q2" s="61"/>
      <c r="R2" s="61"/>
      <c r="S2" s="61"/>
      <c r="U2" t="s">
        <v>453</v>
      </c>
      <c r="V2">
        <f>SUM('Data Vlaue (Cr)'!CD:CD)</f>
        <v>521790</v>
      </c>
      <c r="W2" t="s">
        <v>454</v>
      </c>
    </row>
    <row r="3" spans="1:23" ht="17.25" thickBot="1" x14ac:dyDescent="0.3">
      <c r="A3" s="227" t="s">
        <v>616</v>
      </c>
      <c r="B3" s="226">
        <v>46121</v>
      </c>
      <c r="C3" s="230">
        <v>2814</v>
      </c>
      <c r="D3" s="228">
        <v>467</v>
      </c>
      <c r="E3" s="230">
        <v>5809</v>
      </c>
      <c r="F3" s="228">
        <v>965</v>
      </c>
      <c r="G3" s="230">
        <v>-2995</v>
      </c>
      <c r="H3" s="228">
        <v>-498</v>
      </c>
      <c r="I3" s="230">
        <v>62124</v>
      </c>
      <c r="J3" s="230">
        <v>10428</v>
      </c>
      <c r="K3" s="230">
        <v>-1269</v>
      </c>
      <c r="L3" s="228">
        <v>-367</v>
      </c>
      <c r="M3" s="230">
        <v>60855</v>
      </c>
      <c r="N3" s="230">
        <v>10061</v>
      </c>
      <c r="O3" s="61"/>
      <c r="P3" s="61"/>
      <c r="Q3" s="61"/>
      <c r="R3" s="61"/>
      <c r="S3" s="61"/>
      <c r="U3" t="s">
        <v>453</v>
      </c>
      <c r="V3">
        <f>SUM('Data shares'!CC:CC)</f>
        <v>15740591301</v>
      </c>
      <c r="W3" t="s">
        <v>455</v>
      </c>
    </row>
    <row r="4" spans="1:23" ht="17.25" thickBot="1" x14ac:dyDescent="0.3">
      <c r="A4" s="227" t="s">
        <v>617</v>
      </c>
      <c r="B4" s="226">
        <v>46121</v>
      </c>
      <c r="C4" s="230">
        <v>227267</v>
      </c>
      <c r="D4" s="230">
        <v>38821</v>
      </c>
      <c r="E4" s="230">
        <v>226663</v>
      </c>
      <c r="F4" s="230">
        <v>38669</v>
      </c>
      <c r="G4" s="228">
        <v>604</v>
      </c>
      <c r="H4" s="228">
        <v>152</v>
      </c>
      <c r="I4" s="230">
        <v>420295</v>
      </c>
      <c r="J4" s="230">
        <v>70236</v>
      </c>
      <c r="K4" s="230">
        <v>5024</v>
      </c>
      <c r="L4" s="228">
        <v>-286</v>
      </c>
      <c r="M4" s="230">
        <v>425319</v>
      </c>
      <c r="N4" s="230">
        <v>69950</v>
      </c>
      <c r="O4" s="61"/>
      <c r="P4" s="61"/>
      <c r="Q4" s="61"/>
      <c r="R4" s="61"/>
      <c r="S4" s="61"/>
    </row>
    <row r="5" spans="1:23" ht="17.25" thickBot="1" x14ac:dyDescent="0.3">
      <c r="A5" s="227" t="s">
        <v>618</v>
      </c>
      <c r="B5" s="226">
        <v>46121</v>
      </c>
      <c r="C5" s="228">
        <v>15</v>
      </c>
      <c r="D5" s="228">
        <v>2</v>
      </c>
      <c r="E5" s="228">
        <v>37</v>
      </c>
      <c r="F5" s="228">
        <v>6</v>
      </c>
      <c r="G5" s="228">
        <v>-22</v>
      </c>
      <c r="H5" s="228">
        <v>-3</v>
      </c>
      <c r="I5" s="228">
        <v>185</v>
      </c>
      <c r="J5" s="228">
        <v>29</v>
      </c>
      <c r="K5" s="228">
        <v>8</v>
      </c>
      <c r="L5" s="228">
        <v>1</v>
      </c>
      <c r="M5" s="228">
        <v>193</v>
      </c>
      <c r="N5" s="228">
        <v>30</v>
      </c>
      <c r="O5" s="61"/>
      <c r="P5" s="61"/>
      <c r="Q5" s="61"/>
      <c r="R5" s="61"/>
      <c r="S5" s="61"/>
    </row>
    <row r="6" spans="1:23" ht="17.25" thickBot="1" x14ac:dyDescent="0.3">
      <c r="A6" s="227" t="s">
        <v>619</v>
      </c>
      <c r="B6" s="226">
        <v>46121</v>
      </c>
      <c r="C6" s="230">
        <v>2234</v>
      </c>
      <c r="D6" s="228">
        <v>358</v>
      </c>
      <c r="E6" s="230">
        <v>2156</v>
      </c>
      <c r="F6" s="228">
        <v>342</v>
      </c>
      <c r="G6" s="228">
        <v>78</v>
      </c>
      <c r="H6" s="228">
        <v>16</v>
      </c>
      <c r="I6" s="230">
        <v>1727</v>
      </c>
      <c r="J6" s="228">
        <v>270</v>
      </c>
      <c r="K6" s="228">
        <v>442</v>
      </c>
      <c r="L6" s="228">
        <v>64</v>
      </c>
      <c r="M6" s="230">
        <v>2169</v>
      </c>
      <c r="N6" s="228">
        <v>334</v>
      </c>
      <c r="O6" s="61"/>
      <c r="P6" s="61"/>
      <c r="Q6" s="61"/>
      <c r="R6" s="61"/>
      <c r="S6" s="61"/>
    </row>
    <row r="7" spans="1:23" ht="17.25" thickBot="1" x14ac:dyDescent="0.3">
      <c r="A7" s="227" t="s">
        <v>620</v>
      </c>
      <c r="B7" s="226">
        <v>46121</v>
      </c>
      <c r="C7" s="230">
        <v>15442</v>
      </c>
      <c r="D7" s="230">
        <v>2434</v>
      </c>
      <c r="E7" s="230">
        <v>15760</v>
      </c>
      <c r="F7" s="230">
        <v>2518</v>
      </c>
      <c r="G7" s="228">
        <v>-318</v>
      </c>
      <c r="H7" s="228">
        <v>-84</v>
      </c>
      <c r="I7" s="230">
        <v>392210</v>
      </c>
      <c r="J7" s="230">
        <v>62173</v>
      </c>
      <c r="K7" s="230">
        <v>-6480</v>
      </c>
      <c r="L7" s="230">
        <v>-1570</v>
      </c>
      <c r="M7" s="230">
        <v>385730</v>
      </c>
      <c r="N7" s="230">
        <v>60603</v>
      </c>
    </row>
    <row r="8" spans="1:23" ht="17.25" thickBot="1" x14ac:dyDescent="0.3">
      <c r="A8" s="227" t="s">
        <v>621</v>
      </c>
      <c r="B8" s="226">
        <v>46121</v>
      </c>
      <c r="C8" s="230">
        <v>4528511</v>
      </c>
      <c r="D8" s="230">
        <v>704946</v>
      </c>
      <c r="E8" s="230">
        <v>4515636</v>
      </c>
      <c r="F8" s="230">
        <v>702626</v>
      </c>
      <c r="G8" s="230">
        <v>12875</v>
      </c>
      <c r="H8" s="230">
        <v>2320</v>
      </c>
      <c r="I8" s="230">
        <v>2221377</v>
      </c>
      <c r="J8" s="230">
        <v>351230</v>
      </c>
      <c r="K8" s="230">
        <v>195796</v>
      </c>
      <c r="L8" s="230">
        <v>26638</v>
      </c>
      <c r="M8" s="230">
        <v>2417173</v>
      </c>
      <c r="N8" s="230">
        <v>377869</v>
      </c>
    </row>
    <row r="9" spans="1:23" ht="17.25" thickBot="1" x14ac:dyDescent="0.3">
      <c r="A9" s="227" t="s">
        <v>622</v>
      </c>
      <c r="B9" s="226">
        <v>46121</v>
      </c>
      <c r="C9" s="228">
        <v>798</v>
      </c>
      <c r="D9" s="228">
        <v>127</v>
      </c>
      <c r="E9" s="230">
        <v>1677</v>
      </c>
      <c r="F9" s="228">
        <v>266</v>
      </c>
      <c r="G9" s="228">
        <v>-879</v>
      </c>
      <c r="H9" s="228">
        <v>-140</v>
      </c>
      <c r="I9" s="230">
        <v>29322</v>
      </c>
      <c r="J9" s="230">
        <v>4667</v>
      </c>
      <c r="K9" s="228">
        <v>45</v>
      </c>
      <c r="L9" s="228">
        <v>-4</v>
      </c>
      <c r="M9" s="230">
        <v>29367</v>
      </c>
      <c r="N9" s="230">
        <v>4664</v>
      </c>
    </row>
    <row r="10" spans="1:23" ht="17.25" thickBot="1" x14ac:dyDescent="0.3">
      <c r="A10" s="227" t="s">
        <v>623</v>
      </c>
      <c r="B10" s="226">
        <v>46121</v>
      </c>
      <c r="C10" s="230">
        <v>35505</v>
      </c>
      <c r="D10" s="230">
        <v>5577</v>
      </c>
      <c r="E10" s="230">
        <v>35033</v>
      </c>
      <c r="F10" s="230">
        <v>5520</v>
      </c>
      <c r="G10" s="228">
        <v>472</v>
      </c>
      <c r="H10" s="228">
        <v>57</v>
      </c>
      <c r="I10" s="230">
        <v>20100</v>
      </c>
      <c r="J10" s="230">
        <v>3189</v>
      </c>
      <c r="K10" s="230">
        <v>4916</v>
      </c>
      <c r="L10" s="228">
        <v>776</v>
      </c>
      <c r="M10" s="230">
        <v>25016</v>
      </c>
      <c r="N10" s="230">
        <v>3965</v>
      </c>
    </row>
    <row r="11" spans="1:23" ht="17.25" thickBot="1" x14ac:dyDescent="0.3">
      <c r="A11" s="227" t="s">
        <v>624</v>
      </c>
      <c r="B11" s="226">
        <v>46121</v>
      </c>
      <c r="C11" s="230">
        <v>11662</v>
      </c>
      <c r="D11" s="230">
        <v>1812</v>
      </c>
      <c r="E11" s="230">
        <v>8132</v>
      </c>
      <c r="F11" s="230">
        <v>1264</v>
      </c>
      <c r="G11" s="230">
        <v>3530</v>
      </c>
      <c r="H11" s="228">
        <v>548</v>
      </c>
      <c r="I11" s="230">
        <v>300068</v>
      </c>
      <c r="J11" s="230">
        <v>46963</v>
      </c>
      <c r="K11" s="230">
        <v>-5254</v>
      </c>
      <c r="L11" s="230">
        <v>-1198</v>
      </c>
      <c r="M11" s="230">
        <v>294814</v>
      </c>
      <c r="N11" s="230">
        <v>45765</v>
      </c>
    </row>
    <row r="12" spans="1:23" ht="17.25" thickBot="1" x14ac:dyDescent="0.3">
      <c r="A12" s="227" t="s">
        <v>625</v>
      </c>
      <c r="B12" s="226">
        <v>46121</v>
      </c>
      <c r="C12" s="230">
        <v>4263452</v>
      </c>
      <c r="D12" s="230">
        <v>660182</v>
      </c>
      <c r="E12" s="230">
        <v>4251735</v>
      </c>
      <c r="F12" s="230">
        <v>658088</v>
      </c>
      <c r="G12" s="230">
        <v>11717</v>
      </c>
      <c r="H12" s="230">
        <v>2094</v>
      </c>
      <c r="I12" s="230">
        <v>1778990</v>
      </c>
      <c r="J12" s="230">
        <v>277492</v>
      </c>
      <c r="K12" s="230">
        <v>185386</v>
      </c>
      <c r="L12" s="230">
        <v>26079</v>
      </c>
      <c r="M12" s="230">
        <v>1964376</v>
      </c>
      <c r="N12" s="230">
        <v>303571</v>
      </c>
    </row>
    <row r="13" spans="1:23" ht="17.25" thickBot="1" x14ac:dyDescent="0.3">
      <c r="A13" s="227" t="s">
        <v>626</v>
      </c>
      <c r="B13" s="226">
        <v>46121</v>
      </c>
      <c r="C13" s="228">
        <v>153</v>
      </c>
      <c r="D13" s="228">
        <v>25</v>
      </c>
      <c r="E13" s="228">
        <v>105</v>
      </c>
      <c r="F13" s="228">
        <v>17</v>
      </c>
      <c r="G13" s="228">
        <v>48</v>
      </c>
      <c r="H13" s="228">
        <v>8</v>
      </c>
      <c r="I13" s="228">
        <v>511</v>
      </c>
      <c r="J13" s="228">
        <v>85</v>
      </c>
      <c r="K13" s="228">
        <v>-10</v>
      </c>
      <c r="L13" s="228">
        <v>-2</v>
      </c>
      <c r="M13" s="228">
        <v>501</v>
      </c>
      <c r="N13" s="228">
        <v>83</v>
      </c>
    </row>
    <row r="14" spans="1:23" ht="17.25" thickBot="1" x14ac:dyDescent="0.3">
      <c r="A14" s="227" t="s">
        <v>627</v>
      </c>
      <c r="B14" s="226">
        <v>46121</v>
      </c>
      <c r="C14" s="228">
        <v>53</v>
      </c>
      <c r="D14" s="228">
        <v>9</v>
      </c>
      <c r="E14" s="228">
        <v>49</v>
      </c>
      <c r="F14" s="228">
        <v>8</v>
      </c>
      <c r="G14" s="228">
        <v>4</v>
      </c>
      <c r="H14" s="228">
        <v>1</v>
      </c>
      <c r="I14" s="228">
        <v>265</v>
      </c>
      <c r="J14" s="228">
        <v>44</v>
      </c>
      <c r="K14" s="228">
        <v>28</v>
      </c>
      <c r="L14" s="228">
        <v>5</v>
      </c>
      <c r="M14" s="228">
        <v>293</v>
      </c>
      <c r="N14" s="228">
        <v>49</v>
      </c>
    </row>
    <row r="15" spans="1:23" ht="17.25" thickBot="1" x14ac:dyDescent="0.3">
      <c r="A15" s="227" t="s">
        <v>628</v>
      </c>
      <c r="B15" s="226">
        <v>46121</v>
      </c>
      <c r="C15" s="230">
        <v>346942</v>
      </c>
      <c r="D15" s="230">
        <v>21874</v>
      </c>
      <c r="E15" s="230">
        <v>355535</v>
      </c>
      <c r="F15" s="230">
        <v>21998</v>
      </c>
      <c r="G15" s="230">
        <v>-8593</v>
      </c>
      <c r="H15" s="228">
        <v>-124</v>
      </c>
      <c r="I15" s="230">
        <v>7312071</v>
      </c>
      <c r="J15" s="230">
        <v>458307</v>
      </c>
      <c r="K15" s="230">
        <v>42367</v>
      </c>
      <c r="L15" s="228">
        <v>982</v>
      </c>
      <c r="M15" s="230">
        <v>7354438</v>
      </c>
      <c r="N15" s="230">
        <v>459289</v>
      </c>
    </row>
    <row r="16" spans="1:23" ht="17.25" thickBot="1" x14ac:dyDescent="0.3">
      <c r="A16" s="227" t="s">
        <v>629</v>
      </c>
      <c r="B16" s="226">
        <v>46121</v>
      </c>
      <c r="C16" s="230">
        <v>272176</v>
      </c>
      <c r="D16" s="230">
        <v>17873</v>
      </c>
      <c r="E16" s="230">
        <v>278308</v>
      </c>
      <c r="F16" s="230">
        <v>18331</v>
      </c>
      <c r="G16" s="230">
        <v>-6132</v>
      </c>
      <c r="H16" s="228">
        <v>-458</v>
      </c>
      <c r="I16" s="230">
        <v>620407</v>
      </c>
      <c r="J16" s="230">
        <v>40661</v>
      </c>
      <c r="K16" s="230">
        <v>83056</v>
      </c>
      <c r="L16" s="230">
        <v>5221</v>
      </c>
      <c r="M16" s="230">
        <v>703463</v>
      </c>
      <c r="N16" s="230">
        <v>45882</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8" activePane="bottomLeft" state="frozen"/>
      <selection activeCell="E46" sqref="E46"/>
      <selection pane="bottomLeft" activeCell="U13" sqref="U13"/>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2" t="s">
        <v>325</v>
      </c>
      <c r="B3" s="263"/>
      <c r="C3" s="263"/>
      <c r="D3" s="263"/>
      <c r="E3" s="263"/>
      <c r="F3" s="263"/>
      <c r="G3" s="263"/>
      <c r="H3" s="263"/>
      <c r="I3" s="263"/>
      <c r="J3" s="263"/>
      <c r="K3" s="263"/>
      <c r="L3" s="263"/>
      <c r="M3" s="263"/>
      <c r="N3" s="263"/>
      <c r="O3" s="263"/>
      <c r="P3" s="263"/>
      <c r="Q3" s="264"/>
    </row>
    <row r="4" spans="1:17" s="64" customFormat="1" x14ac:dyDescent="0.25">
      <c r="A4" s="265"/>
      <c r="B4" s="265" t="s">
        <v>308</v>
      </c>
      <c r="C4" s="265"/>
      <c r="D4" s="266"/>
      <c r="E4" s="266"/>
      <c r="F4" s="265" t="s">
        <v>326</v>
      </c>
      <c r="G4" s="265"/>
      <c r="H4" s="265"/>
      <c r="I4" s="265" t="s">
        <v>327</v>
      </c>
      <c r="J4" s="265"/>
      <c r="K4" s="265"/>
      <c r="L4" s="265" t="s">
        <v>311</v>
      </c>
      <c r="M4" s="265"/>
      <c r="N4" s="265"/>
      <c r="O4" s="265"/>
      <c r="P4" s="265"/>
      <c r="Q4" s="265"/>
    </row>
    <row r="5" spans="1:17" s="64" customFormat="1" x14ac:dyDescent="0.25">
      <c r="A5" s="260"/>
      <c r="B5" s="73" t="s">
        <v>312</v>
      </c>
      <c r="C5" s="260" t="s">
        <v>313</v>
      </c>
      <c r="D5" s="261"/>
      <c r="E5" s="261"/>
      <c r="F5" s="260" t="s">
        <v>314</v>
      </c>
      <c r="G5" s="260"/>
      <c r="H5" s="260"/>
      <c r="I5" s="260" t="s">
        <v>315</v>
      </c>
      <c r="J5" s="260"/>
      <c r="K5" s="260"/>
      <c r="L5" s="260" t="s">
        <v>316</v>
      </c>
      <c r="M5" s="260"/>
      <c r="N5" s="260"/>
      <c r="O5" s="260" t="s">
        <v>317</v>
      </c>
      <c r="P5" s="260"/>
      <c r="Q5" s="260"/>
    </row>
    <row r="6" spans="1:17" s="72" customFormat="1" ht="33.75" x14ac:dyDescent="0.25">
      <c r="A6" s="71" t="s">
        <v>557</v>
      </c>
      <c r="B6" s="66">
        <f>'Snapshot (Value)'!C10</f>
        <v>46121</v>
      </c>
      <c r="C6" s="66">
        <f>'Snapshot (Value)'!D10</f>
        <v>46121</v>
      </c>
      <c r="D6" s="71" t="s">
        <v>322</v>
      </c>
      <c r="E6" s="71" t="s">
        <v>328</v>
      </c>
      <c r="F6" s="66">
        <f>C6</f>
        <v>46121</v>
      </c>
      <c r="G6" s="71" t="s">
        <v>322</v>
      </c>
      <c r="H6" s="71" t="s">
        <v>328</v>
      </c>
      <c r="I6" s="66">
        <f>C6</f>
        <v>46121</v>
      </c>
      <c r="J6" s="71" t="s">
        <v>322</v>
      </c>
      <c r="K6" s="71" t="s">
        <v>328</v>
      </c>
      <c r="L6" s="66">
        <f>C6</f>
        <v>46121</v>
      </c>
      <c r="M6" s="71" t="s">
        <v>322</v>
      </c>
      <c r="N6" s="71" t="s">
        <v>328</v>
      </c>
      <c r="O6" s="66">
        <f>C6</f>
        <v>46121</v>
      </c>
      <c r="P6" s="71" t="s">
        <v>322</v>
      </c>
      <c r="Q6" s="71" t="s">
        <v>328</v>
      </c>
    </row>
    <row r="7" spans="1:17" x14ac:dyDescent="0.25">
      <c r="A7" s="97" t="str">
        <f>'Snapshot (Value)'!A11</f>
        <v>360ONE</v>
      </c>
      <c r="B7" s="140">
        <f>VLOOKUP($A7,'Data shares'!$C:$FB,7)</f>
        <v>998.1</v>
      </c>
      <c r="C7" s="140">
        <f>VLOOKUP($A7,'Data shares'!$C:$FB,3)</f>
        <v>1001.3</v>
      </c>
      <c r="D7" s="140">
        <f>VLOOKUP($A7,'Data shares'!$C:$FB,4)</f>
        <v>973.85</v>
      </c>
      <c r="E7" s="50">
        <f>(C7-D7)/D7*100</f>
        <v>2.8187092468039157</v>
      </c>
      <c r="F7" s="49">
        <f>VLOOKUP($A7,'Data shares'!$C:$FB,98)</f>
        <v>6540500</v>
      </c>
      <c r="G7" s="49">
        <f>VLOOKUP($A7,'Data shares'!$C:$FB,99)</f>
        <v>5999500</v>
      </c>
      <c r="H7" s="50">
        <f>(F7-G7)/G7*100</f>
        <v>9.017418118176515</v>
      </c>
      <c r="I7" s="49">
        <f>VLOOKUP($A7,'Data shares'!$C:$FB,66)</f>
        <v>6903000</v>
      </c>
      <c r="J7" s="49">
        <f>VLOOKUP($A7,'Data shares'!$C:$FB,67)</f>
        <v>6714500</v>
      </c>
      <c r="K7" s="50">
        <f>(I7-J7)/I7*100</f>
        <v>2.7306967984934087</v>
      </c>
      <c r="L7" s="50">
        <f>VLOOKUP($A7,'Data shares'!$C:$FB,118)</f>
        <v>0.78</v>
      </c>
      <c r="M7" s="50">
        <f>VLOOKUP($A7,'Data shares'!$C:$FB,119)</f>
        <v>0.56999999999999995</v>
      </c>
      <c r="N7" s="50">
        <f>VLOOKUP($A7,'Data shares'!$C:$FB,121)*100</f>
        <v>36.840000000000003</v>
      </c>
      <c r="O7" s="50">
        <f>VLOOKUP($A7,'Data shares'!$C:$FB,124)</f>
        <v>0.2</v>
      </c>
      <c r="P7" s="50">
        <f>VLOOKUP($A7,'Data shares'!$C:$FB,125)</f>
        <v>0.24</v>
      </c>
      <c r="Q7" s="50">
        <f>VLOOKUP($A7,'Data shares'!$C:$FB,127)*100</f>
        <v>-16.669999999999998</v>
      </c>
    </row>
    <row r="8" spans="1:17" x14ac:dyDescent="0.25">
      <c r="A8" s="97" t="str">
        <f>'Snapshot (Value)'!A12</f>
        <v>ABB</v>
      </c>
      <c r="B8" s="140">
        <f>VLOOKUP($A8,'Data shares'!$C:$FB,7)</f>
        <v>6614</v>
      </c>
      <c r="C8" s="140">
        <f>VLOOKUP($A8,'Data shares'!$C:$FB,3)</f>
        <v>6646.5</v>
      </c>
      <c r="D8" s="140">
        <f>VLOOKUP($A8,'Data shares'!$C:$FB,4)</f>
        <v>6557</v>
      </c>
      <c r="E8" s="50">
        <f t="shared" ref="E8:E71" si="0">(C8-D8)/D8*100</f>
        <v>1.3649534848253775</v>
      </c>
      <c r="F8" s="49">
        <f>VLOOKUP($A8,'Data shares'!$C:$FB,98)</f>
        <v>3538250</v>
      </c>
      <c r="G8" s="49">
        <f>VLOOKUP($A8,'Data shares'!$C:$FB,99)</f>
        <v>3371125</v>
      </c>
      <c r="H8" s="50">
        <f t="shared" ref="H8:H71" si="1">(F8-G8)/G8*100</f>
        <v>4.9575438466387327</v>
      </c>
      <c r="I8" s="49">
        <f>VLOOKUP($A8,'Data shares'!$C:$FB,66)</f>
        <v>2978125</v>
      </c>
      <c r="J8" s="49">
        <f>VLOOKUP($A8,'Data shares'!$C:$FB,67)</f>
        <v>3918625</v>
      </c>
      <c r="K8" s="50">
        <f t="shared" ref="K8:K71" si="2">(I8-J8)/I8*100</f>
        <v>-31.580272822665268</v>
      </c>
      <c r="L8" s="50">
        <f>VLOOKUP($A8,'Data shares'!$C:$FB,118)</f>
        <v>1.05</v>
      </c>
      <c r="M8" s="50">
        <f>VLOOKUP($A8,'Data shares'!$C:$FB,119)</f>
        <v>0.97</v>
      </c>
      <c r="N8" s="50">
        <f>VLOOKUP($A8,'Data shares'!$C:$FB,121)*100</f>
        <v>8.25</v>
      </c>
      <c r="O8" s="50">
        <f>VLOOKUP($A8,'Data shares'!$C:$FB,124)</f>
        <v>0.48</v>
      </c>
      <c r="P8" s="50">
        <f>VLOOKUP($A8,'Data shares'!$C:$FB,125)</f>
        <v>0.43</v>
      </c>
      <c r="Q8" s="50">
        <f>VLOOKUP($A8,'Data shares'!$C:$FB,127)*100</f>
        <v>11.63</v>
      </c>
    </row>
    <row r="9" spans="1:17" x14ac:dyDescent="0.25">
      <c r="A9" s="97" t="str">
        <f>'Snapshot (Value)'!A13</f>
        <v>ABCAPITAL</v>
      </c>
      <c r="B9" s="140">
        <f>VLOOKUP($A9,'Data shares'!$C:$FB,7)</f>
        <v>334.55</v>
      </c>
      <c r="C9" s="140">
        <f>VLOOKUP($A9,'Data shares'!$C:$FB,3)</f>
        <v>335.75</v>
      </c>
      <c r="D9" s="140">
        <f>VLOOKUP($A9,'Data shares'!$C:$FB,4)</f>
        <v>340.15</v>
      </c>
      <c r="E9" s="50">
        <f t="shared" si="0"/>
        <v>-1.2935469645744457</v>
      </c>
      <c r="F9" s="49">
        <f>VLOOKUP($A9,'Data shares'!$C:$FB,98)</f>
        <v>60171000</v>
      </c>
      <c r="G9" s="49">
        <f>VLOOKUP($A9,'Data shares'!$C:$FB,99)</f>
        <v>58121900</v>
      </c>
      <c r="H9" s="50">
        <f t="shared" si="1"/>
        <v>3.5255213611392611</v>
      </c>
      <c r="I9" s="49">
        <f>VLOOKUP($A9,'Data shares'!$C:$FB,66)</f>
        <v>29124500</v>
      </c>
      <c r="J9" s="49">
        <f>VLOOKUP($A9,'Data shares'!$C:$FB,67)</f>
        <v>55666700</v>
      </c>
      <c r="K9" s="50">
        <f t="shared" si="2"/>
        <v>-91.133581692389569</v>
      </c>
      <c r="L9" s="50">
        <f>VLOOKUP($A9,'Data shares'!$C:$FB,118)</f>
        <v>0.97</v>
      </c>
      <c r="M9" s="50">
        <f>VLOOKUP($A9,'Data shares'!$C:$FB,119)</f>
        <v>0.98</v>
      </c>
      <c r="N9" s="50">
        <f>VLOOKUP($A9,'Data shares'!$C:$FB,121)*100</f>
        <v>-1.02</v>
      </c>
      <c r="O9" s="50">
        <f>VLOOKUP($A9,'Data shares'!$C:$FB,124)</f>
        <v>0.97</v>
      </c>
      <c r="P9" s="50">
        <f>VLOOKUP($A9,'Data shares'!$C:$FB,125)</f>
        <v>0.95</v>
      </c>
      <c r="Q9" s="50">
        <f>VLOOKUP($A9,'Data shares'!$C:$FB,127)*100</f>
        <v>2.11</v>
      </c>
    </row>
    <row r="10" spans="1:17" x14ac:dyDescent="0.25">
      <c r="A10" s="97" t="str">
        <f>'Snapshot (Value)'!A14</f>
        <v>ADANIENSOL</v>
      </c>
      <c r="B10" s="140">
        <f>VLOOKUP($A10,'Data shares'!$C:$FB,7)</f>
        <v>1078.75</v>
      </c>
      <c r="C10" s="140">
        <f>VLOOKUP($A10,'Data shares'!$C:$FB,3)</f>
        <v>1080.05</v>
      </c>
      <c r="D10" s="140">
        <f>VLOOKUP($A10,'Data shares'!$C:$FB,4)</f>
        <v>1080</v>
      </c>
      <c r="E10" s="50">
        <f t="shared" si="0"/>
        <v>4.6296296296254192E-3</v>
      </c>
      <c r="F10" s="49">
        <f>VLOOKUP($A10,'Data shares'!$C:$FB,98)</f>
        <v>24261525</v>
      </c>
      <c r="G10" s="49">
        <f>VLOOKUP($A10,'Data shares'!$C:$FB,99)</f>
        <v>24329025</v>
      </c>
      <c r="H10" s="50">
        <f t="shared" si="1"/>
        <v>-0.27744638348639122</v>
      </c>
      <c r="I10" s="49">
        <f>VLOOKUP($A10,'Data shares'!$C:$FB,66)</f>
        <v>9104400</v>
      </c>
      <c r="J10" s="49">
        <f>VLOOKUP($A10,'Data shares'!$C:$FB,67)</f>
        <v>20133900</v>
      </c>
      <c r="K10" s="50">
        <f t="shared" si="2"/>
        <v>-121.1447212336892</v>
      </c>
      <c r="L10" s="50">
        <f>VLOOKUP($A10,'Data shares'!$C:$FB,118)</f>
        <v>0.53</v>
      </c>
      <c r="M10" s="50">
        <f>VLOOKUP($A10,'Data shares'!$C:$FB,119)</f>
        <v>0.48</v>
      </c>
      <c r="N10" s="50">
        <f>VLOOKUP($A10,'Data shares'!$C:$FB,121)*100</f>
        <v>10.42</v>
      </c>
      <c r="O10" s="50">
        <f>VLOOKUP($A10,'Data shares'!$C:$FB,124)</f>
        <v>0.36</v>
      </c>
      <c r="P10" s="50">
        <f>VLOOKUP($A10,'Data shares'!$C:$FB,125)</f>
        <v>0.28000000000000003</v>
      </c>
      <c r="Q10" s="50">
        <f>VLOOKUP($A10,'Data shares'!$C:$FB,127)*100</f>
        <v>28.57</v>
      </c>
    </row>
    <row r="11" spans="1:17" x14ac:dyDescent="0.25">
      <c r="A11" s="97" t="str">
        <f>'Snapshot (Value)'!A15</f>
        <v>ADANIENT</v>
      </c>
      <c r="B11" s="140">
        <f>VLOOKUP($A11,'Data shares'!$C:$FB,7)</f>
        <v>2040.5</v>
      </c>
      <c r="C11" s="140">
        <f>VLOOKUP($A11,'Data shares'!$C:$FB,3)</f>
        <v>2050.8000000000002</v>
      </c>
      <c r="D11" s="140">
        <f>VLOOKUP($A11,'Data shares'!$C:$FB,4)</f>
        <v>2053.6999999999998</v>
      </c>
      <c r="E11" s="50">
        <f t="shared" si="0"/>
        <v>-0.14120855042117331</v>
      </c>
      <c r="F11" s="49">
        <f>VLOOKUP($A11,'Data shares'!$C:$FB,98)</f>
        <v>28226841</v>
      </c>
      <c r="G11" s="49">
        <f>VLOOKUP($A11,'Data shares'!$C:$FB,99)</f>
        <v>28333755</v>
      </c>
      <c r="H11" s="50">
        <f t="shared" si="1"/>
        <v>-0.37733791373575443</v>
      </c>
      <c r="I11" s="49">
        <f>VLOOKUP($A11,'Data shares'!$C:$FB,66)</f>
        <v>13856487</v>
      </c>
      <c r="J11" s="49">
        <f>VLOOKUP($A11,'Data shares'!$C:$FB,67)</f>
        <v>41496846</v>
      </c>
      <c r="K11" s="50">
        <f t="shared" si="2"/>
        <v>-199.47594942354436</v>
      </c>
      <c r="L11" s="50">
        <f>VLOOKUP($A11,'Data shares'!$C:$FB,118)</f>
        <v>0.88</v>
      </c>
      <c r="M11" s="50">
        <f>VLOOKUP($A11,'Data shares'!$C:$FB,119)</f>
        <v>0.85</v>
      </c>
      <c r="N11" s="50">
        <f>VLOOKUP($A11,'Data shares'!$C:$FB,121)*100</f>
        <v>3.53</v>
      </c>
      <c r="O11" s="50">
        <f>VLOOKUP($A11,'Data shares'!$C:$FB,124)</f>
        <v>0.43</v>
      </c>
      <c r="P11" s="50">
        <f>VLOOKUP($A11,'Data shares'!$C:$FB,125)</f>
        <v>0.39</v>
      </c>
      <c r="Q11" s="50">
        <f>VLOOKUP($A11,'Data shares'!$C:$FB,127)*100</f>
        <v>10.26</v>
      </c>
    </row>
    <row r="12" spans="1:17" x14ac:dyDescent="0.25">
      <c r="A12" s="97" t="str">
        <f>'Snapshot (Value)'!A16</f>
        <v>ADANIGREEN</v>
      </c>
      <c r="B12" s="140">
        <f>VLOOKUP($A12,'Data shares'!$C:$FB,7)</f>
        <v>1044.55</v>
      </c>
      <c r="C12" s="140">
        <f>VLOOKUP($A12,'Data shares'!$C:$FB,3)</f>
        <v>1049.6500000000001</v>
      </c>
      <c r="D12" s="140">
        <f>VLOOKUP($A12,'Data shares'!$C:$FB,4)</f>
        <v>1031.6500000000001</v>
      </c>
      <c r="E12" s="50">
        <f t="shared" si="0"/>
        <v>1.7447777831628943</v>
      </c>
      <c r="F12" s="49">
        <f>VLOOKUP($A12,'Data shares'!$C:$FB,98)</f>
        <v>32394000</v>
      </c>
      <c r="G12" s="49">
        <f>VLOOKUP($A12,'Data shares'!$C:$FB,99)</f>
        <v>33072600</v>
      </c>
      <c r="H12" s="50">
        <f t="shared" si="1"/>
        <v>-2.0518495673155424</v>
      </c>
      <c r="I12" s="49">
        <f>VLOOKUP($A12,'Data shares'!$C:$FB,66)</f>
        <v>21910800</v>
      </c>
      <c r="J12" s="49">
        <f>VLOOKUP($A12,'Data shares'!$C:$FB,67)</f>
        <v>57915000</v>
      </c>
      <c r="K12" s="50">
        <f t="shared" si="2"/>
        <v>-164.32170436497069</v>
      </c>
      <c r="L12" s="50">
        <f>VLOOKUP($A12,'Data shares'!$C:$FB,118)</f>
        <v>0.87</v>
      </c>
      <c r="M12" s="50">
        <f>VLOOKUP($A12,'Data shares'!$C:$FB,119)</f>
        <v>0.75</v>
      </c>
      <c r="N12" s="50">
        <f>VLOOKUP($A12,'Data shares'!$C:$FB,121)*100</f>
        <v>16</v>
      </c>
      <c r="O12" s="50">
        <f>VLOOKUP($A12,'Data shares'!$C:$FB,124)</f>
        <v>0.57999999999999996</v>
      </c>
      <c r="P12" s="50">
        <f>VLOOKUP($A12,'Data shares'!$C:$FB,125)</f>
        <v>0.39</v>
      </c>
      <c r="Q12" s="50">
        <f>VLOOKUP($A12,'Data shares'!$C:$FB,127)*100</f>
        <v>48.72</v>
      </c>
    </row>
    <row r="13" spans="1:17" x14ac:dyDescent="0.25">
      <c r="A13" s="97" t="str">
        <f>'Snapshot (Value)'!A17</f>
        <v>ADANIPORTS</v>
      </c>
      <c r="B13" s="140">
        <f>VLOOKUP($A13,'Data shares'!$C:$FB,7)</f>
        <v>1447.4</v>
      </c>
      <c r="C13" s="140">
        <f>VLOOKUP($A13,'Data shares'!$C:$FB,3)</f>
        <v>1452</v>
      </c>
      <c r="D13" s="140">
        <f>VLOOKUP($A13,'Data shares'!$C:$FB,4)</f>
        <v>1460.5</v>
      </c>
      <c r="E13" s="50">
        <f t="shared" si="0"/>
        <v>-0.58199246833276275</v>
      </c>
      <c r="F13" s="49">
        <f>VLOOKUP($A13,'Data shares'!$C:$FB,98)</f>
        <v>35379900</v>
      </c>
      <c r="G13" s="49">
        <f>VLOOKUP($A13,'Data shares'!$C:$FB,99)</f>
        <v>35112000</v>
      </c>
      <c r="H13" s="50">
        <f t="shared" si="1"/>
        <v>0.76298701298701299</v>
      </c>
      <c r="I13" s="49">
        <f>VLOOKUP($A13,'Data shares'!$C:$FB,66)</f>
        <v>20635425</v>
      </c>
      <c r="J13" s="49">
        <f>VLOOKUP($A13,'Data shares'!$C:$FB,67)</f>
        <v>74563125</v>
      </c>
      <c r="K13" s="50">
        <f t="shared" si="2"/>
        <v>-261.33554312547477</v>
      </c>
      <c r="L13" s="50">
        <f>VLOOKUP($A13,'Data shares'!$C:$FB,118)</f>
        <v>0.63</v>
      </c>
      <c r="M13" s="50">
        <f>VLOOKUP($A13,'Data shares'!$C:$FB,119)</f>
        <v>0.56999999999999995</v>
      </c>
      <c r="N13" s="50">
        <f>VLOOKUP($A13,'Data shares'!$C:$FB,121)*100</f>
        <v>10.530000000000001</v>
      </c>
      <c r="O13" s="50">
        <f>VLOOKUP($A13,'Data shares'!$C:$FB,124)</f>
        <v>0.62</v>
      </c>
      <c r="P13" s="50">
        <f>VLOOKUP($A13,'Data shares'!$C:$FB,125)</f>
        <v>0.49</v>
      </c>
      <c r="Q13" s="50">
        <f>VLOOKUP($A13,'Data shares'!$C:$FB,127)*100</f>
        <v>26.529999999999998</v>
      </c>
    </row>
    <row r="14" spans="1:17" x14ac:dyDescent="0.25">
      <c r="A14" s="97" t="str">
        <f>'Snapshot (Value)'!A18</f>
        <v>ADANIPOWER</v>
      </c>
      <c r="B14" s="140">
        <f>VLOOKUP($A14,'Data shares'!$C:$FB,7)</f>
        <v>172.33</v>
      </c>
      <c r="C14" s="140">
        <f>VLOOKUP($A14,'Data shares'!$C:$FB,3)</f>
        <v>173.5</v>
      </c>
      <c r="D14" s="140">
        <f>VLOOKUP($A14,'Data shares'!$C:$FB,4)</f>
        <v>169.75</v>
      </c>
      <c r="E14" s="50">
        <f>(C14-D14)/D14*100</f>
        <v>2.2091310751104567</v>
      </c>
      <c r="F14" s="49">
        <f>VLOOKUP($A14,'Data shares'!$C:$FB,98)</f>
        <v>75196100</v>
      </c>
      <c r="G14" s="49">
        <f>VLOOKUP($A14,'Data shares'!$C:$FB,99)</f>
        <v>72618800</v>
      </c>
      <c r="H14" s="50">
        <f t="shared" si="1"/>
        <v>3.5490809542432542</v>
      </c>
      <c r="I14" s="49">
        <f>VLOOKUP($A14,'Data shares'!$C:$FB,66)</f>
        <v>52674900</v>
      </c>
      <c r="J14" s="49">
        <f>VLOOKUP($A14,'Data shares'!$C:$FB,67)</f>
        <v>101473200</v>
      </c>
      <c r="K14" s="50">
        <f t="shared" si="2"/>
        <v>-92.640517589971694</v>
      </c>
      <c r="L14" s="50">
        <f>VLOOKUP($A14,'Data shares'!$C:$FB,118)</f>
        <v>0.36</v>
      </c>
      <c r="M14" s="50">
        <f>VLOOKUP($A14,'Data shares'!$C:$FB,119)</f>
        <v>0.3</v>
      </c>
      <c r="N14" s="50">
        <f>VLOOKUP($A14,'Data shares'!$C:$FB,121)*100</f>
        <v>20</v>
      </c>
      <c r="O14" s="50">
        <f>VLOOKUP($A14,'Data shares'!$C:$FB,124)</f>
        <v>0.25</v>
      </c>
      <c r="P14" s="50">
        <f>VLOOKUP($A14,'Data shares'!$C:$FB,125)</f>
        <v>0.13</v>
      </c>
      <c r="Q14" s="50">
        <f>VLOOKUP($A14,'Data shares'!$C:$FB,127)*100</f>
        <v>92.31</v>
      </c>
    </row>
    <row r="15" spans="1:17" x14ac:dyDescent="0.25">
      <c r="A15" s="97" t="str">
        <f>'Snapshot (Value)'!A19</f>
        <v>ALKEM</v>
      </c>
      <c r="B15" s="140">
        <f>VLOOKUP($A15,'Data shares'!$C:$FB,7)</f>
        <v>5370.5</v>
      </c>
      <c r="C15" s="140">
        <f>VLOOKUP($A15,'Data shares'!$C:$FB,3)</f>
        <v>5399.5</v>
      </c>
      <c r="D15" s="140">
        <f>VLOOKUP($A15,'Data shares'!$C:$FB,4)</f>
        <v>5268.5</v>
      </c>
      <c r="E15" s="50">
        <f t="shared" si="0"/>
        <v>2.4864762266299705</v>
      </c>
      <c r="F15" s="49">
        <f>VLOOKUP($A15,'Data shares'!$C:$FB,98)</f>
        <v>1438375</v>
      </c>
      <c r="G15" s="49">
        <f>VLOOKUP($A15,'Data shares'!$C:$FB,99)</f>
        <v>1430125</v>
      </c>
      <c r="H15" s="50">
        <f t="shared" si="1"/>
        <v>0.57687265099204621</v>
      </c>
      <c r="I15" s="49">
        <f>VLOOKUP($A15,'Data shares'!$C:$FB,66)</f>
        <v>700625</v>
      </c>
      <c r="J15" s="49">
        <f>VLOOKUP($A15,'Data shares'!$C:$FB,67)</f>
        <v>714375</v>
      </c>
      <c r="K15" s="50">
        <f t="shared" si="2"/>
        <v>-1.9625334522747548</v>
      </c>
      <c r="L15" s="50">
        <f>VLOOKUP($A15,'Data shares'!$C:$FB,118)</f>
        <v>0.95</v>
      </c>
      <c r="M15" s="50">
        <f>VLOOKUP($A15,'Data shares'!$C:$FB,119)</f>
        <v>1.07</v>
      </c>
      <c r="N15" s="50">
        <f>VLOOKUP($A15,'Data shares'!$C:$FB,121)*100</f>
        <v>-11.21</v>
      </c>
      <c r="O15" s="50">
        <f>VLOOKUP($A15,'Data shares'!$C:$FB,124)</f>
        <v>0.36</v>
      </c>
      <c r="P15" s="50">
        <f>VLOOKUP($A15,'Data shares'!$C:$FB,125)</f>
        <v>0.44</v>
      </c>
      <c r="Q15" s="50">
        <f>VLOOKUP($A15,'Data shares'!$C:$FB,127)*100</f>
        <v>-18.18</v>
      </c>
    </row>
    <row r="16" spans="1:17" x14ac:dyDescent="0.25">
      <c r="A16" s="97" t="str">
        <f>'Snapshot (Value)'!A20</f>
        <v>AMBER</v>
      </c>
      <c r="B16" s="140">
        <f>VLOOKUP($A16,'Data shares'!$C:$FB,7)</f>
        <v>6888.5</v>
      </c>
      <c r="C16" s="140">
        <f>VLOOKUP($A16,'Data shares'!$C:$FB,3)</f>
        <v>6899.5</v>
      </c>
      <c r="D16" s="140">
        <f>VLOOKUP($A16,'Data shares'!$C:$FB,4)</f>
        <v>6948</v>
      </c>
      <c r="E16" s="50">
        <f t="shared" si="0"/>
        <v>-0.69804260218767999</v>
      </c>
      <c r="F16" s="49">
        <f>VLOOKUP($A16,'Data shares'!$C:$FB,98)</f>
        <v>2045400</v>
      </c>
      <c r="G16" s="49">
        <f>VLOOKUP($A16,'Data shares'!$C:$FB,99)</f>
        <v>1860100</v>
      </c>
      <c r="H16" s="50">
        <f t="shared" si="1"/>
        <v>9.9618300091392946</v>
      </c>
      <c r="I16" s="49">
        <f>VLOOKUP($A16,'Data shares'!$C:$FB,66)</f>
        <v>2010900</v>
      </c>
      <c r="J16" s="49">
        <f>VLOOKUP($A16,'Data shares'!$C:$FB,67)</f>
        <v>3132800</v>
      </c>
      <c r="K16" s="50">
        <f t="shared" si="2"/>
        <v>-55.790939380376948</v>
      </c>
      <c r="L16" s="50">
        <f>VLOOKUP($A16,'Data shares'!$C:$FB,118)</f>
        <v>0.64</v>
      </c>
      <c r="M16" s="50">
        <f>VLOOKUP($A16,'Data shares'!$C:$FB,119)</f>
        <v>0.63</v>
      </c>
      <c r="N16" s="50">
        <f>VLOOKUP($A16,'Data shares'!$C:$FB,121)*100</f>
        <v>1.59</v>
      </c>
      <c r="O16" s="50">
        <f>VLOOKUP($A16,'Data shares'!$C:$FB,124)</f>
        <v>0.55000000000000004</v>
      </c>
      <c r="P16" s="50">
        <f>VLOOKUP($A16,'Data shares'!$C:$FB,125)</f>
        <v>0.42</v>
      </c>
      <c r="Q16" s="50">
        <f>VLOOKUP($A16,'Data shares'!$C:$FB,127)*100</f>
        <v>30.95</v>
      </c>
    </row>
    <row r="17" spans="1:17" x14ac:dyDescent="0.25">
      <c r="A17" s="97" t="str">
        <f>'Snapshot (Value)'!A21</f>
        <v>AMBUJACEM</v>
      </c>
      <c r="B17" s="140">
        <f>VLOOKUP($A17,'Data shares'!$C:$FB,7)</f>
        <v>434.05</v>
      </c>
      <c r="C17" s="140">
        <f>VLOOKUP($A17,'Data shares'!$C:$FB,3)</f>
        <v>434.5</v>
      </c>
      <c r="D17" s="140">
        <f>VLOOKUP($A17,'Data shares'!$C:$FB,4)</f>
        <v>447.65</v>
      </c>
      <c r="E17" s="50">
        <f t="shared" si="0"/>
        <v>-2.937562828102307</v>
      </c>
      <c r="F17" s="49">
        <f>VLOOKUP($A17,'Data shares'!$C:$FB,98)</f>
        <v>80358600</v>
      </c>
      <c r="G17" s="49">
        <f>VLOOKUP($A17,'Data shares'!$C:$FB,99)</f>
        <v>79580550</v>
      </c>
      <c r="H17" s="50">
        <f t="shared" si="1"/>
        <v>0.97768864377036846</v>
      </c>
      <c r="I17" s="49">
        <f>VLOOKUP($A17,'Data shares'!$C:$FB,66)</f>
        <v>27344100</v>
      </c>
      <c r="J17" s="49">
        <f>VLOOKUP($A17,'Data shares'!$C:$FB,67)</f>
        <v>53405100</v>
      </c>
      <c r="K17" s="50">
        <f t="shared" si="2"/>
        <v>-95.307580062975191</v>
      </c>
      <c r="L17" s="50">
        <f>VLOOKUP($A17,'Data shares'!$C:$FB,118)</f>
        <v>0.87</v>
      </c>
      <c r="M17" s="50">
        <f>VLOOKUP($A17,'Data shares'!$C:$FB,119)</f>
        <v>0.92</v>
      </c>
      <c r="N17" s="50">
        <f>VLOOKUP($A17,'Data shares'!$C:$FB,121)*100</f>
        <v>-5.43</v>
      </c>
      <c r="O17" s="50">
        <f>VLOOKUP($A17,'Data shares'!$C:$FB,124)</f>
        <v>0.5</v>
      </c>
      <c r="P17" s="50">
        <f>VLOOKUP($A17,'Data shares'!$C:$FB,125)</f>
        <v>0.42</v>
      </c>
      <c r="Q17" s="50">
        <f>VLOOKUP($A17,'Data shares'!$C:$FB,127)*100</f>
        <v>19.05</v>
      </c>
    </row>
    <row r="18" spans="1:17" x14ac:dyDescent="0.25">
      <c r="A18" s="97" t="str">
        <f>'Snapshot (Value)'!A22</f>
        <v>ANGELONE</v>
      </c>
      <c r="B18" s="140">
        <f>VLOOKUP($A18,'Data shares'!$C:$FB,7)</f>
        <v>281.8</v>
      </c>
      <c r="C18" s="140">
        <f>VLOOKUP($A18,'Data shares'!$C:$FB,3)</f>
        <v>276.13</v>
      </c>
      <c r="D18" s="140">
        <f>VLOOKUP($A18,'Data shares'!$C:$FB,4)</f>
        <v>265.43</v>
      </c>
      <c r="E18" s="50">
        <f t="shared" si="0"/>
        <v>4.0311946652601396</v>
      </c>
      <c r="F18" s="49">
        <f>VLOOKUP($A18,'Data shares'!$C:$FB,98)</f>
        <v>48937500</v>
      </c>
      <c r="G18" s="49">
        <f>VLOOKUP($A18,'Data shares'!$C:$FB,99)</f>
        <v>42497500</v>
      </c>
      <c r="H18" s="50">
        <f t="shared" si="1"/>
        <v>15.153832578386965</v>
      </c>
      <c r="I18" s="49">
        <f>VLOOKUP($A18,'Data shares'!$C:$FB,66)</f>
        <v>109022500</v>
      </c>
      <c r="J18" s="49">
        <f>VLOOKUP($A18,'Data shares'!$C:$FB,67)</f>
        <v>67522500</v>
      </c>
      <c r="K18" s="50">
        <f t="shared" si="2"/>
        <v>38.065536930450136</v>
      </c>
      <c r="L18" s="50">
        <f>VLOOKUP($A18,'Data shares'!$C:$FB,118)</f>
        <v>0.82</v>
      </c>
      <c r="M18" s="50">
        <f>VLOOKUP($A18,'Data shares'!$C:$FB,119)</f>
        <v>0.86</v>
      </c>
      <c r="N18" s="50">
        <f>VLOOKUP($A18,'Data shares'!$C:$FB,121)*100</f>
        <v>-4.6500000000000004</v>
      </c>
      <c r="O18" s="50">
        <f>VLOOKUP($A18,'Data shares'!$C:$FB,124)</f>
        <v>0.46</v>
      </c>
      <c r="P18" s="50">
        <f>VLOOKUP($A18,'Data shares'!$C:$FB,125)</f>
        <v>0.48</v>
      </c>
      <c r="Q18" s="50">
        <f>VLOOKUP($A18,'Data shares'!$C:$FB,127)*100</f>
        <v>-4.17</v>
      </c>
    </row>
    <row r="19" spans="1:17" x14ac:dyDescent="0.25">
      <c r="A19" s="97" t="str">
        <f>'Snapshot (Value)'!A23</f>
        <v>APLAPOLLO</v>
      </c>
      <c r="B19" s="140">
        <f>VLOOKUP($A19,'Data shares'!$C:$FB,7)</f>
        <v>2040.3</v>
      </c>
      <c r="C19" s="140">
        <f>VLOOKUP($A19,'Data shares'!$C:$FB,3)</f>
        <v>2048.5</v>
      </c>
      <c r="D19" s="140">
        <f>VLOOKUP($A19,'Data shares'!$C:$FB,4)</f>
        <v>2052.1999999999998</v>
      </c>
      <c r="E19" s="50">
        <f t="shared" si="0"/>
        <v>-0.18029431829255524</v>
      </c>
      <c r="F19" s="49">
        <f>VLOOKUP($A19,'Data shares'!$C:$FB,98)</f>
        <v>6423550</v>
      </c>
      <c r="G19" s="49">
        <f>VLOOKUP($A19,'Data shares'!$C:$FB,99)</f>
        <v>6319950</v>
      </c>
      <c r="H19" s="50">
        <f t="shared" si="1"/>
        <v>1.6392534751066068</v>
      </c>
      <c r="I19" s="49">
        <f>VLOOKUP($A19,'Data shares'!$C:$FB,66)</f>
        <v>1920800</v>
      </c>
      <c r="J19" s="49">
        <f>VLOOKUP($A19,'Data shares'!$C:$FB,67)</f>
        <v>4189500</v>
      </c>
      <c r="K19" s="50">
        <f t="shared" si="2"/>
        <v>-118.11224489795917</v>
      </c>
      <c r="L19" s="50">
        <f>VLOOKUP($A19,'Data shares'!$C:$FB,118)</f>
        <v>0.79</v>
      </c>
      <c r="M19" s="50">
        <f>VLOOKUP($A19,'Data shares'!$C:$FB,119)</f>
        <v>0.76</v>
      </c>
      <c r="N19" s="50">
        <f>VLOOKUP($A19,'Data shares'!$C:$FB,121)*100</f>
        <v>3.95</v>
      </c>
      <c r="O19" s="50">
        <f>VLOOKUP($A19,'Data shares'!$C:$FB,124)</f>
        <v>0.42</v>
      </c>
      <c r="P19" s="50">
        <f>VLOOKUP($A19,'Data shares'!$C:$FB,125)</f>
        <v>0.46</v>
      </c>
      <c r="Q19" s="50">
        <f>VLOOKUP($A19,'Data shares'!$C:$FB,127)*100</f>
        <v>-8.6999999999999993</v>
      </c>
    </row>
    <row r="20" spans="1:17" x14ac:dyDescent="0.25">
      <c r="A20" s="97" t="str">
        <f>'Snapshot (Value)'!A24</f>
        <v>APOLLOHOSP</v>
      </c>
      <c r="B20" s="140">
        <f>VLOOKUP($A20,'Data shares'!$C:$FB,7)</f>
        <v>7481.5</v>
      </c>
      <c r="C20" s="140">
        <f>VLOOKUP($A20,'Data shares'!$C:$FB,3)</f>
        <v>7495</v>
      </c>
      <c r="D20" s="140">
        <f>VLOOKUP($A20,'Data shares'!$C:$FB,4)</f>
        <v>7417</v>
      </c>
      <c r="E20" s="50">
        <f t="shared" si="0"/>
        <v>1.0516381286234326</v>
      </c>
      <c r="F20" s="49">
        <f>VLOOKUP($A20,'Data shares'!$C:$FB,98)</f>
        <v>3852625</v>
      </c>
      <c r="G20" s="49">
        <f>VLOOKUP($A20,'Data shares'!$C:$FB,99)</f>
        <v>3855500</v>
      </c>
      <c r="H20" s="50">
        <f t="shared" si="1"/>
        <v>-7.4568797821294261E-2</v>
      </c>
      <c r="I20" s="49">
        <f>VLOOKUP($A20,'Data shares'!$C:$FB,66)</f>
        <v>3120250</v>
      </c>
      <c r="J20" s="49">
        <f>VLOOKUP($A20,'Data shares'!$C:$FB,67)</f>
        <v>3237125</v>
      </c>
      <c r="K20" s="50">
        <f t="shared" si="2"/>
        <v>-3.7456934540501563</v>
      </c>
      <c r="L20" s="50">
        <f>VLOOKUP($A20,'Data shares'!$C:$FB,118)</f>
        <v>0.92</v>
      </c>
      <c r="M20" s="50">
        <f>VLOOKUP($A20,'Data shares'!$C:$FB,119)</f>
        <v>0.94</v>
      </c>
      <c r="N20" s="50">
        <f>VLOOKUP($A20,'Data shares'!$C:$FB,121)*100</f>
        <v>-2.13</v>
      </c>
      <c r="O20" s="50">
        <f>VLOOKUP($A20,'Data shares'!$C:$FB,124)</f>
        <v>0.34</v>
      </c>
      <c r="P20" s="50">
        <f>VLOOKUP($A20,'Data shares'!$C:$FB,125)</f>
        <v>0.45</v>
      </c>
      <c r="Q20" s="50">
        <f>VLOOKUP($A20,'Data shares'!$C:$FB,127)*100</f>
        <v>-24.44</v>
      </c>
    </row>
    <row r="21" spans="1:17" x14ac:dyDescent="0.25">
      <c r="A21" s="97" t="str">
        <f>'Snapshot (Value)'!A25</f>
        <v>ASHOKLEY</v>
      </c>
      <c r="B21" s="140">
        <f>VLOOKUP($A21,'Data shares'!$C:$FB,7)</f>
        <v>170.38</v>
      </c>
      <c r="C21" s="140">
        <f>VLOOKUP($A21,'Data shares'!$C:$FB,3)</f>
        <v>170.54</v>
      </c>
      <c r="D21" s="140">
        <f>VLOOKUP($A21,'Data shares'!$C:$FB,4)</f>
        <v>172.62</v>
      </c>
      <c r="E21" s="50">
        <f t="shared" si="0"/>
        <v>-1.2049588691924529</v>
      </c>
      <c r="F21" s="49">
        <f>VLOOKUP($A21,'Data shares'!$C:$FB,98)</f>
        <v>290605000</v>
      </c>
      <c r="G21" s="49">
        <f>VLOOKUP($A21,'Data shares'!$C:$FB,99)</f>
        <v>287205000</v>
      </c>
      <c r="H21" s="50">
        <f t="shared" si="1"/>
        <v>1.183823401403179</v>
      </c>
      <c r="I21" s="49">
        <f>VLOOKUP($A21,'Data shares'!$C:$FB,66)</f>
        <v>250905000</v>
      </c>
      <c r="J21" s="49">
        <f>VLOOKUP($A21,'Data shares'!$C:$FB,67)</f>
        <v>599795000</v>
      </c>
      <c r="K21" s="50">
        <f t="shared" si="2"/>
        <v>-139.05262948127776</v>
      </c>
      <c r="L21" s="50">
        <f>VLOOKUP($A21,'Data shares'!$C:$FB,118)</f>
        <v>0.69</v>
      </c>
      <c r="M21" s="50">
        <f>VLOOKUP($A21,'Data shares'!$C:$FB,119)</f>
        <v>0.76</v>
      </c>
      <c r="N21" s="50">
        <f>VLOOKUP($A21,'Data shares'!$C:$FB,121)*100</f>
        <v>-9.2100000000000009</v>
      </c>
      <c r="O21" s="50">
        <f>VLOOKUP($A21,'Data shares'!$C:$FB,124)</f>
        <v>0.61</v>
      </c>
      <c r="P21" s="50">
        <f>VLOOKUP($A21,'Data shares'!$C:$FB,125)</f>
        <v>0.44</v>
      </c>
      <c r="Q21" s="50">
        <f>VLOOKUP($A21,'Data shares'!$C:$FB,127)*100</f>
        <v>38.64</v>
      </c>
    </row>
    <row r="22" spans="1:17" x14ac:dyDescent="0.25">
      <c r="A22" s="97" t="str">
        <f>'Snapshot (Value)'!A26</f>
        <v>ASIANPAINT</v>
      </c>
      <c r="B22" s="140">
        <f>VLOOKUP($A22,'Data shares'!$C:$FB,7)</f>
        <v>2269.6</v>
      </c>
      <c r="C22" s="140">
        <f>VLOOKUP($A22,'Data shares'!$C:$FB,3)</f>
        <v>2274.9</v>
      </c>
      <c r="D22" s="140">
        <f>VLOOKUP($A22,'Data shares'!$C:$FB,4)</f>
        <v>2293.1</v>
      </c>
      <c r="E22" s="50">
        <f t="shared" si="0"/>
        <v>-0.79368540403819354</v>
      </c>
      <c r="F22" s="49">
        <f>VLOOKUP($A22,'Data shares'!$C:$FB,98)</f>
        <v>21999000</v>
      </c>
      <c r="G22" s="49">
        <f>VLOOKUP($A22,'Data shares'!$C:$FB,99)</f>
        <v>21731750</v>
      </c>
      <c r="H22" s="50">
        <f t="shared" si="1"/>
        <v>1.2297675060683102</v>
      </c>
      <c r="I22" s="49">
        <f>VLOOKUP($A22,'Data shares'!$C:$FB,66)</f>
        <v>6970250</v>
      </c>
      <c r="J22" s="49">
        <f>VLOOKUP($A22,'Data shares'!$C:$FB,67)</f>
        <v>18788750</v>
      </c>
      <c r="K22" s="50">
        <f t="shared" si="2"/>
        <v>-169.5563286826154</v>
      </c>
      <c r="L22" s="50">
        <f>VLOOKUP($A22,'Data shares'!$C:$FB,118)</f>
        <v>1.08</v>
      </c>
      <c r="M22" s="50">
        <f>VLOOKUP($A22,'Data shares'!$C:$FB,119)</f>
        <v>1.07</v>
      </c>
      <c r="N22" s="50">
        <f>VLOOKUP($A22,'Data shares'!$C:$FB,121)*100</f>
        <v>0.92999999999999994</v>
      </c>
      <c r="O22" s="50">
        <f>VLOOKUP($A22,'Data shares'!$C:$FB,124)</f>
        <v>0.64</v>
      </c>
      <c r="P22" s="50">
        <f>VLOOKUP($A22,'Data shares'!$C:$FB,125)</f>
        <v>0.53</v>
      </c>
      <c r="Q22" s="50">
        <f>VLOOKUP($A22,'Data shares'!$C:$FB,127)*100</f>
        <v>20.75</v>
      </c>
    </row>
    <row r="23" spans="1:17" x14ac:dyDescent="0.25">
      <c r="A23" s="97" t="str">
        <f>'Snapshot (Value)'!A27</f>
        <v>ASTRAL</v>
      </c>
      <c r="B23" s="140">
        <f>VLOOKUP($A23,'Data shares'!$C:$FB,7)</f>
        <v>1563.7</v>
      </c>
      <c r="C23" s="140">
        <f>VLOOKUP($A23,'Data shares'!$C:$FB,3)</f>
        <v>1557.8</v>
      </c>
      <c r="D23" s="140">
        <f>VLOOKUP($A23,'Data shares'!$C:$FB,4)</f>
        <v>1529.3</v>
      </c>
      <c r="E23" s="50">
        <f t="shared" si="0"/>
        <v>1.8635977244490942</v>
      </c>
      <c r="F23" s="49">
        <f>VLOOKUP($A23,'Data shares'!$C:$FB,98)</f>
        <v>12245525</v>
      </c>
      <c r="G23" s="49">
        <f>VLOOKUP($A23,'Data shares'!$C:$FB,99)</f>
        <v>12180075</v>
      </c>
      <c r="H23" s="50">
        <f t="shared" si="1"/>
        <v>0.53735301301510863</v>
      </c>
      <c r="I23" s="49">
        <f>VLOOKUP($A23,'Data shares'!$C:$FB,66)</f>
        <v>6496550</v>
      </c>
      <c r="J23" s="49">
        <f>VLOOKUP($A23,'Data shares'!$C:$FB,67)</f>
        <v>10162600</v>
      </c>
      <c r="K23" s="50">
        <f t="shared" si="2"/>
        <v>-56.430720921104282</v>
      </c>
      <c r="L23" s="50">
        <f>VLOOKUP($A23,'Data shares'!$C:$FB,118)</f>
        <v>0.67</v>
      </c>
      <c r="M23" s="50">
        <f>VLOOKUP($A23,'Data shares'!$C:$FB,119)</f>
        <v>0.67</v>
      </c>
      <c r="N23" s="50">
        <f>VLOOKUP($A23,'Data shares'!$C:$FB,121)*100</f>
        <v>0</v>
      </c>
      <c r="O23" s="50">
        <f>VLOOKUP($A23,'Data shares'!$C:$FB,124)</f>
        <v>0.78</v>
      </c>
      <c r="P23" s="50">
        <f>VLOOKUP($A23,'Data shares'!$C:$FB,125)</f>
        <v>0.68</v>
      </c>
      <c r="Q23" s="50">
        <f>VLOOKUP($A23,'Data shares'!$C:$FB,127)*100</f>
        <v>14.71</v>
      </c>
    </row>
    <row r="24" spans="1:17" x14ac:dyDescent="0.25">
      <c r="A24" s="97" t="str">
        <f>'Snapshot (Value)'!A28</f>
        <v>AUBANK</v>
      </c>
      <c r="B24" s="140">
        <f>VLOOKUP($A24,'Data shares'!$C:$FB,7)</f>
        <v>963</v>
      </c>
      <c r="C24" s="140">
        <f>VLOOKUP($A24,'Data shares'!$C:$FB,3)</f>
        <v>964.55</v>
      </c>
      <c r="D24" s="140">
        <f>VLOOKUP($A24,'Data shares'!$C:$FB,4)</f>
        <v>969.8</v>
      </c>
      <c r="E24" s="50">
        <f t="shared" si="0"/>
        <v>-0.54134873169725717</v>
      </c>
      <c r="F24" s="49">
        <f>VLOOKUP($A24,'Data shares'!$C:$FB,98)</f>
        <v>35446000</v>
      </c>
      <c r="G24" s="49">
        <f>VLOOKUP($A24,'Data shares'!$C:$FB,99)</f>
        <v>34799000</v>
      </c>
      <c r="H24" s="50">
        <f t="shared" si="1"/>
        <v>1.8592488289893387</v>
      </c>
      <c r="I24" s="49">
        <f>VLOOKUP($A24,'Data shares'!$C:$FB,66)</f>
        <v>13501000</v>
      </c>
      <c r="J24" s="49">
        <f>VLOOKUP($A24,'Data shares'!$C:$FB,67)</f>
        <v>30040000</v>
      </c>
      <c r="K24" s="50">
        <f t="shared" si="2"/>
        <v>-122.50203688615657</v>
      </c>
      <c r="L24" s="50">
        <f>VLOOKUP($A24,'Data shares'!$C:$FB,118)</f>
        <v>0.89</v>
      </c>
      <c r="M24" s="50">
        <f>VLOOKUP($A24,'Data shares'!$C:$FB,119)</f>
        <v>0.83</v>
      </c>
      <c r="N24" s="50">
        <f>VLOOKUP($A24,'Data shares'!$C:$FB,121)*100</f>
        <v>7.23</v>
      </c>
      <c r="O24" s="50">
        <f>VLOOKUP($A24,'Data shares'!$C:$FB,124)</f>
        <v>0.76</v>
      </c>
      <c r="P24" s="50">
        <f>VLOOKUP($A24,'Data shares'!$C:$FB,125)</f>
        <v>0.91</v>
      </c>
      <c r="Q24" s="50">
        <f>VLOOKUP($A24,'Data shares'!$C:$FB,127)*100</f>
        <v>-16.48</v>
      </c>
    </row>
    <row r="25" spans="1:17" x14ac:dyDescent="0.25">
      <c r="A25" s="97" t="str">
        <f>'Snapshot (Value)'!A29</f>
        <v>AUROPHARMA</v>
      </c>
      <c r="B25" s="140">
        <f>VLOOKUP($A25,'Data shares'!$C:$FB,7)</f>
        <v>1340.4</v>
      </c>
      <c r="C25" s="140">
        <f>VLOOKUP($A25,'Data shares'!$C:$FB,3)</f>
        <v>1345.8</v>
      </c>
      <c r="D25" s="140">
        <f>VLOOKUP($A25,'Data shares'!$C:$FB,4)</f>
        <v>1342.2</v>
      </c>
      <c r="E25" s="50">
        <f t="shared" si="0"/>
        <v>0.26821636119802628</v>
      </c>
      <c r="F25" s="49">
        <f>VLOOKUP($A25,'Data shares'!$C:$FB,98)</f>
        <v>27310800</v>
      </c>
      <c r="G25" s="49">
        <f>VLOOKUP($A25,'Data shares'!$C:$FB,99)</f>
        <v>27361950</v>
      </c>
      <c r="H25" s="50">
        <f t="shared" si="1"/>
        <v>-0.18693843092323464</v>
      </c>
      <c r="I25" s="49">
        <f>VLOOKUP($A25,'Data shares'!$C:$FB,66)</f>
        <v>5029750</v>
      </c>
      <c r="J25" s="49">
        <f>VLOOKUP($A25,'Data shares'!$C:$FB,67)</f>
        <v>10244300</v>
      </c>
      <c r="K25" s="50">
        <f t="shared" si="2"/>
        <v>-103.67413887370147</v>
      </c>
      <c r="L25" s="50">
        <f>VLOOKUP($A25,'Data shares'!$C:$FB,118)</f>
        <v>0.67</v>
      </c>
      <c r="M25" s="50">
        <f>VLOOKUP($A25,'Data shares'!$C:$FB,119)</f>
        <v>0.63</v>
      </c>
      <c r="N25" s="50">
        <f>VLOOKUP($A25,'Data shares'!$C:$FB,121)*100</f>
        <v>6.35</v>
      </c>
      <c r="O25" s="50">
        <f>VLOOKUP($A25,'Data shares'!$C:$FB,124)</f>
        <v>0.5</v>
      </c>
      <c r="P25" s="50">
        <f>VLOOKUP($A25,'Data shares'!$C:$FB,125)</f>
        <v>0.56999999999999995</v>
      </c>
      <c r="Q25" s="50">
        <f>VLOOKUP($A25,'Data shares'!$C:$FB,127)*100</f>
        <v>-12.280000000000001</v>
      </c>
    </row>
    <row r="26" spans="1:17" x14ac:dyDescent="0.25">
      <c r="A26" s="97" t="str">
        <f>'Snapshot (Value)'!A30</f>
        <v>AXISBANK</v>
      </c>
      <c r="B26" s="140">
        <f>VLOOKUP($A26,'Data shares'!$C:$FB,7)</f>
        <v>1318.5</v>
      </c>
      <c r="C26" s="140">
        <f>VLOOKUP($A26,'Data shares'!$C:$FB,3)</f>
        <v>1323.2</v>
      </c>
      <c r="D26" s="140">
        <f>VLOOKUP($A26,'Data shares'!$C:$FB,4)</f>
        <v>1335.6</v>
      </c>
      <c r="E26" s="50">
        <f t="shared" si="0"/>
        <v>-0.92842168313865403</v>
      </c>
      <c r="F26" s="49">
        <f>VLOOKUP($A26,'Data shares'!$C:$FB,98)</f>
        <v>92249375</v>
      </c>
      <c r="G26" s="49">
        <f>VLOOKUP($A26,'Data shares'!$C:$FB,99)</f>
        <v>91868750</v>
      </c>
      <c r="H26" s="50">
        <f t="shared" si="1"/>
        <v>0.41431389890468739</v>
      </c>
      <c r="I26" s="49">
        <f>VLOOKUP($A26,'Data shares'!$C:$FB,66)</f>
        <v>37775000</v>
      </c>
      <c r="J26" s="49">
        <f>VLOOKUP($A26,'Data shares'!$C:$FB,67)</f>
        <v>58037500</v>
      </c>
      <c r="K26" s="50">
        <f t="shared" si="2"/>
        <v>-53.639973527465258</v>
      </c>
      <c r="L26" s="50">
        <f>VLOOKUP($A26,'Data shares'!$C:$FB,118)</f>
        <v>0.9</v>
      </c>
      <c r="M26" s="50">
        <f>VLOOKUP($A26,'Data shares'!$C:$FB,119)</f>
        <v>1</v>
      </c>
      <c r="N26" s="50">
        <f>VLOOKUP($A26,'Data shares'!$C:$FB,121)*100</f>
        <v>-10</v>
      </c>
      <c r="O26" s="50">
        <f>VLOOKUP($A26,'Data shares'!$C:$FB,124)</f>
        <v>1.2</v>
      </c>
      <c r="P26" s="50">
        <f>VLOOKUP($A26,'Data shares'!$C:$FB,125)</f>
        <v>1.06</v>
      </c>
      <c r="Q26" s="50">
        <f>VLOOKUP($A26,'Data shares'!$C:$FB,127)*100</f>
        <v>13.209999999999999</v>
      </c>
    </row>
    <row r="27" spans="1:17" x14ac:dyDescent="0.25">
      <c r="A27" s="97" t="str">
        <f>'Snapshot (Value)'!A31</f>
        <v>BAJAJ-AUTO</v>
      </c>
      <c r="B27" s="140">
        <f>VLOOKUP($A27,'Data shares'!$C:$FB,7)</f>
        <v>9517</v>
      </c>
      <c r="C27" s="140">
        <f>VLOOKUP($A27,'Data shares'!$C:$FB,3)</f>
        <v>9516.5</v>
      </c>
      <c r="D27" s="140">
        <f>VLOOKUP($A27,'Data shares'!$C:$FB,4)</f>
        <v>9381</v>
      </c>
      <c r="E27" s="50">
        <f t="shared" si="0"/>
        <v>1.4444089116298902</v>
      </c>
      <c r="F27" s="49">
        <f>VLOOKUP($A27,'Data shares'!$C:$FB,98)</f>
        <v>4895925</v>
      </c>
      <c r="G27" s="49">
        <f>VLOOKUP($A27,'Data shares'!$C:$FB,99)</f>
        <v>4637550</v>
      </c>
      <c r="H27" s="50">
        <f t="shared" si="1"/>
        <v>5.5713685027654689</v>
      </c>
      <c r="I27" s="49">
        <f>VLOOKUP($A27,'Data shares'!$C:$FB,66)</f>
        <v>6234150</v>
      </c>
      <c r="J27" s="49">
        <f>VLOOKUP($A27,'Data shares'!$C:$FB,67)</f>
        <v>2837925</v>
      </c>
      <c r="K27" s="50">
        <f t="shared" si="2"/>
        <v>54.477755588171604</v>
      </c>
      <c r="L27" s="50">
        <f>VLOOKUP($A27,'Data shares'!$C:$FB,118)</f>
        <v>0.88</v>
      </c>
      <c r="M27" s="50">
        <f>VLOOKUP($A27,'Data shares'!$C:$FB,119)</f>
        <v>0.88</v>
      </c>
      <c r="N27" s="50">
        <f>VLOOKUP($A27,'Data shares'!$C:$FB,121)*100</f>
        <v>0</v>
      </c>
      <c r="O27" s="50">
        <f>VLOOKUP($A27,'Data shares'!$C:$FB,124)</f>
        <v>0.42</v>
      </c>
      <c r="P27" s="50">
        <f>VLOOKUP($A27,'Data shares'!$C:$FB,125)</f>
        <v>0.59</v>
      </c>
      <c r="Q27" s="50">
        <f>VLOOKUP($A27,'Data shares'!$C:$FB,127)*100</f>
        <v>-28.810000000000002</v>
      </c>
    </row>
    <row r="28" spans="1:17" x14ac:dyDescent="0.25">
      <c r="A28" s="97" t="str">
        <f>'Snapshot (Value)'!A32</f>
        <v>BAJAJFINSV</v>
      </c>
      <c r="B28" s="140">
        <f>VLOOKUP($A28,'Data shares'!$C:$FB,7)</f>
        <v>1767.7</v>
      </c>
      <c r="C28" s="140">
        <f>VLOOKUP($A28,'Data shares'!$C:$FB,3)</f>
        <v>1773.5</v>
      </c>
      <c r="D28" s="140">
        <f>VLOOKUP($A28,'Data shares'!$C:$FB,4)</f>
        <v>1793.7</v>
      </c>
      <c r="E28" s="50">
        <f t="shared" si="0"/>
        <v>-1.1261637955064974</v>
      </c>
      <c r="F28" s="49">
        <f>VLOOKUP($A28,'Data shares'!$C:$FB,98)</f>
        <v>18158000</v>
      </c>
      <c r="G28" s="49">
        <f>VLOOKUP($A28,'Data shares'!$C:$FB,99)</f>
        <v>17607000</v>
      </c>
      <c r="H28" s="50">
        <f t="shared" si="1"/>
        <v>3.1294371556767198</v>
      </c>
      <c r="I28" s="49">
        <f>VLOOKUP($A28,'Data shares'!$C:$FB,66)</f>
        <v>4622250</v>
      </c>
      <c r="J28" s="49">
        <f>VLOOKUP($A28,'Data shares'!$C:$FB,67)</f>
        <v>9232000</v>
      </c>
      <c r="K28" s="50">
        <f t="shared" si="2"/>
        <v>-99.729568932879005</v>
      </c>
      <c r="L28" s="50">
        <f>VLOOKUP($A28,'Data shares'!$C:$FB,118)</f>
        <v>1.1000000000000001</v>
      </c>
      <c r="M28" s="50">
        <f>VLOOKUP($A28,'Data shares'!$C:$FB,119)</f>
        <v>1.01</v>
      </c>
      <c r="N28" s="50">
        <f>VLOOKUP($A28,'Data shares'!$C:$FB,121)*100</f>
        <v>8.91</v>
      </c>
      <c r="O28" s="50">
        <f>VLOOKUP($A28,'Data shares'!$C:$FB,124)</f>
        <v>0.93</v>
      </c>
      <c r="P28" s="50">
        <f>VLOOKUP($A28,'Data shares'!$C:$FB,125)</f>
        <v>0.59</v>
      </c>
      <c r="Q28" s="50">
        <f>VLOOKUP($A28,'Data shares'!$C:$FB,127)*100</f>
        <v>57.63</v>
      </c>
    </row>
    <row r="29" spans="1:17" x14ac:dyDescent="0.25">
      <c r="A29" s="97" t="str">
        <f>'Snapshot (Value)'!A33</f>
        <v>BAJAJHLDNG</v>
      </c>
      <c r="B29" s="140">
        <f>VLOOKUP($A29,'Data shares'!$C:$FB,7)</f>
        <v>9912.5</v>
      </c>
      <c r="C29" s="140">
        <f>VLOOKUP($A29,'Data shares'!$C:$FB,3)</f>
        <v>9933</v>
      </c>
      <c r="D29" s="140">
        <f>VLOOKUP($A29,'Data shares'!$C:$FB,4)</f>
        <v>10025</v>
      </c>
      <c r="E29" s="50">
        <f t="shared" si="0"/>
        <v>-0.9177057356608479</v>
      </c>
      <c r="F29" s="49">
        <f>VLOOKUP($A29,'Data shares'!$C:$FB,98)</f>
        <v>368800</v>
      </c>
      <c r="G29" s="49">
        <f>VLOOKUP($A29,'Data shares'!$C:$FB,99)</f>
        <v>355200</v>
      </c>
      <c r="H29" s="50">
        <f t="shared" si="1"/>
        <v>3.8288288288288284</v>
      </c>
      <c r="I29" s="49">
        <f>VLOOKUP($A29,'Data shares'!$C:$FB,66)</f>
        <v>73200</v>
      </c>
      <c r="J29" s="49">
        <f>VLOOKUP($A29,'Data shares'!$C:$FB,67)</f>
        <v>154900</v>
      </c>
      <c r="K29" s="50">
        <f t="shared" si="2"/>
        <v>-111.61202185792349</v>
      </c>
      <c r="L29" s="50">
        <f>VLOOKUP($A29,'Data shares'!$C:$FB,118)</f>
        <v>0.67</v>
      </c>
      <c r="M29" s="50">
        <f>VLOOKUP($A29,'Data shares'!$C:$FB,119)</f>
        <v>0.67</v>
      </c>
      <c r="N29" s="50">
        <f>VLOOKUP($A29,'Data shares'!$C:$FB,121)*100</f>
        <v>0</v>
      </c>
      <c r="O29" s="50">
        <f>VLOOKUP($A29,'Data shares'!$C:$FB,124)</f>
        <v>0.45</v>
      </c>
      <c r="P29" s="50">
        <f>VLOOKUP($A29,'Data shares'!$C:$FB,125)</f>
        <v>0.26</v>
      </c>
      <c r="Q29" s="50">
        <f>VLOOKUP($A29,'Data shares'!$C:$FB,127)*100</f>
        <v>73.08</v>
      </c>
    </row>
    <row r="30" spans="1:17" x14ac:dyDescent="0.25">
      <c r="A30" s="97" t="str">
        <f>'Snapshot (Value)'!A34</f>
        <v>BAJFINANCE</v>
      </c>
      <c r="B30" s="176">
        <f>VLOOKUP($A30,'Data shares'!$C:$FB,7)</f>
        <v>903.25</v>
      </c>
      <c r="C30" s="176">
        <f>VLOOKUP($A30,'Data shares'!$C:$FB,3)</f>
        <v>904.25</v>
      </c>
      <c r="D30" s="176">
        <f>VLOOKUP($A30,'Data shares'!$C:$FB,4)</f>
        <v>916.6</v>
      </c>
      <c r="E30" s="50">
        <f t="shared" si="0"/>
        <v>-1.3473707178703931</v>
      </c>
      <c r="F30" s="49">
        <f>VLOOKUP($A30,'Data shares'!$C:$FB,98)</f>
        <v>104595000</v>
      </c>
      <c r="G30" s="49">
        <f>VLOOKUP($A30,'Data shares'!$C:$FB,99)</f>
        <v>102314250</v>
      </c>
      <c r="H30" s="50">
        <f t="shared" si="1"/>
        <v>2.2291616270460857</v>
      </c>
      <c r="I30" s="49">
        <f>VLOOKUP($A30,'Data shares'!$C:$FB,66)</f>
        <v>36803250</v>
      </c>
      <c r="J30" s="49">
        <f>VLOOKUP($A30,'Data shares'!$C:$FB,67)</f>
        <v>74080500</v>
      </c>
      <c r="K30" s="50">
        <f t="shared" si="2"/>
        <v>-101.28792973446639</v>
      </c>
      <c r="L30" s="50">
        <f>VLOOKUP($A30,'Data shares'!$C:$FB,118)</f>
        <v>0.83</v>
      </c>
      <c r="M30" s="50">
        <f>VLOOKUP($A30,'Data shares'!$C:$FB,119)</f>
        <v>0.82</v>
      </c>
      <c r="N30" s="50">
        <f>VLOOKUP($A30,'Data shares'!$C:$FB,121)*100</f>
        <v>1.22</v>
      </c>
      <c r="O30" s="50">
        <f>VLOOKUP($A30,'Data shares'!$C:$FB,124)</f>
        <v>0.9</v>
      </c>
      <c r="P30" s="50">
        <f>VLOOKUP($A30,'Data shares'!$C:$FB,125)</f>
        <v>0.65</v>
      </c>
      <c r="Q30" s="50">
        <f>VLOOKUP($A30,'Data shares'!$C:$FB,127)*100</f>
        <v>38.46</v>
      </c>
    </row>
    <row r="31" spans="1:17" x14ac:dyDescent="0.25">
      <c r="A31" s="97" t="str">
        <f>'Snapshot (Value)'!A35</f>
        <v>BANDHANBNK</v>
      </c>
      <c r="B31" s="140">
        <f>VLOOKUP($A31,'Data shares'!$C:$FB,7)</f>
        <v>165.94</v>
      </c>
      <c r="C31" s="140">
        <f>VLOOKUP($A31,'Data shares'!$C:$FB,3)</f>
        <v>166.35</v>
      </c>
      <c r="D31" s="140">
        <f>VLOOKUP($A31,'Data shares'!$C:$FB,4)</f>
        <v>165.47</v>
      </c>
      <c r="E31" s="50">
        <f t="shared" si="0"/>
        <v>0.53181845651779502</v>
      </c>
      <c r="F31" s="49">
        <f>VLOOKUP($A31,'Data shares'!$C:$FB,98)</f>
        <v>131428800</v>
      </c>
      <c r="G31" s="49">
        <f>VLOOKUP($A31,'Data shares'!$C:$FB,99)</f>
        <v>128628000</v>
      </c>
      <c r="H31" s="50">
        <f t="shared" si="1"/>
        <v>2.1774419255527566</v>
      </c>
      <c r="I31" s="49">
        <f>VLOOKUP($A31,'Data shares'!$C:$FB,66)</f>
        <v>53107200</v>
      </c>
      <c r="J31" s="49">
        <f>VLOOKUP($A31,'Data shares'!$C:$FB,67)</f>
        <v>106311600</v>
      </c>
      <c r="K31" s="50">
        <f t="shared" si="2"/>
        <v>-100.18302603036877</v>
      </c>
      <c r="L31" s="50">
        <f>VLOOKUP($A31,'Data shares'!$C:$FB,118)</f>
        <v>0.76</v>
      </c>
      <c r="M31" s="50">
        <f>VLOOKUP($A31,'Data shares'!$C:$FB,119)</f>
        <v>0.76</v>
      </c>
      <c r="N31" s="50">
        <f>VLOOKUP($A31,'Data shares'!$C:$FB,121)*100</f>
        <v>0</v>
      </c>
      <c r="O31" s="50">
        <f>VLOOKUP($A31,'Data shares'!$C:$FB,124)</f>
        <v>0.64</v>
      </c>
      <c r="P31" s="50">
        <f>VLOOKUP($A31,'Data shares'!$C:$FB,125)</f>
        <v>0.65</v>
      </c>
      <c r="Q31" s="50">
        <f>VLOOKUP($A31,'Data shares'!$C:$FB,127)*100</f>
        <v>-1.54</v>
      </c>
    </row>
    <row r="32" spans="1:17" x14ac:dyDescent="0.25">
      <c r="A32" s="97" t="str">
        <f>'Snapshot (Value)'!A36</f>
        <v>BANKBARODA</v>
      </c>
      <c r="B32" s="140">
        <f>VLOOKUP($A32,'Data shares'!$C:$FB,7)</f>
        <v>274.24</v>
      </c>
      <c r="C32" s="140">
        <f>VLOOKUP($A32,'Data shares'!$C:$FB,3)</f>
        <v>274.48</v>
      </c>
      <c r="D32" s="140">
        <f>VLOOKUP($A32,'Data shares'!$C:$FB,4)</f>
        <v>277.18</v>
      </c>
      <c r="E32" s="50">
        <f t="shared" si="0"/>
        <v>-0.97409625514105946</v>
      </c>
      <c r="F32" s="49">
        <f>VLOOKUP($A32,'Data shares'!$C:$FB,98)</f>
        <v>175508775</v>
      </c>
      <c r="G32" s="49">
        <f>VLOOKUP($A32,'Data shares'!$C:$FB,99)</f>
        <v>170556750</v>
      </c>
      <c r="H32" s="50">
        <f t="shared" si="1"/>
        <v>2.9034470931229635</v>
      </c>
      <c r="I32" s="49">
        <f>VLOOKUP($A32,'Data shares'!$C:$FB,66)</f>
        <v>79849575</v>
      </c>
      <c r="J32" s="49">
        <f>VLOOKUP($A32,'Data shares'!$C:$FB,67)</f>
        <v>127094175</v>
      </c>
      <c r="K32" s="50">
        <f t="shared" si="2"/>
        <v>-59.167002454302356</v>
      </c>
      <c r="L32" s="50">
        <f>VLOOKUP($A32,'Data shares'!$C:$FB,118)</f>
        <v>0.93</v>
      </c>
      <c r="M32" s="50">
        <f>VLOOKUP($A32,'Data shares'!$C:$FB,119)</f>
        <v>0.97</v>
      </c>
      <c r="N32" s="50">
        <f>VLOOKUP($A32,'Data shares'!$C:$FB,121)*100</f>
        <v>-4.12</v>
      </c>
      <c r="O32" s="50">
        <f>VLOOKUP($A32,'Data shares'!$C:$FB,124)</f>
        <v>0.7</v>
      </c>
      <c r="P32" s="50">
        <f>VLOOKUP($A32,'Data shares'!$C:$FB,125)</f>
        <v>0.73</v>
      </c>
      <c r="Q32" s="50">
        <f>VLOOKUP($A32,'Data shares'!$C:$FB,127)*100</f>
        <v>-4.1099999999999994</v>
      </c>
    </row>
    <row r="33" spans="1:17" x14ac:dyDescent="0.25">
      <c r="A33" s="97" t="str">
        <f>'Snapshot (Value)'!A37</f>
        <v>BANKINDIA</v>
      </c>
      <c r="B33" s="140">
        <f>VLOOKUP($A33,'Data shares'!$C:$FB,7)</f>
        <v>144.29</v>
      </c>
      <c r="C33" s="140">
        <f>VLOOKUP($A33,'Data shares'!$C:$FB,3)</f>
        <v>144.79</v>
      </c>
      <c r="D33" s="140">
        <f>VLOOKUP($A33,'Data shares'!$C:$FB,4)</f>
        <v>147.02000000000001</v>
      </c>
      <c r="E33" s="50">
        <f t="shared" si="0"/>
        <v>-1.5168004353149354</v>
      </c>
      <c r="F33" s="49">
        <f>VLOOKUP($A33,'Data shares'!$C:$FB,98)</f>
        <v>96454800</v>
      </c>
      <c r="G33" s="49">
        <f>VLOOKUP($A33,'Data shares'!$C:$FB,99)</f>
        <v>89403600</v>
      </c>
      <c r="H33" s="50">
        <f t="shared" si="1"/>
        <v>7.8869307276217064</v>
      </c>
      <c r="I33" s="49">
        <f>VLOOKUP($A33,'Data shares'!$C:$FB,66)</f>
        <v>44746000</v>
      </c>
      <c r="J33" s="49">
        <f>VLOOKUP($A33,'Data shares'!$C:$FB,67)</f>
        <v>70902000</v>
      </c>
      <c r="K33" s="50">
        <f t="shared" si="2"/>
        <v>-58.454386984311448</v>
      </c>
      <c r="L33" s="50">
        <f>VLOOKUP($A33,'Data shares'!$C:$FB,118)</f>
        <v>1.19</v>
      </c>
      <c r="M33" s="50">
        <f>VLOOKUP($A33,'Data shares'!$C:$FB,119)</f>
        <v>1.04</v>
      </c>
      <c r="N33" s="50">
        <f>VLOOKUP($A33,'Data shares'!$C:$FB,121)*100</f>
        <v>14.42</v>
      </c>
      <c r="O33" s="50">
        <f>VLOOKUP($A33,'Data shares'!$C:$FB,124)</f>
        <v>0.75</v>
      </c>
      <c r="P33" s="50">
        <f>VLOOKUP($A33,'Data shares'!$C:$FB,125)</f>
        <v>0.53</v>
      </c>
      <c r="Q33" s="50">
        <f>VLOOKUP($A33,'Data shares'!$C:$FB,127)*100</f>
        <v>41.510000000000005</v>
      </c>
    </row>
    <row r="34" spans="1:17" x14ac:dyDescent="0.25">
      <c r="A34" s="97" t="str">
        <f>'Snapshot (Value)'!A38</f>
        <v>BANKNIFTY</v>
      </c>
      <c r="B34" s="140">
        <f>VLOOKUP($A34,'Data shares'!$C:$FB,7)</f>
        <v>54821.7</v>
      </c>
      <c r="C34" s="140">
        <f>VLOOKUP($A34,'Data shares'!$C:$FB,3)</f>
        <v>55080</v>
      </c>
      <c r="D34" s="140">
        <f>VLOOKUP($A34,'Data shares'!$C:$FB,4)</f>
        <v>55928</v>
      </c>
      <c r="E34" s="50">
        <f t="shared" si="0"/>
        <v>-1.5162351594907739</v>
      </c>
      <c r="F34" s="49">
        <f>VLOOKUP($A34,'Data shares'!$C:$FB,98)</f>
        <v>32350950</v>
      </c>
      <c r="G34" s="49">
        <f>VLOOKUP($A34,'Data shares'!$C:$FB,99)</f>
        <v>30920280</v>
      </c>
      <c r="H34" s="50">
        <f t="shared" si="1"/>
        <v>4.6269632745887161</v>
      </c>
      <c r="I34" s="49">
        <f>VLOOKUP($A34,'Data shares'!$C:$FB,66)</f>
        <v>65698980</v>
      </c>
      <c r="J34" s="49">
        <f>VLOOKUP($A34,'Data shares'!$C:$FB,67)</f>
        <v>87863460</v>
      </c>
      <c r="K34" s="50">
        <f t="shared" si="2"/>
        <v>-33.736414172640124</v>
      </c>
      <c r="L34" s="50">
        <f>VLOOKUP($A34,'Data shares'!$C:$FB,118)</f>
        <v>0.77</v>
      </c>
      <c r="M34" s="50">
        <f>VLOOKUP($A34,'Data shares'!$C:$FB,119)</f>
        <v>0.8</v>
      </c>
      <c r="N34" s="50">
        <f>VLOOKUP($A34,'Data shares'!$C:$FB,121)*100</f>
        <v>-3.75</v>
      </c>
      <c r="O34" s="50">
        <f>VLOOKUP($A34,'Data shares'!$C:$FB,124)</f>
        <v>0.86</v>
      </c>
      <c r="P34" s="50">
        <f>VLOOKUP($A34,'Data shares'!$C:$FB,125)</f>
        <v>0.68</v>
      </c>
      <c r="Q34" s="50">
        <f>VLOOKUP($A34,'Data shares'!$C:$FB,127)*100</f>
        <v>26.47</v>
      </c>
    </row>
    <row r="35" spans="1:17" x14ac:dyDescent="0.25">
      <c r="A35" s="97" t="str">
        <f>'Snapshot (Value)'!A39</f>
        <v>BDL</v>
      </c>
      <c r="B35" s="140">
        <f>VLOOKUP($A35,'Data shares'!$C:$FB,7)</f>
        <v>1325.5</v>
      </c>
      <c r="C35" s="140">
        <f>VLOOKUP($A35,'Data shares'!$C:$FB,3)</f>
        <v>1326.5</v>
      </c>
      <c r="D35" s="140">
        <f>VLOOKUP($A35,'Data shares'!$C:$FB,4)</f>
        <v>1289.7</v>
      </c>
      <c r="E35" s="50">
        <f t="shared" si="0"/>
        <v>2.8533767542839383</v>
      </c>
      <c r="F35" s="49">
        <f>VLOOKUP($A35,'Data shares'!$C:$FB,98)</f>
        <v>8701350</v>
      </c>
      <c r="G35" s="49">
        <f>VLOOKUP($A35,'Data shares'!$C:$FB,99)</f>
        <v>8462300</v>
      </c>
      <c r="H35" s="50">
        <f t="shared" si="1"/>
        <v>2.8248821242451818</v>
      </c>
      <c r="I35" s="49">
        <f>VLOOKUP($A35,'Data shares'!$C:$FB,66)</f>
        <v>13499500</v>
      </c>
      <c r="J35" s="49">
        <f>VLOOKUP($A35,'Data shares'!$C:$FB,67)</f>
        <v>10643500</v>
      </c>
      <c r="K35" s="50">
        <f t="shared" si="2"/>
        <v>21.156339123671248</v>
      </c>
      <c r="L35" s="50">
        <f>VLOOKUP($A35,'Data shares'!$C:$FB,118)</f>
        <v>0.84</v>
      </c>
      <c r="M35" s="50">
        <f>VLOOKUP($A35,'Data shares'!$C:$FB,119)</f>
        <v>0.77</v>
      </c>
      <c r="N35" s="50">
        <f>VLOOKUP($A35,'Data shares'!$C:$FB,121)*100</f>
        <v>9.09</v>
      </c>
      <c r="O35" s="50">
        <f>VLOOKUP($A35,'Data shares'!$C:$FB,124)</f>
        <v>0.64</v>
      </c>
      <c r="P35" s="50">
        <f>VLOOKUP($A35,'Data shares'!$C:$FB,125)</f>
        <v>0.94</v>
      </c>
      <c r="Q35" s="50">
        <f>VLOOKUP($A35,'Data shares'!$C:$FB,127)*100</f>
        <v>-31.91</v>
      </c>
    </row>
    <row r="36" spans="1:17" x14ac:dyDescent="0.25">
      <c r="A36" s="97" t="str">
        <f>'Snapshot (Value)'!A40</f>
        <v>BEL</v>
      </c>
      <c r="B36" s="140">
        <f>VLOOKUP($A36,'Data shares'!$C:$FB,7)</f>
        <v>439.75</v>
      </c>
      <c r="C36" s="140">
        <f>VLOOKUP($A36,'Data shares'!$C:$FB,3)</f>
        <v>441.85</v>
      </c>
      <c r="D36" s="140">
        <f>VLOOKUP($A36,'Data shares'!$C:$FB,4)</f>
        <v>435.1</v>
      </c>
      <c r="E36" s="50">
        <f t="shared" si="0"/>
        <v>1.5513675017237416</v>
      </c>
      <c r="F36" s="49">
        <f>VLOOKUP($A36,'Data shares'!$C:$FB,98)</f>
        <v>167494500</v>
      </c>
      <c r="G36" s="49">
        <f>VLOOKUP($A36,'Data shares'!$C:$FB,99)</f>
        <v>164792700</v>
      </c>
      <c r="H36" s="50">
        <f t="shared" si="1"/>
        <v>1.6395143716924354</v>
      </c>
      <c r="I36" s="49">
        <f>VLOOKUP($A36,'Data shares'!$C:$FB,66)</f>
        <v>134532825</v>
      </c>
      <c r="J36" s="49">
        <f>VLOOKUP($A36,'Data shares'!$C:$FB,67)</f>
        <v>112606350</v>
      </c>
      <c r="K36" s="50">
        <f t="shared" si="2"/>
        <v>16.298234278511583</v>
      </c>
      <c r="L36" s="50">
        <f>VLOOKUP($A36,'Data shares'!$C:$FB,118)</f>
        <v>0.66</v>
      </c>
      <c r="M36" s="50">
        <f>VLOOKUP($A36,'Data shares'!$C:$FB,119)</f>
        <v>0.61</v>
      </c>
      <c r="N36" s="50">
        <f>VLOOKUP($A36,'Data shares'!$C:$FB,121)*100</f>
        <v>8.2000000000000011</v>
      </c>
      <c r="O36" s="50">
        <f>VLOOKUP($A36,'Data shares'!$C:$FB,124)</f>
        <v>0.4</v>
      </c>
      <c r="P36" s="50">
        <f>VLOOKUP($A36,'Data shares'!$C:$FB,125)</f>
        <v>0.49</v>
      </c>
      <c r="Q36" s="50">
        <f>VLOOKUP($A36,'Data shares'!$C:$FB,127)*100</f>
        <v>-18.37</v>
      </c>
    </row>
    <row r="37" spans="1:17" x14ac:dyDescent="0.25">
      <c r="A37" s="97" t="str">
        <f>'Snapshot (Value)'!A41</f>
        <v>BHARATFORG</v>
      </c>
      <c r="B37" s="140">
        <f>VLOOKUP($A37,'Data shares'!$C:$FB,7)</f>
        <v>1739.4</v>
      </c>
      <c r="C37" s="140">
        <f>VLOOKUP($A37,'Data shares'!$C:$FB,3)</f>
        <v>1748.2</v>
      </c>
      <c r="D37" s="140">
        <f>VLOOKUP($A37,'Data shares'!$C:$FB,4)</f>
        <v>1790.4</v>
      </c>
      <c r="E37" s="50">
        <f t="shared" si="0"/>
        <v>-2.357015192135838</v>
      </c>
      <c r="F37" s="49">
        <f>VLOOKUP($A37,'Data shares'!$C:$FB,98)</f>
        <v>12773500</v>
      </c>
      <c r="G37" s="49">
        <f>VLOOKUP($A37,'Data shares'!$C:$FB,99)</f>
        <v>12350500</v>
      </c>
      <c r="H37" s="50">
        <f t="shared" si="1"/>
        <v>3.4249625521233957</v>
      </c>
      <c r="I37" s="49">
        <f>VLOOKUP($A37,'Data shares'!$C:$FB,66)</f>
        <v>7449000</v>
      </c>
      <c r="J37" s="49">
        <f>VLOOKUP($A37,'Data shares'!$C:$FB,67)</f>
        <v>11968500</v>
      </c>
      <c r="K37" s="50">
        <f t="shared" si="2"/>
        <v>-60.672573499798631</v>
      </c>
      <c r="L37" s="50">
        <f>VLOOKUP($A37,'Data shares'!$C:$FB,118)</f>
        <v>0.54</v>
      </c>
      <c r="M37" s="50">
        <f>VLOOKUP($A37,'Data shares'!$C:$FB,119)</f>
        <v>0.59</v>
      </c>
      <c r="N37" s="50">
        <f>VLOOKUP($A37,'Data shares'!$C:$FB,121)*100</f>
        <v>-8.4699999999999989</v>
      </c>
      <c r="O37" s="50">
        <f>VLOOKUP($A37,'Data shares'!$C:$FB,124)</f>
        <v>0.56999999999999995</v>
      </c>
      <c r="P37" s="50">
        <f>VLOOKUP($A37,'Data shares'!$C:$FB,125)</f>
        <v>0.44</v>
      </c>
      <c r="Q37" s="50">
        <f>VLOOKUP($A37,'Data shares'!$C:$FB,127)*100</f>
        <v>29.549999999999997</v>
      </c>
    </row>
    <row r="38" spans="1:17" x14ac:dyDescent="0.25">
      <c r="A38" s="97" t="str">
        <f>'Snapshot (Value)'!A42</f>
        <v>BHARTIARTL</v>
      </c>
      <c r="B38" s="140">
        <f>VLOOKUP($A38,'Data shares'!$C:$FB,7)</f>
        <v>1859.4</v>
      </c>
      <c r="C38" s="140">
        <f>VLOOKUP($A38,'Data shares'!$C:$FB,3)</f>
        <v>1866.1</v>
      </c>
      <c r="D38" s="140">
        <f>VLOOKUP($A38,'Data shares'!$C:$FB,4)</f>
        <v>1865.5</v>
      </c>
      <c r="E38" s="50">
        <f t="shared" si="0"/>
        <v>3.2162958992222414E-2</v>
      </c>
      <c r="F38" s="49">
        <f>VLOOKUP($A38,'Data shares'!$C:$FB,98)</f>
        <v>75458025</v>
      </c>
      <c r="G38" s="49">
        <f>VLOOKUP($A38,'Data shares'!$C:$FB,99)</f>
        <v>75322175</v>
      </c>
      <c r="H38" s="50">
        <f t="shared" si="1"/>
        <v>0.18035857302315023</v>
      </c>
      <c r="I38" s="49">
        <f>VLOOKUP($A38,'Data shares'!$C:$FB,66)</f>
        <v>21024925</v>
      </c>
      <c r="J38" s="49">
        <f>VLOOKUP($A38,'Data shares'!$C:$FB,67)</f>
        <v>41332125</v>
      </c>
      <c r="K38" s="50">
        <f t="shared" si="2"/>
        <v>-96.586313625375595</v>
      </c>
      <c r="L38" s="50">
        <f>VLOOKUP($A38,'Data shares'!$C:$FB,118)</f>
        <v>0.88</v>
      </c>
      <c r="M38" s="50">
        <f>VLOOKUP($A38,'Data shares'!$C:$FB,119)</f>
        <v>0.87</v>
      </c>
      <c r="N38" s="50">
        <f>VLOOKUP($A38,'Data shares'!$C:$FB,121)*100</f>
        <v>1.1499999999999999</v>
      </c>
      <c r="O38" s="50">
        <f>VLOOKUP($A38,'Data shares'!$C:$FB,124)</f>
        <v>0.56999999999999995</v>
      </c>
      <c r="P38" s="50">
        <f>VLOOKUP($A38,'Data shares'!$C:$FB,125)</f>
        <v>0.41</v>
      </c>
      <c r="Q38" s="50">
        <f>VLOOKUP($A38,'Data shares'!$C:$FB,127)*100</f>
        <v>39.019999999999996</v>
      </c>
    </row>
    <row r="39" spans="1:17" x14ac:dyDescent="0.25">
      <c r="A39" s="97" t="str">
        <f>'Snapshot (Value)'!A43</f>
        <v>BHEL</v>
      </c>
      <c r="B39" s="140">
        <f>VLOOKUP($A39,'Data shares'!$C:$FB,7)</f>
        <v>277.2</v>
      </c>
      <c r="C39" s="140">
        <f>VLOOKUP($A39,'Data shares'!$C:$FB,3)</f>
        <v>277.77</v>
      </c>
      <c r="D39" s="140">
        <f>VLOOKUP($A39,'Data shares'!$C:$FB,4)</f>
        <v>267.24</v>
      </c>
      <c r="E39" s="50">
        <f t="shared" si="0"/>
        <v>3.9402784014369003</v>
      </c>
      <c r="F39" s="49">
        <f>VLOOKUP($A39,'Data shares'!$C:$FB,98)</f>
        <v>155284500</v>
      </c>
      <c r="G39" s="49">
        <f>VLOOKUP($A39,'Data shares'!$C:$FB,99)</f>
        <v>151326000</v>
      </c>
      <c r="H39" s="50">
        <f t="shared" si="1"/>
        <v>2.6158756591729118</v>
      </c>
      <c r="I39" s="49">
        <f>VLOOKUP($A39,'Data shares'!$C:$FB,66)</f>
        <v>220345125</v>
      </c>
      <c r="J39" s="49">
        <f>VLOOKUP($A39,'Data shares'!$C:$FB,67)</f>
        <v>98513625</v>
      </c>
      <c r="K39" s="50">
        <f t="shared" si="2"/>
        <v>55.291216449649163</v>
      </c>
      <c r="L39" s="50">
        <f>VLOOKUP($A39,'Data shares'!$C:$FB,118)</f>
        <v>0.81</v>
      </c>
      <c r="M39" s="50">
        <f>VLOOKUP($A39,'Data shares'!$C:$FB,119)</f>
        <v>0.81</v>
      </c>
      <c r="N39" s="50">
        <f>VLOOKUP($A39,'Data shares'!$C:$FB,121)*100</f>
        <v>0</v>
      </c>
      <c r="O39" s="50">
        <f>VLOOKUP($A39,'Data shares'!$C:$FB,124)</f>
        <v>0.42</v>
      </c>
      <c r="P39" s="50">
        <f>VLOOKUP($A39,'Data shares'!$C:$FB,125)</f>
        <v>0.53</v>
      </c>
      <c r="Q39" s="50">
        <f>VLOOKUP($A39,'Data shares'!$C:$FB,127)*100</f>
        <v>-20.75</v>
      </c>
    </row>
    <row r="40" spans="1:17" x14ac:dyDescent="0.25">
      <c r="A40" s="97" t="str">
        <f>'Snapshot (Value)'!A44</f>
        <v>BIOCON</v>
      </c>
      <c r="B40" s="140">
        <f>VLOOKUP($A40,'Data shares'!$C:$FB,7)</f>
        <v>345.7</v>
      </c>
      <c r="C40" s="140">
        <f>VLOOKUP($A40,'Data shares'!$C:$FB,3)</f>
        <v>346.8</v>
      </c>
      <c r="D40" s="140">
        <f>VLOOKUP($A40,'Data shares'!$C:$FB,4)</f>
        <v>351.4</v>
      </c>
      <c r="E40" s="50">
        <f t="shared" si="0"/>
        <v>-1.3090495162208213</v>
      </c>
      <c r="F40" s="49">
        <f>VLOOKUP($A40,'Data shares'!$C:$FB,98)</f>
        <v>72302500</v>
      </c>
      <c r="G40" s="49">
        <f>VLOOKUP($A40,'Data shares'!$C:$FB,99)</f>
        <v>68770000</v>
      </c>
      <c r="H40" s="50">
        <f t="shared" si="1"/>
        <v>5.1366875090882651</v>
      </c>
      <c r="I40" s="49">
        <f>VLOOKUP($A40,'Data shares'!$C:$FB,66)</f>
        <v>25510000</v>
      </c>
      <c r="J40" s="49">
        <f>VLOOKUP($A40,'Data shares'!$C:$FB,67)</f>
        <v>61535000</v>
      </c>
      <c r="K40" s="50">
        <f t="shared" si="2"/>
        <v>-141.21912975303803</v>
      </c>
      <c r="L40" s="50">
        <f>VLOOKUP($A40,'Data shares'!$C:$FB,118)</f>
        <v>0.7</v>
      </c>
      <c r="M40" s="50">
        <f>VLOOKUP($A40,'Data shares'!$C:$FB,119)</f>
        <v>0.74</v>
      </c>
      <c r="N40" s="50">
        <f>VLOOKUP($A40,'Data shares'!$C:$FB,121)*100</f>
        <v>-5.41</v>
      </c>
      <c r="O40" s="50">
        <f>VLOOKUP($A40,'Data shares'!$C:$FB,124)</f>
        <v>0.4</v>
      </c>
      <c r="P40" s="50">
        <f>VLOOKUP($A40,'Data shares'!$C:$FB,125)</f>
        <v>0.55000000000000004</v>
      </c>
      <c r="Q40" s="50">
        <f>VLOOKUP($A40,'Data shares'!$C:$FB,127)*100</f>
        <v>-27.27</v>
      </c>
    </row>
    <row r="41" spans="1:17" x14ac:dyDescent="0.25">
      <c r="A41" s="97" t="str">
        <f>'Snapshot (Value)'!A45</f>
        <v>BLUESTARCO</v>
      </c>
      <c r="B41" s="140">
        <f>VLOOKUP($A41,'Data shares'!$C:$FB,7)</f>
        <v>1655.6</v>
      </c>
      <c r="C41" s="140">
        <f>VLOOKUP($A41,'Data shares'!$C:$FB,3)</f>
        <v>1648.9</v>
      </c>
      <c r="D41" s="140">
        <f>VLOOKUP($A41,'Data shares'!$C:$FB,4)</f>
        <v>1622</v>
      </c>
      <c r="E41" s="50">
        <f t="shared" si="0"/>
        <v>1.6584463625154187</v>
      </c>
      <c r="F41" s="49">
        <f>VLOOKUP($A41,'Data shares'!$C:$FB,98)</f>
        <v>4521725</v>
      </c>
      <c r="G41" s="49">
        <f>VLOOKUP($A41,'Data shares'!$C:$FB,99)</f>
        <v>4295850</v>
      </c>
      <c r="H41" s="50">
        <f t="shared" si="1"/>
        <v>5.2579815403238008</v>
      </c>
      <c r="I41" s="49">
        <f>VLOOKUP($A41,'Data shares'!$C:$FB,66)</f>
        <v>3801525</v>
      </c>
      <c r="J41" s="49">
        <f>VLOOKUP($A41,'Data shares'!$C:$FB,67)</f>
        <v>4836650</v>
      </c>
      <c r="K41" s="50">
        <f t="shared" si="2"/>
        <v>-27.229204069419509</v>
      </c>
      <c r="L41" s="50">
        <f>VLOOKUP($A41,'Data shares'!$C:$FB,118)</f>
        <v>0.59</v>
      </c>
      <c r="M41" s="50">
        <f>VLOOKUP($A41,'Data shares'!$C:$FB,119)</f>
        <v>0.55000000000000004</v>
      </c>
      <c r="N41" s="50">
        <f>VLOOKUP($A41,'Data shares'!$C:$FB,121)*100</f>
        <v>7.2700000000000005</v>
      </c>
      <c r="O41" s="50">
        <f>VLOOKUP($A41,'Data shares'!$C:$FB,124)</f>
        <v>0.35</v>
      </c>
      <c r="P41" s="50">
        <f>VLOOKUP($A41,'Data shares'!$C:$FB,125)</f>
        <v>0.69</v>
      </c>
      <c r="Q41" s="50">
        <f>VLOOKUP($A41,'Data shares'!$C:$FB,127)*100</f>
        <v>-49.28</v>
      </c>
    </row>
    <row r="42" spans="1:17" x14ac:dyDescent="0.25">
      <c r="A42" s="97" t="str">
        <f>'Snapshot (Value)'!A46</f>
        <v>BOSCHLTD</v>
      </c>
      <c r="B42" s="140">
        <f>VLOOKUP($A42,'Data shares'!$C:$FB,7)</f>
        <v>36770</v>
      </c>
      <c r="C42" s="140">
        <f>VLOOKUP($A42,'Data shares'!$C:$FB,3)</f>
        <v>36840</v>
      </c>
      <c r="D42" s="140">
        <f>VLOOKUP($A42,'Data shares'!$C:$FB,4)</f>
        <v>36125</v>
      </c>
      <c r="E42" s="50">
        <f t="shared" si="0"/>
        <v>1.9792387543252594</v>
      </c>
      <c r="F42" s="49">
        <f>VLOOKUP($A42,'Data shares'!$C:$FB,98)</f>
        <v>812200</v>
      </c>
      <c r="G42" s="49">
        <f>VLOOKUP($A42,'Data shares'!$C:$FB,99)</f>
        <v>764000</v>
      </c>
      <c r="H42" s="50">
        <f t="shared" si="1"/>
        <v>6.3089005235602098</v>
      </c>
      <c r="I42" s="49">
        <f>VLOOKUP($A42,'Data shares'!$C:$FB,66)</f>
        <v>2356950</v>
      </c>
      <c r="J42" s="49">
        <f>VLOOKUP($A42,'Data shares'!$C:$FB,67)</f>
        <v>1293025</v>
      </c>
      <c r="K42" s="50">
        <f t="shared" si="2"/>
        <v>45.139905386198265</v>
      </c>
      <c r="L42" s="50">
        <f>VLOOKUP($A42,'Data shares'!$C:$FB,118)</f>
        <v>0.71</v>
      </c>
      <c r="M42" s="50">
        <f>VLOOKUP($A42,'Data shares'!$C:$FB,119)</f>
        <v>0.63</v>
      </c>
      <c r="N42" s="50">
        <f>VLOOKUP($A42,'Data shares'!$C:$FB,121)*100</f>
        <v>12.7</v>
      </c>
      <c r="O42" s="50">
        <f>VLOOKUP($A42,'Data shares'!$C:$FB,124)</f>
        <v>0.33</v>
      </c>
      <c r="P42" s="50">
        <f>VLOOKUP($A42,'Data shares'!$C:$FB,125)</f>
        <v>0.28000000000000003</v>
      </c>
      <c r="Q42" s="50">
        <f>VLOOKUP($A42,'Data shares'!$C:$FB,127)*100</f>
        <v>17.86</v>
      </c>
    </row>
    <row r="43" spans="1:17" x14ac:dyDescent="0.25">
      <c r="A43" s="97" t="str">
        <f>'Snapshot (Value)'!A47</f>
        <v>BPCL</v>
      </c>
      <c r="B43" s="140">
        <f>VLOOKUP($A43,'Data shares'!$C:$FB,7)</f>
        <v>297.35000000000002</v>
      </c>
      <c r="C43" s="140">
        <f>VLOOKUP($A43,'Data shares'!$C:$FB,3)</f>
        <v>297.95</v>
      </c>
      <c r="D43" s="140">
        <f>VLOOKUP($A43,'Data shares'!$C:$FB,4)</f>
        <v>298.64999999999998</v>
      </c>
      <c r="E43" s="50">
        <f t="shared" si="0"/>
        <v>-0.23438807969194334</v>
      </c>
      <c r="F43" s="49">
        <f>VLOOKUP($A43,'Data shares'!$C:$FB,98)</f>
        <v>88049450</v>
      </c>
      <c r="G43" s="49">
        <f>VLOOKUP($A43,'Data shares'!$C:$FB,99)</f>
        <v>84982275</v>
      </c>
      <c r="H43" s="50">
        <f t="shared" si="1"/>
        <v>3.6091937995305488</v>
      </c>
      <c r="I43" s="49">
        <f>VLOOKUP($A43,'Data shares'!$C:$FB,66)</f>
        <v>54093275</v>
      </c>
      <c r="J43" s="49">
        <f>VLOOKUP($A43,'Data shares'!$C:$FB,67)</f>
        <v>114230050</v>
      </c>
      <c r="K43" s="50">
        <f t="shared" si="2"/>
        <v>-111.17236846909344</v>
      </c>
      <c r="L43" s="50">
        <f>VLOOKUP($A43,'Data shares'!$C:$FB,118)</f>
        <v>0.82</v>
      </c>
      <c r="M43" s="50">
        <f>VLOOKUP($A43,'Data shares'!$C:$FB,119)</f>
        <v>0.63</v>
      </c>
      <c r="N43" s="50">
        <f>VLOOKUP($A43,'Data shares'!$C:$FB,121)*100</f>
        <v>30.159999999999997</v>
      </c>
      <c r="O43" s="50">
        <f>VLOOKUP($A43,'Data shares'!$C:$FB,124)</f>
        <v>0.7</v>
      </c>
      <c r="P43" s="50">
        <f>VLOOKUP($A43,'Data shares'!$C:$FB,125)</f>
        <v>0.44</v>
      </c>
      <c r="Q43" s="50">
        <f>VLOOKUP($A43,'Data shares'!$C:$FB,127)*100</f>
        <v>59.089999999999996</v>
      </c>
    </row>
    <row r="44" spans="1:17" x14ac:dyDescent="0.25">
      <c r="A44" s="97" t="str">
        <f>'Snapshot (Value)'!A48</f>
        <v>BRITANNIA</v>
      </c>
      <c r="B44" s="140">
        <f>VLOOKUP($A44,'Data shares'!$C:$FB,7)</f>
        <v>5475</v>
      </c>
      <c r="C44" s="140">
        <f>VLOOKUP($A44,'Data shares'!$C:$FB,3)</f>
        <v>5485</v>
      </c>
      <c r="D44" s="140">
        <f>VLOOKUP($A44,'Data shares'!$C:$FB,4)</f>
        <v>5617</v>
      </c>
      <c r="E44" s="50">
        <f t="shared" si="0"/>
        <v>-2.3500089015488697</v>
      </c>
      <c r="F44" s="49">
        <f>VLOOKUP($A44,'Data shares'!$C:$FB,98)</f>
        <v>4036750</v>
      </c>
      <c r="G44" s="49">
        <f>VLOOKUP($A44,'Data shares'!$C:$FB,99)</f>
        <v>3557625</v>
      </c>
      <c r="H44" s="50">
        <f t="shared" si="1"/>
        <v>13.4675520888233</v>
      </c>
      <c r="I44" s="49">
        <f>VLOOKUP($A44,'Data shares'!$C:$FB,66)</f>
        <v>3621250</v>
      </c>
      <c r="J44" s="49">
        <f>VLOOKUP($A44,'Data shares'!$C:$FB,67)</f>
        <v>1350000</v>
      </c>
      <c r="K44" s="50">
        <f t="shared" si="2"/>
        <v>62.72005522954781</v>
      </c>
      <c r="L44" s="50">
        <f>VLOOKUP($A44,'Data shares'!$C:$FB,118)</f>
        <v>1.1200000000000001</v>
      </c>
      <c r="M44" s="50">
        <f>VLOOKUP($A44,'Data shares'!$C:$FB,119)</f>
        <v>1.32</v>
      </c>
      <c r="N44" s="50">
        <f>VLOOKUP($A44,'Data shares'!$C:$FB,121)*100</f>
        <v>-15.15</v>
      </c>
      <c r="O44" s="50">
        <f>VLOOKUP($A44,'Data shares'!$C:$FB,124)</f>
        <v>0.68</v>
      </c>
      <c r="P44" s="50">
        <f>VLOOKUP($A44,'Data shares'!$C:$FB,125)</f>
        <v>0.39</v>
      </c>
      <c r="Q44" s="50">
        <f>VLOOKUP($A44,'Data shares'!$C:$FB,127)*100</f>
        <v>74.36</v>
      </c>
    </row>
    <row r="45" spans="1:17" x14ac:dyDescent="0.25">
      <c r="A45" s="97" t="str">
        <f>'Snapshot (Value)'!A49</f>
        <v>BSE</v>
      </c>
      <c r="B45" s="140">
        <f>VLOOKUP($A45,'Data shares'!$C:$FB,7)</f>
        <v>3257.4</v>
      </c>
      <c r="C45" s="140">
        <f>VLOOKUP($A45,'Data shares'!$C:$FB,3)</f>
        <v>3274.4</v>
      </c>
      <c r="D45" s="140">
        <f>VLOOKUP($A45,'Data shares'!$C:$FB,4)</f>
        <v>3176.2</v>
      </c>
      <c r="E45" s="50">
        <f t="shared" si="0"/>
        <v>3.0917448523392821</v>
      </c>
      <c r="F45" s="49">
        <f>VLOOKUP($A45,'Data shares'!$C:$FB,98)</f>
        <v>20118375</v>
      </c>
      <c r="G45" s="49">
        <f>VLOOKUP($A45,'Data shares'!$C:$FB,99)</f>
        <v>17569875</v>
      </c>
      <c r="H45" s="50">
        <f t="shared" si="1"/>
        <v>14.504940985635924</v>
      </c>
      <c r="I45" s="49">
        <f>VLOOKUP($A45,'Data shares'!$C:$FB,66)</f>
        <v>40186500</v>
      </c>
      <c r="J45" s="49">
        <f>VLOOKUP($A45,'Data shares'!$C:$FB,67)</f>
        <v>46751625</v>
      </c>
      <c r="K45" s="50">
        <f t="shared" si="2"/>
        <v>-16.336642902467247</v>
      </c>
      <c r="L45" s="50">
        <f>VLOOKUP($A45,'Data shares'!$C:$FB,118)</f>
        <v>1.08</v>
      </c>
      <c r="M45" s="50">
        <f>VLOOKUP($A45,'Data shares'!$C:$FB,119)</f>
        <v>1.05</v>
      </c>
      <c r="N45" s="50">
        <f>VLOOKUP($A45,'Data shares'!$C:$FB,121)*100</f>
        <v>2.86</v>
      </c>
      <c r="O45" s="50">
        <f>VLOOKUP($A45,'Data shares'!$C:$FB,124)</f>
        <v>0.54</v>
      </c>
      <c r="P45" s="50">
        <f>VLOOKUP($A45,'Data shares'!$C:$FB,125)</f>
        <v>0.54</v>
      </c>
      <c r="Q45" s="50">
        <f>VLOOKUP($A45,'Data shares'!$C:$FB,127)*100</f>
        <v>0</v>
      </c>
    </row>
    <row r="46" spans="1:17" x14ac:dyDescent="0.25">
      <c r="A46" s="97" t="str">
        <f>'Snapshot (Value)'!A50</f>
        <v>CAMS</v>
      </c>
      <c r="B46" s="140">
        <f>VLOOKUP($A46,'Data shares'!$C:$FB,7)</f>
        <v>699.05</v>
      </c>
      <c r="C46" s="140">
        <f>VLOOKUP($A46,'Data shares'!$C:$FB,3)</f>
        <v>698.1</v>
      </c>
      <c r="D46" s="140">
        <f>VLOOKUP($A46,'Data shares'!$C:$FB,4)</f>
        <v>707.25</v>
      </c>
      <c r="E46" s="50">
        <f t="shared" si="0"/>
        <v>-1.2937433722163276</v>
      </c>
      <c r="F46" s="49">
        <f>VLOOKUP($A46,'Data shares'!$C:$FB,98)</f>
        <v>10529250</v>
      </c>
      <c r="G46" s="49">
        <f>VLOOKUP($A46,'Data shares'!$C:$FB,99)</f>
        <v>9702750</v>
      </c>
      <c r="H46" s="50">
        <f t="shared" si="1"/>
        <v>8.5182036020715781</v>
      </c>
      <c r="I46" s="49">
        <f>VLOOKUP($A46,'Data shares'!$C:$FB,66)</f>
        <v>8241000</v>
      </c>
      <c r="J46" s="49">
        <f>VLOOKUP($A46,'Data shares'!$C:$FB,67)</f>
        <v>7304250</v>
      </c>
      <c r="K46" s="50">
        <f t="shared" si="2"/>
        <v>11.366945759009829</v>
      </c>
      <c r="L46" s="50">
        <f>VLOOKUP($A46,'Data shares'!$C:$FB,118)</f>
        <v>0.79</v>
      </c>
      <c r="M46" s="50">
        <f>VLOOKUP($A46,'Data shares'!$C:$FB,119)</f>
        <v>0.69</v>
      </c>
      <c r="N46" s="50">
        <f>VLOOKUP($A46,'Data shares'!$C:$FB,121)*100</f>
        <v>14.49</v>
      </c>
      <c r="O46" s="50">
        <f>VLOOKUP($A46,'Data shares'!$C:$FB,124)</f>
        <v>0.46</v>
      </c>
      <c r="P46" s="50">
        <f>VLOOKUP($A46,'Data shares'!$C:$FB,125)</f>
        <v>0.53</v>
      </c>
      <c r="Q46" s="50">
        <f>VLOOKUP($A46,'Data shares'!$C:$FB,127)*100</f>
        <v>-13.209999999999999</v>
      </c>
    </row>
    <row r="47" spans="1:17" x14ac:dyDescent="0.25">
      <c r="A47" s="97" t="str">
        <f>'Snapshot (Value)'!A51</f>
        <v>CANBK</v>
      </c>
      <c r="B47" s="140">
        <f>VLOOKUP($A47,'Data shares'!$C:$FB,7)</f>
        <v>137.91</v>
      </c>
      <c r="C47" s="140">
        <f>VLOOKUP($A47,'Data shares'!$C:$FB,3)</f>
        <v>138.13999999999999</v>
      </c>
      <c r="D47" s="140">
        <f>VLOOKUP($A47,'Data shares'!$C:$FB,4)</f>
        <v>139.83000000000001</v>
      </c>
      <c r="E47" s="50">
        <f t="shared" si="0"/>
        <v>-1.2086104555531905</v>
      </c>
      <c r="F47" s="49">
        <f>VLOOKUP($A47,'Data shares'!$C:$FB,98)</f>
        <v>328117500</v>
      </c>
      <c r="G47" s="49">
        <f>VLOOKUP($A47,'Data shares'!$C:$FB,99)</f>
        <v>317209500</v>
      </c>
      <c r="H47" s="50">
        <f t="shared" si="1"/>
        <v>3.4387368600246839</v>
      </c>
      <c r="I47" s="49">
        <f>VLOOKUP($A47,'Data shares'!$C:$FB,66)</f>
        <v>147588750</v>
      </c>
      <c r="J47" s="49">
        <f>VLOOKUP($A47,'Data shares'!$C:$FB,67)</f>
        <v>270391500</v>
      </c>
      <c r="K47" s="50">
        <f t="shared" si="2"/>
        <v>-83.20603704550652</v>
      </c>
      <c r="L47" s="50">
        <f>VLOOKUP($A47,'Data shares'!$C:$FB,118)</f>
        <v>0.9</v>
      </c>
      <c r="M47" s="50">
        <f>VLOOKUP($A47,'Data shares'!$C:$FB,119)</f>
        <v>0.94</v>
      </c>
      <c r="N47" s="50">
        <f>VLOOKUP($A47,'Data shares'!$C:$FB,121)*100</f>
        <v>-4.26</v>
      </c>
      <c r="O47" s="50">
        <f>VLOOKUP($A47,'Data shares'!$C:$FB,124)</f>
        <v>0.6</v>
      </c>
      <c r="P47" s="50">
        <f>VLOOKUP($A47,'Data shares'!$C:$FB,125)</f>
        <v>0.62</v>
      </c>
      <c r="Q47" s="50">
        <f>VLOOKUP($A47,'Data shares'!$C:$FB,127)*100</f>
        <v>-3.2300000000000004</v>
      </c>
    </row>
    <row r="48" spans="1:17" x14ac:dyDescent="0.25">
      <c r="A48" s="97" t="str">
        <f>'Snapshot (Value)'!A52</f>
        <v>CDSL</v>
      </c>
      <c r="B48" s="140">
        <f>VLOOKUP($A48,'Data shares'!$C:$FB,7)</f>
        <v>1279.3</v>
      </c>
      <c r="C48" s="140">
        <f>VLOOKUP($A48,'Data shares'!$C:$FB,3)</f>
        <v>1277.5999999999999</v>
      </c>
      <c r="D48" s="140">
        <f>VLOOKUP($A48,'Data shares'!$C:$FB,4)</f>
        <v>1278.8</v>
      </c>
      <c r="E48" s="50">
        <f t="shared" si="0"/>
        <v>-9.3837973099784602E-2</v>
      </c>
      <c r="F48" s="49">
        <f>VLOOKUP($A48,'Data shares'!$C:$FB,98)</f>
        <v>19883025</v>
      </c>
      <c r="G48" s="49">
        <f>VLOOKUP($A48,'Data shares'!$C:$FB,99)</f>
        <v>19117325</v>
      </c>
      <c r="H48" s="50">
        <f t="shared" si="1"/>
        <v>4.0052674733520508</v>
      </c>
      <c r="I48" s="49">
        <f>VLOOKUP($A48,'Data shares'!$C:$FB,66)</f>
        <v>17332750</v>
      </c>
      <c r="J48" s="49">
        <f>VLOOKUP($A48,'Data shares'!$C:$FB,67)</f>
        <v>22856525</v>
      </c>
      <c r="K48" s="50">
        <f t="shared" si="2"/>
        <v>-31.869005206906003</v>
      </c>
      <c r="L48" s="50">
        <f>VLOOKUP($A48,'Data shares'!$C:$FB,118)</f>
        <v>0.8</v>
      </c>
      <c r="M48" s="50">
        <f>VLOOKUP($A48,'Data shares'!$C:$FB,119)</f>
        <v>0.83</v>
      </c>
      <c r="N48" s="50">
        <f>VLOOKUP($A48,'Data shares'!$C:$FB,121)*100</f>
        <v>-3.61</v>
      </c>
      <c r="O48" s="50">
        <f>VLOOKUP($A48,'Data shares'!$C:$FB,124)</f>
        <v>0.38</v>
      </c>
      <c r="P48" s="50">
        <f>VLOOKUP($A48,'Data shares'!$C:$FB,125)</f>
        <v>0.43</v>
      </c>
      <c r="Q48" s="50">
        <f>VLOOKUP($A48,'Data shares'!$C:$FB,127)*100</f>
        <v>-11.63</v>
      </c>
    </row>
    <row r="49" spans="1:17" x14ac:dyDescent="0.25">
      <c r="A49" s="97" t="str">
        <f>'Snapshot (Value)'!A53</f>
        <v>CGPOWER</v>
      </c>
      <c r="B49" s="140">
        <f>VLOOKUP($A49,'Data shares'!$C:$FB,7)</f>
        <v>720.6</v>
      </c>
      <c r="C49" s="140">
        <f>VLOOKUP($A49,'Data shares'!$C:$FB,3)</f>
        <v>723.9</v>
      </c>
      <c r="D49" s="140">
        <f>VLOOKUP($A49,'Data shares'!$C:$FB,4)</f>
        <v>727.95</v>
      </c>
      <c r="E49" s="50">
        <f t="shared" si="0"/>
        <v>-0.55635689264373478</v>
      </c>
      <c r="F49" s="49">
        <f>VLOOKUP($A49,'Data shares'!$C:$FB,98)</f>
        <v>23811900</v>
      </c>
      <c r="G49" s="49">
        <f>VLOOKUP($A49,'Data shares'!$C:$FB,99)</f>
        <v>23102150</v>
      </c>
      <c r="H49" s="50">
        <f t="shared" si="1"/>
        <v>3.0722248795025568</v>
      </c>
      <c r="I49" s="49">
        <f>VLOOKUP($A49,'Data shares'!$C:$FB,66)</f>
        <v>8132800</v>
      </c>
      <c r="J49" s="49">
        <f>VLOOKUP($A49,'Data shares'!$C:$FB,67)</f>
        <v>12370050</v>
      </c>
      <c r="K49" s="50">
        <f t="shared" si="2"/>
        <v>-52.100752508361204</v>
      </c>
      <c r="L49" s="50">
        <f>VLOOKUP($A49,'Data shares'!$C:$FB,118)</f>
        <v>0.71</v>
      </c>
      <c r="M49" s="50">
        <f>VLOOKUP($A49,'Data shares'!$C:$FB,119)</f>
        <v>0.75</v>
      </c>
      <c r="N49" s="50">
        <f>VLOOKUP($A49,'Data shares'!$C:$FB,121)*100</f>
        <v>-5.33</v>
      </c>
      <c r="O49" s="50">
        <f>VLOOKUP($A49,'Data shares'!$C:$FB,124)</f>
        <v>0.59</v>
      </c>
      <c r="P49" s="50">
        <f>VLOOKUP($A49,'Data shares'!$C:$FB,125)</f>
        <v>0.66</v>
      </c>
      <c r="Q49" s="50">
        <f>VLOOKUP($A49,'Data shares'!$C:$FB,127)*100</f>
        <v>-10.61</v>
      </c>
    </row>
    <row r="50" spans="1:17" x14ac:dyDescent="0.25">
      <c r="A50" s="97" t="str">
        <f>'Snapshot (Value)'!A54</f>
        <v>CHOLAFIN</v>
      </c>
      <c r="B50" s="140">
        <f>VLOOKUP($A50,'Data shares'!$C:$FB,7)</f>
        <v>1533.1</v>
      </c>
      <c r="C50" s="140">
        <f>VLOOKUP($A50,'Data shares'!$C:$FB,3)</f>
        <v>1535.8</v>
      </c>
      <c r="D50" s="140">
        <f>VLOOKUP($A50,'Data shares'!$C:$FB,4)</f>
        <v>1558.1</v>
      </c>
      <c r="E50" s="50">
        <f t="shared" si="0"/>
        <v>-1.4312303446505332</v>
      </c>
      <c r="F50" s="49">
        <f>VLOOKUP($A50,'Data shares'!$C:$FB,98)</f>
        <v>25825000</v>
      </c>
      <c r="G50" s="49">
        <f>VLOOKUP($A50,'Data shares'!$C:$FB,99)</f>
        <v>25911875</v>
      </c>
      <c r="H50" s="50">
        <f t="shared" si="1"/>
        <v>-0.33527099061723631</v>
      </c>
      <c r="I50" s="49">
        <f>VLOOKUP($A50,'Data shares'!$C:$FB,66)</f>
        <v>11093750</v>
      </c>
      <c r="J50" s="49">
        <f>VLOOKUP($A50,'Data shares'!$C:$FB,67)</f>
        <v>20585625</v>
      </c>
      <c r="K50" s="50">
        <f t="shared" si="2"/>
        <v>-85.560563380281693</v>
      </c>
      <c r="L50" s="50">
        <f>VLOOKUP($A50,'Data shares'!$C:$FB,118)</f>
        <v>0.85</v>
      </c>
      <c r="M50" s="50">
        <f>VLOOKUP($A50,'Data shares'!$C:$FB,119)</f>
        <v>0.83</v>
      </c>
      <c r="N50" s="50">
        <f>VLOOKUP($A50,'Data shares'!$C:$FB,121)*100</f>
        <v>2.41</v>
      </c>
      <c r="O50" s="50">
        <f>VLOOKUP($A50,'Data shares'!$C:$FB,124)</f>
        <v>1</v>
      </c>
      <c r="P50" s="50">
        <f>VLOOKUP($A50,'Data shares'!$C:$FB,125)</f>
        <v>0.62</v>
      </c>
      <c r="Q50" s="50">
        <f>VLOOKUP($A50,'Data shares'!$C:$FB,127)*100</f>
        <v>61.29</v>
      </c>
    </row>
    <row r="51" spans="1:17" x14ac:dyDescent="0.25">
      <c r="A51" s="97" t="str">
        <f>'Snapshot (Value)'!A55</f>
        <v>CIPLA</v>
      </c>
      <c r="B51" s="140">
        <f>VLOOKUP($A51,'Data shares'!$C:$FB,7)</f>
        <v>1224.4000000000001</v>
      </c>
      <c r="C51" s="140">
        <f>VLOOKUP($A51,'Data shares'!$C:$FB,3)</f>
        <v>1227.2</v>
      </c>
      <c r="D51" s="140">
        <f>VLOOKUP($A51,'Data shares'!$C:$FB,4)</f>
        <v>1221.8</v>
      </c>
      <c r="E51" s="50">
        <f t="shared" si="0"/>
        <v>0.4419708626616542</v>
      </c>
      <c r="F51" s="49">
        <f>VLOOKUP($A51,'Data shares'!$C:$FB,98)</f>
        <v>22881000</v>
      </c>
      <c r="G51" s="49">
        <f>VLOOKUP($A51,'Data shares'!$C:$FB,99)</f>
        <v>22552875</v>
      </c>
      <c r="H51" s="50">
        <f t="shared" si="1"/>
        <v>1.4549142847641376</v>
      </c>
      <c r="I51" s="49">
        <f>VLOOKUP($A51,'Data shares'!$C:$FB,66)</f>
        <v>7987500</v>
      </c>
      <c r="J51" s="49">
        <f>VLOOKUP($A51,'Data shares'!$C:$FB,67)</f>
        <v>10318125</v>
      </c>
      <c r="K51" s="50">
        <f t="shared" si="2"/>
        <v>-29.178403755868544</v>
      </c>
      <c r="L51" s="50">
        <f>VLOOKUP($A51,'Data shares'!$C:$FB,118)</f>
        <v>0.78</v>
      </c>
      <c r="M51" s="50">
        <f>VLOOKUP($A51,'Data shares'!$C:$FB,119)</f>
        <v>0.82</v>
      </c>
      <c r="N51" s="50">
        <f>VLOOKUP($A51,'Data shares'!$C:$FB,121)*100</f>
        <v>-4.88</v>
      </c>
      <c r="O51" s="50">
        <f>VLOOKUP($A51,'Data shares'!$C:$FB,124)</f>
        <v>0.26</v>
      </c>
      <c r="P51" s="50">
        <f>VLOOKUP($A51,'Data shares'!$C:$FB,125)</f>
        <v>0.28000000000000003</v>
      </c>
      <c r="Q51" s="50">
        <f>VLOOKUP($A51,'Data shares'!$C:$FB,127)*100</f>
        <v>-7.1400000000000006</v>
      </c>
    </row>
    <row r="52" spans="1:17" x14ac:dyDescent="0.25">
      <c r="A52" s="97" t="str">
        <f>'Snapshot (Value)'!A56</f>
        <v>COALINDIA</v>
      </c>
      <c r="B52" s="140">
        <f>VLOOKUP($A52,'Data shares'!$C:$FB,7)</f>
        <v>454.1</v>
      </c>
      <c r="C52" s="140">
        <f>VLOOKUP($A52,'Data shares'!$C:$FB,3)</f>
        <v>452.9</v>
      </c>
      <c r="D52" s="140">
        <f>VLOOKUP($A52,'Data shares'!$C:$FB,4)</f>
        <v>445.65</v>
      </c>
      <c r="E52" s="50">
        <f t="shared" si="0"/>
        <v>1.6268372040839223</v>
      </c>
      <c r="F52" s="49">
        <f>VLOOKUP($A52,'Data shares'!$C:$FB,98)</f>
        <v>105777900</v>
      </c>
      <c r="G52" s="49">
        <f>VLOOKUP($A52,'Data shares'!$C:$FB,99)</f>
        <v>106882200</v>
      </c>
      <c r="H52" s="50">
        <f t="shared" si="1"/>
        <v>-1.0331935532764109</v>
      </c>
      <c r="I52" s="49">
        <f>VLOOKUP($A52,'Data shares'!$C:$FB,66)</f>
        <v>65360250</v>
      </c>
      <c r="J52" s="49">
        <f>VLOOKUP($A52,'Data shares'!$C:$FB,67)</f>
        <v>93191850</v>
      </c>
      <c r="K52" s="50">
        <f t="shared" si="2"/>
        <v>-42.581844469689145</v>
      </c>
      <c r="L52" s="50">
        <f>VLOOKUP($A52,'Data shares'!$C:$FB,118)</f>
        <v>0.64</v>
      </c>
      <c r="M52" s="50">
        <f>VLOOKUP($A52,'Data shares'!$C:$FB,119)</f>
        <v>0.55000000000000004</v>
      </c>
      <c r="N52" s="50">
        <f>VLOOKUP($A52,'Data shares'!$C:$FB,121)*100</f>
        <v>16.36</v>
      </c>
      <c r="O52" s="50">
        <f>VLOOKUP($A52,'Data shares'!$C:$FB,124)</f>
        <v>0.37</v>
      </c>
      <c r="P52" s="50">
        <f>VLOOKUP($A52,'Data shares'!$C:$FB,125)</f>
        <v>0.46</v>
      </c>
      <c r="Q52" s="50">
        <f>VLOOKUP($A52,'Data shares'!$C:$FB,127)*100</f>
        <v>-19.57</v>
      </c>
    </row>
    <row r="53" spans="1:17" x14ac:dyDescent="0.25">
      <c r="A53" s="97" t="str">
        <f>'Snapshot (Value)'!A57</f>
        <v>COCHINSHIP</v>
      </c>
      <c r="B53" s="140">
        <f>VLOOKUP($A53,'Data shares'!$C:$FB,7)</f>
        <v>1423.9</v>
      </c>
      <c r="C53" s="140">
        <f>VLOOKUP($A53,'Data shares'!$C:$FB,3)</f>
        <v>1430.3</v>
      </c>
      <c r="D53" s="140">
        <f>VLOOKUP($A53,'Data shares'!$C:$FB,4)</f>
        <v>1376.6</v>
      </c>
      <c r="E53" s="50">
        <f t="shared" si="0"/>
        <v>3.9009152985616775</v>
      </c>
      <c r="F53" s="49">
        <f>VLOOKUP($A53,'Data shares'!$C:$FB,98)</f>
        <v>2256400</v>
      </c>
      <c r="G53" s="49">
        <f>VLOOKUP($A53,'Data shares'!$C:$FB,99)</f>
        <v>1627200</v>
      </c>
      <c r="H53" s="50">
        <f t="shared" si="1"/>
        <v>38.667649950835795</v>
      </c>
      <c r="I53" s="49">
        <f>VLOOKUP($A53,'Data shares'!$C:$FB,66)</f>
        <v>9204800</v>
      </c>
      <c r="J53" s="49">
        <f>VLOOKUP($A53,'Data shares'!$C:$FB,67)</f>
        <v>1428400</v>
      </c>
      <c r="K53" s="50">
        <f t="shared" si="2"/>
        <v>84.482009386407086</v>
      </c>
      <c r="L53" s="50">
        <f>VLOOKUP($A53,'Data shares'!$C:$FB,118)</f>
        <v>0.61</v>
      </c>
      <c r="M53" s="50">
        <f>VLOOKUP($A53,'Data shares'!$C:$FB,119)</f>
        <v>0.64</v>
      </c>
      <c r="N53" s="50">
        <f>VLOOKUP($A53,'Data shares'!$C:$FB,121)*100</f>
        <v>-4.6899999999999995</v>
      </c>
      <c r="O53" s="50">
        <f>VLOOKUP($A53,'Data shares'!$C:$FB,124)</f>
        <v>0.28000000000000003</v>
      </c>
      <c r="P53" s="50">
        <f>VLOOKUP($A53,'Data shares'!$C:$FB,125)</f>
        <v>0.37</v>
      </c>
      <c r="Q53" s="50">
        <f>VLOOKUP($A53,'Data shares'!$C:$FB,127)*100</f>
        <v>-24.32</v>
      </c>
    </row>
    <row r="54" spans="1:17" x14ac:dyDescent="0.25">
      <c r="A54" s="97" t="str">
        <f>'Snapshot (Value)'!A58</f>
        <v>COFORGE</v>
      </c>
      <c r="B54" s="140">
        <f>VLOOKUP($A54,'Data shares'!$C:$FB,7)</f>
        <v>1264.9000000000001</v>
      </c>
      <c r="C54" s="140">
        <f>VLOOKUP($A54,'Data shares'!$C:$FB,3)</f>
        <v>1270.2</v>
      </c>
      <c r="D54" s="140">
        <f>VLOOKUP($A54,'Data shares'!$C:$FB,4)</f>
        <v>1273</v>
      </c>
      <c r="E54" s="50">
        <f t="shared" si="0"/>
        <v>-0.21995286724273014</v>
      </c>
      <c r="F54" s="49">
        <f>VLOOKUP($A54,'Data shares'!$C:$FB,98)</f>
        <v>28465125</v>
      </c>
      <c r="G54" s="49">
        <f>VLOOKUP($A54,'Data shares'!$C:$FB,99)</f>
        <v>27880500</v>
      </c>
      <c r="H54" s="50">
        <f t="shared" si="1"/>
        <v>2.0968956797761877</v>
      </c>
      <c r="I54" s="49">
        <f>VLOOKUP($A54,'Data shares'!$C:$FB,66)</f>
        <v>17227875</v>
      </c>
      <c r="J54" s="49">
        <f>VLOOKUP($A54,'Data shares'!$C:$FB,67)</f>
        <v>20738625</v>
      </c>
      <c r="K54" s="50">
        <f t="shared" si="2"/>
        <v>-20.378311312335388</v>
      </c>
      <c r="L54" s="50">
        <f>VLOOKUP($A54,'Data shares'!$C:$FB,118)</f>
        <v>0.65</v>
      </c>
      <c r="M54" s="50">
        <f>VLOOKUP($A54,'Data shares'!$C:$FB,119)</f>
        <v>0.62</v>
      </c>
      <c r="N54" s="50">
        <f>VLOOKUP($A54,'Data shares'!$C:$FB,121)*100</f>
        <v>4.84</v>
      </c>
      <c r="O54" s="50">
        <f>VLOOKUP($A54,'Data shares'!$C:$FB,124)</f>
        <v>0.49</v>
      </c>
      <c r="P54" s="50">
        <f>VLOOKUP($A54,'Data shares'!$C:$FB,125)</f>
        <v>0.38</v>
      </c>
      <c r="Q54" s="50">
        <f>VLOOKUP($A54,'Data shares'!$C:$FB,127)*100</f>
        <v>28.95</v>
      </c>
    </row>
    <row r="55" spans="1:17" x14ac:dyDescent="0.25">
      <c r="A55" s="97" t="str">
        <f>'Snapshot (Value)'!A59</f>
        <v>COLPAL</v>
      </c>
      <c r="B55" s="140">
        <f>VLOOKUP($A55,'Data shares'!$C:$FB,7)</f>
        <v>1906.7</v>
      </c>
      <c r="C55" s="140">
        <f>VLOOKUP($A55,'Data shares'!$C:$FB,3)</f>
        <v>1916.3</v>
      </c>
      <c r="D55" s="140">
        <f>VLOOKUP($A55,'Data shares'!$C:$FB,4)</f>
        <v>1908.9</v>
      </c>
      <c r="E55" s="50">
        <f t="shared" si="0"/>
        <v>0.38765781340038047</v>
      </c>
      <c r="F55" s="49">
        <f>VLOOKUP($A55,'Data shares'!$C:$FB,98)</f>
        <v>9364275</v>
      </c>
      <c r="G55" s="49">
        <f>VLOOKUP($A55,'Data shares'!$C:$FB,99)</f>
        <v>9337050</v>
      </c>
      <c r="H55" s="50">
        <f t="shared" si="1"/>
        <v>0.29158031712371679</v>
      </c>
      <c r="I55" s="49">
        <f>VLOOKUP($A55,'Data shares'!$C:$FB,66)</f>
        <v>3577050</v>
      </c>
      <c r="J55" s="49">
        <f>VLOOKUP($A55,'Data shares'!$C:$FB,67)</f>
        <v>5148450</v>
      </c>
      <c r="K55" s="50">
        <f t="shared" si="2"/>
        <v>-43.930054094854697</v>
      </c>
      <c r="L55" s="50">
        <f>VLOOKUP($A55,'Data shares'!$C:$FB,118)</f>
        <v>0.69</v>
      </c>
      <c r="M55" s="50">
        <f>VLOOKUP($A55,'Data shares'!$C:$FB,119)</f>
        <v>0.63</v>
      </c>
      <c r="N55" s="50">
        <f>VLOOKUP($A55,'Data shares'!$C:$FB,121)*100</f>
        <v>9.5200000000000014</v>
      </c>
      <c r="O55" s="50">
        <f>VLOOKUP($A55,'Data shares'!$C:$FB,124)</f>
        <v>0.31</v>
      </c>
      <c r="P55" s="50">
        <f>VLOOKUP($A55,'Data shares'!$C:$FB,125)</f>
        <v>0.28999999999999998</v>
      </c>
      <c r="Q55" s="50">
        <f>VLOOKUP($A55,'Data shares'!$C:$FB,127)*100</f>
        <v>6.9</v>
      </c>
    </row>
    <row r="56" spans="1:17" x14ac:dyDescent="0.25">
      <c r="A56" s="97" t="str">
        <f>'Snapshot (Value)'!A60</f>
        <v>CONCOR</v>
      </c>
      <c r="B56" s="140">
        <f>VLOOKUP($A56,'Data shares'!$C:$FB,7)</f>
        <v>482.25</v>
      </c>
      <c r="C56" s="140">
        <f>VLOOKUP($A56,'Data shares'!$C:$FB,3)</f>
        <v>483.15</v>
      </c>
      <c r="D56" s="140">
        <f>VLOOKUP($A56,'Data shares'!$C:$FB,4)</f>
        <v>475.05</v>
      </c>
      <c r="E56" s="50">
        <f t="shared" si="0"/>
        <v>1.705083675402582</v>
      </c>
      <c r="F56" s="49">
        <f>VLOOKUP($A56,'Data shares'!$C:$FB,98)</f>
        <v>36147500</v>
      </c>
      <c r="G56" s="49">
        <f>VLOOKUP($A56,'Data shares'!$C:$FB,99)</f>
        <v>35590000</v>
      </c>
      <c r="H56" s="50">
        <f t="shared" si="1"/>
        <v>1.5664512503512222</v>
      </c>
      <c r="I56" s="49">
        <f>VLOOKUP($A56,'Data shares'!$C:$FB,66)</f>
        <v>21362500</v>
      </c>
      <c r="J56" s="49">
        <f>VLOOKUP($A56,'Data shares'!$C:$FB,67)</f>
        <v>13302500</v>
      </c>
      <c r="K56" s="50">
        <f t="shared" si="2"/>
        <v>37.729666471620831</v>
      </c>
      <c r="L56" s="50">
        <f>VLOOKUP($A56,'Data shares'!$C:$FB,118)</f>
        <v>0.78</v>
      </c>
      <c r="M56" s="50">
        <f>VLOOKUP($A56,'Data shares'!$C:$FB,119)</f>
        <v>0.86</v>
      </c>
      <c r="N56" s="50">
        <f>VLOOKUP($A56,'Data shares'!$C:$FB,121)*100</f>
        <v>-9.3000000000000007</v>
      </c>
      <c r="O56" s="50">
        <f>VLOOKUP($A56,'Data shares'!$C:$FB,124)</f>
        <v>0.21</v>
      </c>
      <c r="P56" s="50">
        <f>VLOOKUP($A56,'Data shares'!$C:$FB,125)</f>
        <v>0.28999999999999998</v>
      </c>
      <c r="Q56" s="50">
        <f>VLOOKUP($A56,'Data shares'!$C:$FB,127)*100</f>
        <v>-27.589999999999996</v>
      </c>
    </row>
    <row r="57" spans="1:17" x14ac:dyDescent="0.25">
      <c r="A57" s="97" t="str">
        <f>'Snapshot (Value)'!A61</f>
        <v>CROMPTON</v>
      </c>
      <c r="B57" s="140">
        <f>VLOOKUP($A57,'Data shares'!$C:$FB,7)</f>
        <v>237.9</v>
      </c>
      <c r="C57" s="140">
        <f>VLOOKUP($A57,'Data shares'!$C:$FB,3)</f>
        <v>238.37</v>
      </c>
      <c r="D57" s="140">
        <f>VLOOKUP($A57,'Data shares'!$C:$FB,4)</f>
        <v>247.24</v>
      </c>
      <c r="E57" s="50">
        <f t="shared" si="0"/>
        <v>-3.5876071833036738</v>
      </c>
      <c r="F57" s="49">
        <f>VLOOKUP($A57,'Data shares'!$C:$FB,98)</f>
        <v>59666400</v>
      </c>
      <c r="G57" s="49">
        <f>VLOOKUP($A57,'Data shares'!$C:$FB,99)</f>
        <v>58541400</v>
      </c>
      <c r="H57" s="50">
        <f t="shared" si="1"/>
        <v>1.9217169387817854</v>
      </c>
      <c r="I57" s="49">
        <f>VLOOKUP($A57,'Data shares'!$C:$FB,66)</f>
        <v>19227600</v>
      </c>
      <c r="J57" s="49">
        <f>VLOOKUP($A57,'Data shares'!$C:$FB,67)</f>
        <v>18948600</v>
      </c>
      <c r="K57" s="50">
        <f t="shared" si="2"/>
        <v>1.4510391312488298</v>
      </c>
      <c r="L57" s="50">
        <f>VLOOKUP($A57,'Data shares'!$C:$FB,118)</f>
        <v>0.75</v>
      </c>
      <c r="M57" s="50">
        <f>VLOOKUP($A57,'Data shares'!$C:$FB,119)</f>
        <v>0.9</v>
      </c>
      <c r="N57" s="50">
        <f>VLOOKUP($A57,'Data shares'!$C:$FB,121)*100</f>
        <v>-16.669999999999998</v>
      </c>
      <c r="O57" s="50">
        <f>VLOOKUP($A57,'Data shares'!$C:$FB,124)</f>
        <v>0.56000000000000005</v>
      </c>
      <c r="P57" s="50">
        <f>VLOOKUP($A57,'Data shares'!$C:$FB,125)</f>
        <v>0.48</v>
      </c>
      <c r="Q57" s="50">
        <f>VLOOKUP($A57,'Data shares'!$C:$FB,127)*100</f>
        <v>16.669999999999998</v>
      </c>
    </row>
    <row r="58" spans="1:17" x14ac:dyDescent="0.25">
      <c r="A58" s="97" t="str">
        <f>'Snapshot (Value)'!A62</f>
        <v>CUMMINSIND</v>
      </c>
      <c r="B58" s="140">
        <f>VLOOKUP($A58,'Data shares'!$C:$FB,7)</f>
        <v>4907.3999999999996</v>
      </c>
      <c r="C58" s="140">
        <f>VLOOKUP($A58,'Data shares'!$C:$FB,3)</f>
        <v>4914.6000000000004</v>
      </c>
      <c r="D58" s="140">
        <f>VLOOKUP($A58,'Data shares'!$C:$FB,4)</f>
        <v>4822.1000000000004</v>
      </c>
      <c r="E58" s="50">
        <f t="shared" si="0"/>
        <v>1.9182513842516746</v>
      </c>
      <c r="F58" s="49">
        <f>VLOOKUP($A58,'Data shares'!$C:$FB,98)</f>
        <v>5054400</v>
      </c>
      <c r="G58" s="49">
        <f>VLOOKUP($A58,'Data shares'!$C:$FB,99)</f>
        <v>4796200</v>
      </c>
      <c r="H58" s="50">
        <f t="shared" si="1"/>
        <v>5.3834285476001842</v>
      </c>
      <c r="I58" s="49">
        <f>VLOOKUP($A58,'Data shares'!$C:$FB,66)</f>
        <v>4291600</v>
      </c>
      <c r="J58" s="49">
        <f>VLOOKUP($A58,'Data shares'!$C:$FB,67)</f>
        <v>4186200</v>
      </c>
      <c r="K58" s="50">
        <f t="shared" si="2"/>
        <v>2.4559604809395097</v>
      </c>
      <c r="L58" s="50">
        <f>VLOOKUP($A58,'Data shares'!$C:$FB,118)</f>
        <v>0.65</v>
      </c>
      <c r="M58" s="50">
        <f>VLOOKUP($A58,'Data shares'!$C:$FB,119)</f>
        <v>0.63</v>
      </c>
      <c r="N58" s="50">
        <f>VLOOKUP($A58,'Data shares'!$C:$FB,121)*100</f>
        <v>3.17</v>
      </c>
      <c r="O58" s="50">
        <f>VLOOKUP($A58,'Data shares'!$C:$FB,124)</f>
        <v>0.33</v>
      </c>
      <c r="P58" s="50">
        <f>VLOOKUP($A58,'Data shares'!$C:$FB,125)</f>
        <v>0.26</v>
      </c>
      <c r="Q58" s="50">
        <f>VLOOKUP($A58,'Data shares'!$C:$FB,127)*100</f>
        <v>26.919999999999998</v>
      </c>
    </row>
    <row r="59" spans="1:17" x14ac:dyDescent="0.25">
      <c r="A59" s="97" t="str">
        <f>'Snapshot (Value)'!A63</f>
        <v>DABUR</v>
      </c>
      <c r="B59" s="140">
        <f>VLOOKUP($A59,'Data shares'!$C:$FB,7)</f>
        <v>429.4</v>
      </c>
      <c r="C59" s="140">
        <f>VLOOKUP($A59,'Data shares'!$C:$FB,3)</f>
        <v>430.3</v>
      </c>
      <c r="D59" s="140">
        <f>VLOOKUP($A59,'Data shares'!$C:$FB,4)</f>
        <v>429.65</v>
      </c>
      <c r="E59" s="50">
        <f t="shared" si="0"/>
        <v>0.15128593040847996</v>
      </c>
      <c r="F59" s="49">
        <f>VLOOKUP($A59,'Data shares'!$C:$FB,98)</f>
        <v>45238750</v>
      </c>
      <c r="G59" s="49">
        <f>VLOOKUP($A59,'Data shares'!$C:$FB,99)</f>
        <v>45375000</v>
      </c>
      <c r="H59" s="50">
        <f t="shared" si="1"/>
        <v>-0.30027548209366395</v>
      </c>
      <c r="I59" s="49">
        <f>VLOOKUP($A59,'Data shares'!$C:$FB,66)</f>
        <v>13167500</v>
      </c>
      <c r="J59" s="49">
        <f>VLOOKUP($A59,'Data shares'!$C:$FB,67)</f>
        <v>25620000</v>
      </c>
      <c r="K59" s="50">
        <f t="shared" si="2"/>
        <v>-94.569963926333784</v>
      </c>
      <c r="L59" s="50">
        <f>VLOOKUP($A59,'Data shares'!$C:$FB,118)</f>
        <v>0.75</v>
      </c>
      <c r="M59" s="50">
        <f>VLOOKUP($A59,'Data shares'!$C:$FB,119)</f>
        <v>0.73</v>
      </c>
      <c r="N59" s="50">
        <f>VLOOKUP($A59,'Data shares'!$C:$FB,121)*100</f>
        <v>2.74</v>
      </c>
      <c r="O59" s="50">
        <f>VLOOKUP($A59,'Data shares'!$C:$FB,124)</f>
        <v>0.28999999999999998</v>
      </c>
      <c r="P59" s="50">
        <f>VLOOKUP($A59,'Data shares'!$C:$FB,125)</f>
        <v>0.36</v>
      </c>
      <c r="Q59" s="50">
        <f>VLOOKUP($A59,'Data shares'!$C:$FB,127)*100</f>
        <v>-19.439999999999998</v>
      </c>
    </row>
    <row r="60" spans="1:17" x14ac:dyDescent="0.25">
      <c r="A60" s="97" t="str">
        <f>'Snapshot (Value)'!A64</f>
        <v>DALBHARAT</v>
      </c>
      <c r="B60" s="140">
        <f>VLOOKUP($A60,'Data shares'!$C:$FB,7)</f>
        <v>1910.6</v>
      </c>
      <c r="C60" s="140">
        <f>VLOOKUP($A60,'Data shares'!$C:$FB,3)</f>
        <v>1913.9</v>
      </c>
      <c r="D60" s="140">
        <f>VLOOKUP($A60,'Data shares'!$C:$FB,4)</f>
        <v>1926.8</v>
      </c>
      <c r="E60" s="50">
        <f t="shared" si="0"/>
        <v>-0.66950384056465972</v>
      </c>
      <c r="F60" s="49">
        <f>VLOOKUP($A60,'Data shares'!$C:$FB,98)</f>
        <v>4110275</v>
      </c>
      <c r="G60" s="49">
        <f>VLOOKUP($A60,'Data shares'!$C:$FB,99)</f>
        <v>4065100</v>
      </c>
      <c r="H60" s="50">
        <f t="shared" si="1"/>
        <v>1.1112887751838825</v>
      </c>
      <c r="I60" s="49">
        <f>VLOOKUP($A60,'Data shares'!$C:$FB,66)</f>
        <v>936975</v>
      </c>
      <c r="J60" s="49">
        <f>VLOOKUP($A60,'Data shares'!$C:$FB,67)</f>
        <v>4040075</v>
      </c>
      <c r="K60" s="50">
        <f t="shared" si="2"/>
        <v>-331.18279569892474</v>
      </c>
      <c r="L60" s="50">
        <f>VLOOKUP($A60,'Data shares'!$C:$FB,118)</f>
        <v>1.36</v>
      </c>
      <c r="M60" s="50">
        <f>VLOOKUP($A60,'Data shares'!$C:$FB,119)</f>
        <v>1.38</v>
      </c>
      <c r="N60" s="50">
        <f>VLOOKUP($A60,'Data shares'!$C:$FB,121)*100</f>
        <v>-1.4500000000000002</v>
      </c>
      <c r="O60" s="50">
        <f>VLOOKUP($A60,'Data shares'!$C:$FB,124)</f>
        <v>0.64</v>
      </c>
      <c r="P60" s="50">
        <f>VLOOKUP($A60,'Data shares'!$C:$FB,125)</f>
        <v>1.44</v>
      </c>
      <c r="Q60" s="50">
        <f>VLOOKUP($A60,'Data shares'!$C:$FB,127)*100</f>
        <v>-55.559999999999995</v>
      </c>
    </row>
    <row r="61" spans="1:17" x14ac:dyDescent="0.25">
      <c r="A61" s="97" t="str">
        <f>'Snapshot (Value)'!A65</f>
        <v>DELHIVERY</v>
      </c>
      <c r="B61" s="140">
        <f>VLOOKUP($A61,'Data shares'!$C:$FB,7)</f>
        <v>469.85</v>
      </c>
      <c r="C61" s="140">
        <f>VLOOKUP($A61,'Data shares'!$C:$FB,3)</f>
        <v>471.35</v>
      </c>
      <c r="D61" s="140">
        <f>VLOOKUP($A61,'Data shares'!$C:$FB,4)</f>
        <v>462.05</v>
      </c>
      <c r="E61" s="50">
        <f t="shared" si="0"/>
        <v>2.0127691808245887</v>
      </c>
      <c r="F61" s="49">
        <f>VLOOKUP($A61,'Data shares'!$C:$FB,98)</f>
        <v>40665850</v>
      </c>
      <c r="G61" s="49">
        <f>VLOOKUP($A61,'Data shares'!$C:$FB,99)</f>
        <v>39416700</v>
      </c>
      <c r="H61" s="50">
        <f t="shared" si="1"/>
        <v>3.1690882291008631</v>
      </c>
      <c r="I61" s="49">
        <f>VLOOKUP($A61,'Data shares'!$C:$FB,66)</f>
        <v>32959300</v>
      </c>
      <c r="J61" s="49">
        <f>VLOOKUP($A61,'Data shares'!$C:$FB,67)</f>
        <v>31762025</v>
      </c>
      <c r="K61" s="50">
        <f t="shared" si="2"/>
        <v>3.6325862503147821</v>
      </c>
      <c r="L61" s="50">
        <f>VLOOKUP($A61,'Data shares'!$C:$FB,118)</f>
        <v>0.56000000000000005</v>
      </c>
      <c r="M61" s="50">
        <f>VLOOKUP($A61,'Data shares'!$C:$FB,119)</f>
        <v>0.51</v>
      </c>
      <c r="N61" s="50">
        <f>VLOOKUP($A61,'Data shares'!$C:$FB,121)*100</f>
        <v>9.8000000000000007</v>
      </c>
      <c r="O61" s="50">
        <f>VLOOKUP($A61,'Data shares'!$C:$FB,124)</f>
        <v>0.4</v>
      </c>
      <c r="P61" s="50">
        <f>VLOOKUP($A61,'Data shares'!$C:$FB,125)</f>
        <v>0.43</v>
      </c>
      <c r="Q61" s="50">
        <f>VLOOKUP($A61,'Data shares'!$C:$FB,127)*100</f>
        <v>-6.98</v>
      </c>
    </row>
    <row r="62" spans="1:17" x14ac:dyDescent="0.25">
      <c r="A62" s="97" t="str">
        <f>'Snapshot (Value)'!A66</f>
        <v>DIVISLAB</v>
      </c>
      <c r="B62" s="140">
        <f>VLOOKUP($A62,'Data shares'!$C:$FB,7)</f>
        <v>5952.5</v>
      </c>
      <c r="C62" s="140">
        <f>VLOOKUP($A62,'Data shares'!$C:$FB,3)</f>
        <v>5967</v>
      </c>
      <c r="D62" s="140">
        <f>VLOOKUP($A62,'Data shares'!$C:$FB,4)</f>
        <v>5909.5</v>
      </c>
      <c r="E62" s="50">
        <f t="shared" si="0"/>
        <v>0.97300956087655477</v>
      </c>
      <c r="F62" s="49">
        <f>VLOOKUP($A62,'Data shares'!$C:$FB,98)</f>
        <v>4212800</v>
      </c>
      <c r="G62" s="49">
        <f>VLOOKUP($A62,'Data shares'!$C:$FB,99)</f>
        <v>4204900</v>
      </c>
      <c r="H62" s="50">
        <f t="shared" si="1"/>
        <v>0.18787604937097196</v>
      </c>
      <c r="I62" s="49">
        <f>VLOOKUP($A62,'Data shares'!$C:$FB,66)</f>
        <v>1548900</v>
      </c>
      <c r="J62" s="49">
        <f>VLOOKUP($A62,'Data shares'!$C:$FB,67)</f>
        <v>2038800</v>
      </c>
      <c r="K62" s="50">
        <f t="shared" si="2"/>
        <v>-31.628897927561496</v>
      </c>
      <c r="L62" s="50">
        <f>VLOOKUP($A62,'Data shares'!$C:$FB,118)</f>
        <v>1.06</v>
      </c>
      <c r="M62" s="50">
        <f>VLOOKUP($A62,'Data shares'!$C:$FB,119)</f>
        <v>0.99</v>
      </c>
      <c r="N62" s="50">
        <f>VLOOKUP($A62,'Data shares'!$C:$FB,121)*100</f>
        <v>7.07</v>
      </c>
      <c r="O62" s="50">
        <f>VLOOKUP($A62,'Data shares'!$C:$FB,124)</f>
        <v>0.37</v>
      </c>
      <c r="P62" s="50">
        <f>VLOOKUP($A62,'Data shares'!$C:$FB,125)</f>
        <v>0.37</v>
      </c>
      <c r="Q62" s="50">
        <f>VLOOKUP($A62,'Data shares'!$C:$FB,127)*100</f>
        <v>0</v>
      </c>
    </row>
    <row r="63" spans="1:17" x14ac:dyDescent="0.25">
      <c r="A63" s="97" t="str">
        <f>'Snapshot (Value)'!A67</f>
        <v>DIXON</v>
      </c>
      <c r="B63" s="140">
        <f>VLOOKUP($A63,'Data shares'!$C:$FB,7)</f>
        <v>10625.5</v>
      </c>
      <c r="C63" s="140">
        <f>VLOOKUP($A63,'Data shares'!$C:$FB,3)</f>
        <v>10657.5</v>
      </c>
      <c r="D63" s="140">
        <f>VLOOKUP($A63,'Data shares'!$C:$FB,4)</f>
        <v>10669.5</v>
      </c>
      <c r="E63" s="50">
        <f t="shared" si="0"/>
        <v>-0.1124701251230142</v>
      </c>
      <c r="F63" s="49">
        <f>VLOOKUP($A63,'Data shares'!$C:$FB,98)</f>
        <v>5936450</v>
      </c>
      <c r="G63" s="49">
        <f>VLOOKUP($A63,'Data shares'!$C:$FB,99)</f>
        <v>5882100</v>
      </c>
      <c r="H63" s="50">
        <f t="shared" si="1"/>
        <v>0.92398973155845687</v>
      </c>
      <c r="I63" s="49">
        <f>VLOOKUP($A63,'Data shares'!$C:$FB,66)</f>
        <v>3545600</v>
      </c>
      <c r="J63" s="49">
        <f>VLOOKUP($A63,'Data shares'!$C:$FB,67)</f>
        <v>6390800</v>
      </c>
      <c r="K63" s="50">
        <f t="shared" si="2"/>
        <v>-80.245938628158839</v>
      </c>
      <c r="L63" s="50">
        <f>VLOOKUP($A63,'Data shares'!$C:$FB,118)</f>
        <v>0.77</v>
      </c>
      <c r="M63" s="50">
        <f>VLOOKUP($A63,'Data shares'!$C:$FB,119)</f>
        <v>0.74</v>
      </c>
      <c r="N63" s="50">
        <f>VLOOKUP($A63,'Data shares'!$C:$FB,121)*100</f>
        <v>4.05</v>
      </c>
      <c r="O63" s="50">
        <f>VLOOKUP($A63,'Data shares'!$C:$FB,124)</f>
        <v>0.52</v>
      </c>
      <c r="P63" s="50">
        <f>VLOOKUP($A63,'Data shares'!$C:$FB,125)</f>
        <v>0.46</v>
      </c>
      <c r="Q63" s="50">
        <f>VLOOKUP($A63,'Data shares'!$C:$FB,127)*100</f>
        <v>13.04</v>
      </c>
    </row>
    <row r="64" spans="1:17" x14ac:dyDescent="0.25">
      <c r="A64" s="97" t="str">
        <f>'Snapshot (Value)'!A68</f>
        <v>DLF</v>
      </c>
      <c r="B64" s="140">
        <f>VLOOKUP($A64,'Data shares'!$C:$FB,7)</f>
        <v>562.95000000000005</v>
      </c>
      <c r="C64" s="140">
        <f>VLOOKUP($A64,'Data shares'!$C:$FB,3)</f>
        <v>564.79999999999995</v>
      </c>
      <c r="D64" s="140">
        <f>VLOOKUP($A64,'Data shares'!$C:$FB,4)</f>
        <v>575.04999999999995</v>
      </c>
      <c r="E64" s="50">
        <f t="shared" si="0"/>
        <v>-1.7824536996782891</v>
      </c>
      <c r="F64" s="49">
        <f>VLOOKUP($A64,'Data shares'!$C:$FB,98)</f>
        <v>73321875</v>
      </c>
      <c r="G64" s="49">
        <f>VLOOKUP($A64,'Data shares'!$C:$FB,99)</f>
        <v>72618150</v>
      </c>
      <c r="H64" s="50">
        <f t="shared" si="1"/>
        <v>0.96907591283997185</v>
      </c>
      <c r="I64" s="49">
        <f>VLOOKUP($A64,'Data shares'!$C:$FB,66)</f>
        <v>21151350</v>
      </c>
      <c r="J64" s="49">
        <f>VLOOKUP($A64,'Data shares'!$C:$FB,67)</f>
        <v>46976325</v>
      </c>
      <c r="K64" s="50">
        <f t="shared" si="2"/>
        <v>-122.09610734066621</v>
      </c>
      <c r="L64" s="50">
        <f>VLOOKUP($A64,'Data shares'!$C:$FB,118)</f>
        <v>0.99</v>
      </c>
      <c r="M64" s="50">
        <f>VLOOKUP($A64,'Data shares'!$C:$FB,119)</f>
        <v>1.01</v>
      </c>
      <c r="N64" s="50">
        <f>VLOOKUP($A64,'Data shares'!$C:$FB,121)*100</f>
        <v>-1.9800000000000002</v>
      </c>
      <c r="O64" s="50">
        <f>VLOOKUP($A64,'Data shares'!$C:$FB,124)</f>
        <v>0.63</v>
      </c>
      <c r="P64" s="50">
        <f>VLOOKUP($A64,'Data shares'!$C:$FB,125)</f>
        <v>0.62</v>
      </c>
      <c r="Q64" s="50">
        <f>VLOOKUP($A64,'Data shares'!$C:$FB,127)*100</f>
        <v>1.6099999999999999</v>
      </c>
    </row>
    <row r="65" spans="1:17" x14ac:dyDescent="0.25">
      <c r="A65" s="97" t="str">
        <f>'Snapshot (Value)'!A69</f>
        <v>DMART</v>
      </c>
      <c r="B65" s="140">
        <f>VLOOKUP($A65,'Data shares'!$C:$FB,7)</f>
        <v>4415.6000000000004</v>
      </c>
      <c r="C65" s="140">
        <f>VLOOKUP($A65,'Data shares'!$C:$FB,3)</f>
        <v>4431.3</v>
      </c>
      <c r="D65" s="140">
        <f>VLOOKUP($A65,'Data shares'!$C:$FB,4)</f>
        <v>4383.8</v>
      </c>
      <c r="E65" s="50">
        <f t="shared" si="0"/>
        <v>1.0835348327934669</v>
      </c>
      <c r="F65" s="49">
        <f>VLOOKUP($A65,'Data shares'!$C:$FB,98)</f>
        <v>7354050</v>
      </c>
      <c r="G65" s="49">
        <f>VLOOKUP($A65,'Data shares'!$C:$FB,99)</f>
        <v>7617600</v>
      </c>
      <c r="H65" s="50">
        <f t="shared" si="1"/>
        <v>-3.4597511027095149</v>
      </c>
      <c r="I65" s="49">
        <f>VLOOKUP($A65,'Data shares'!$C:$FB,66)</f>
        <v>3765150</v>
      </c>
      <c r="J65" s="49">
        <f>VLOOKUP($A65,'Data shares'!$C:$FB,67)</f>
        <v>6830700</v>
      </c>
      <c r="K65" s="50">
        <f t="shared" si="2"/>
        <v>-81.419066969443449</v>
      </c>
      <c r="L65" s="50">
        <f>VLOOKUP($A65,'Data shares'!$C:$FB,118)</f>
        <v>0.81</v>
      </c>
      <c r="M65" s="50">
        <f>VLOOKUP($A65,'Data shares'!$C:$FB,119)</f>
        <v>0.84</v>
      </c>
      <c r="N65" s="50">
        <f>VLOOKUP($A65,'Data shares'!$C:$FB,121)*100</f>
        <v>-3.5700000000000003</v>
      </c>
      <c r="O65" s="50">
        <f>VLOOKUP($A65,'Data shares'!$C:$FB,124)</f>
        <v>0.57999999999999996</v>
      </c>
      <c r="P65" s="50">
        <f>VLOOKUP($A65,'Data shares'!$C:$FB,125)</f>
        <v>0.63</v>
      </c>
      <c r="Q65" s="50">
        <f>VLOOKUP($A65,'Data shares'!$C:$FB,127)*100</f>
        <v>-7.9399999999999995</v>
      </c>
    </row>
    <row r="66" spans="1:17" x14ac:dyDescent="0.25">
      <c r="A66" s="97" t="str">
        <f>'Snapshot (Value)'!A70</f>
        <v>DRREDDY</v>
      </c>
      <c r="B66" s="140">
        <f>VLOOKUP($A66,'Data shares'!$C:$FB,7)</f>
        <v>1211.9000000000001</v>
      </c>
      <c r="C66" s="140">
        <f>VLOOKUP($A66,'Data shares'!$C:$FB,3)</f>
        <v>1216.9000000000001</v>
      </c>
      <c r="D66" s="140">
        <f>VLOOKUP($A66,'Data shares'!$C:$FB,4)</f>
        <v>1193</v>
      </c>
      <c r="E66" s="50">
        <f t="shared" si="0"/>
        <v>2.0033528918692447</v>
      </c>
      <c r="F66" s="49">
        <f>VLOOKUP($A66,'Data shares'!$C:$FB,98)</f>
        <v>23464375</v>
      </c>
      <c r="G66" s="49">
        <f>VLOOKUP($A66,'Data shares'!$C:$FB,99)</f>
        <v>25265000</v>
      </c>
      <c r="H66" s="50">
        <f t="shared" si="1"/>
        <v>-7.126954284583416</v>
      </c>
      <c r="I66" s="49">
        <f>VLOOKUP($A66,'Data shares'!$C:$FB,66)</f>
        <v>16678125</v>
      </c>
      <c r="J66" s="49">
        <f>VLOOKUP($A66,'Data shares'!$C:$FB,67)</f>
        <v>16675625</v>
      </c>
      <c r="K66" s="50">
        <f t="shared" si="2"/>
        <v>1.4989694584972832E-2</v>
      </c>
      <c r="L66" s="50">
        <f>VLOOKUP($A66,'Data shares'!$C:$FB,118)</f>
        <v>0.77</v>
      </c>
      <c r="M66" s="50">
        <f>VLOOKUP($A66,'Data shares'!$C:$FB,119)</f>
        <v>0.79</v>
      </c>
      <c r="N66" s="50">
        <f>VLOOKUP($A66,'Data shares'!$C:$FB,121)*100</f>
        <v>-2.5299999999999998</v>
      </c>
      <c r="O66" s="50">
        <f>VLOOKUP($A66,'Data shares'!$C:$FB,124)</f>
        <v>0.67</v>
      </c>
      <c r="P66" s="50">
        <f>VLOOKUP($A66,'Data shares'!$C:$FB,125)</f>
        <v>0.59</v>
      </c>
      <c r="Q66" s="50">
        <f>VLOOKUP($A66,'Data shares'!$C:$FB,127)*100</f>
        <v>13.56</v>
      </c>
    </row>
    <row r="67" spans="1:17" x14ac:dyDescent="0.25">
      <c r="A67" s="97" t="str">
        <f>'Snapshot (Value)'!A71</f>
        <v>EICHERMOT</v>
      </c>
      <c r="B67" s="140">
        <f>VLOOKUP($A67,'Data shares'!$C:$FB,7)</f>
        <v>7147.5</v>
      </c>
      <c r="C67" s="140">
        <f>VLOOKUP($A67,'Data shares'!$C:$FB,3)</f>
        <v>7161</v>
      </c>
      <c r="D67" s="140">
        <f>VLOOKUP($A67,'Data shares'!$C:$FB,4)</f>
        <v>7163</v>
      </c>
      <c r="E67" s="50">
        <f t="shared" si="0"/>
        <v>-2.7921262041044257E-2</v>
      </c>
      <c r="F67" s="49">
        <f>VLOOKUP($A67,'Data shares'!$C:$FB,98)</f>
        <v>6809900</v>
      </c>
      <c r="G67" s="49">
        <f>VLOOKUP($A67,'Data shares'!$C:$FB,99)</f>
        <v>6726500</v>
      </c>
      <c r="H67" s="50">
        <f t="shared" si="1"/>
        <v>1.2398721474763994</v>
      </c>
      <c r="I67" s="49">
        <f>VLOOKUP($A67,'Data shares'!$C:$FB,66)</f>
        <v>4317000</v>
      </c>
      <c r="J67" s="49">
        <f>VLOOKUP($A67,'Data shares'!$C:$FB,67)</f>
        <v>7447700</v>
      </c>
      <c r="K67" s="50">
        <f t="shared" si="2"/>
        <v>-72.520268705119292</v>
      </c>
      <c r="L67" s="50">
        <f>VLOOKUP($A67,'Data shares'!$C:$FB,118)</f>
        <v>0.88</v>
      </c>
      <c r="M67" s="50">
        <f>VLOOKUP($A67,'Data shares'!$C:$FB,119)</f>
        <v>0.78</v>
      </c>
      <c r="N67" s="50">
        <f>VLOOKUP($A67,'Data shares'!$C:$FB,121)*100</f>
        <v>12.82</v>
      </c>
      <c r="O67" s="50">
        <f>VLOOKUP($A67,'Data shares'!$C:$FB,124)</f>
        <v>0.79</v>
      </c>
      <c r="P67" s="50">
        <f>VLOOKUP($A67,'Data shares'!$C:$FB,125)</f>
        <v>0.44</v>
      </c>
      <c r="Q67" s="50">
        <f>VLOOKUP($A67,'Data shares'!$C:$FB,127)*100</f>
        <v>79.55</v>
      </c>
    </row>
    <row r="68" spans="1:17" x14ac:dyDescent="0.25">
      <c r="A68" s="97" t="str">
        <f>'Snapshot (Value)'!A72</f>
        <v>ETERNAL</v>
      </c>
      <c r="B68" s="140">
        <f>VLOOKUP($A68,'Data shares'!$C:$FB,7)</f>
        <v>237.89</v>
      </c>
      <c r="C68" s="140">
        <f>VLOOKUP($A68,'Data shares'!$C:$FB,3)</f>
        <v>238.9</v>
      </c>
      <c r="D68" s="140">
        <f>VLOOKUP($A68,'Data shares'!$C:$FB,4)</f>
        <v>244.92</v>
      </c>
      <c r="E68" s="50">
        <f t="shared" si="0"/>
        <v>-2.4579454515760175</v>
      </c>
      <c r="F68" s="49">
        <f>VLOOKUP($A68,'Data shares'!$C:$FB,98)</f>
        <v>297838500</v>
      </c>
      <c r="G68" s="49">
        <f>VLOOKUP($A68,'Data shares'!$C:$FB,99)</f>
        <v>288882975</v>
      </c>
      <c r="H68" s="50">
        <f t="shared" si="1"/>
        <v>3.1000528847364577</v>
      </c>
      <c r="I68" s="49">
        <f>VLOOKUP($A68,'Data shares'!$C:$FB,66)</f>
        <v>103700275</v>
      </c>
      <c r="J68" s="49">
        <f>VLOOKUP($A68,'Data shares'!$C:$FB,67)</f>
        <v>141932825</v>
      </c>
      <c r="K68" s="50">
        <f t="shared" si="2"/>
        <v>-36.868320744568905</v>
      </c>
      <c r="L68" s="50">
        <f>VLOOKUP($A68,'Data shares'!$C:$FB,118)</f>
        <v>0.69</v>
      </c>
      <c r="M68" s="50">
        <f>VLOOKUP($A68,'Data shares'!$C:$FB,119)</f>
        <v>0.76</v>
      </c>
      <c r="N68" s="50">
        <f>VLOOKUP($A68,'Data shares'!$C:$FB,121)*100</f>
        <v>-9.2100000000000009</v>
      </c>
      <c r="O68" s="50">
        <f>VLOOKUP($A68,'Data shares'!$C:$FB,124)</f>
        <v>0.5</v>
      </c>
      <c r="P68" s="50">
        <f>VLOOKUP($A68,'Data shares'!$C:$FB,125)</f>
        <v>0.47</v>
      </c>
      <c r="Q68" s="50">
        <f>VLOOKUP($A68,'Data shares'!$C:$FB,127)*100</f>
        <v>6.38</v>
      </c>
    </row>
    <row r="69" spans="1:17" x14ac:dyDescent="0.25">
      <c r="A69" s="97" t="str">
        <f>'Snapshot (Value)'!A73</f>
        <v>EXIDEIND</v>
      </c>
      <c r="B69" s="140">
        <f>VLOOKUP($A69,'Data shares'!$C:$FB,7)</f>
        <v>311.25</v>
      </c>
      <c r="C69" s="140">
        <f>VLOOKUP($A69,'Data shares'!$C:$FB,3)</f>
        <v>311.85000000000002</v>
      </c>
      <c r="D69" s="140">
        <f>VLOOKUP($A69,'Data shares'!$C:$FB,4)</f>
        <v>315.7</v>
      </c>
      <c r="E69" s="50">
        <f t="shared" si="0"/>
        <v>-1.2195121951219405</v>
      </c>
      <c r="F69" s="49">
        <f>VLOOKUP($A69,'Data shares'!$C:$FB,98)</f>
        <v>51408000</v>
      </c>
      <c r="G69" s="49">
        <f>VLOOKUP($A69,'Data shares'!$C:$FB,99)</f>
        <v>46292400</v>
      </c>
      <c r="H69" s="50">
        <f t="shared" si="1"/>
        <v>11.0506260206859</v>
      </c>
      <c r="I69" s="49">
        <f>VLOOKUP($A69,'Data shares'!$C:$FB,66)</f>
        <v>32313600</v>
      </c>
      <c r="J69" s="49">
        <f>VLOOKUP($A69,'Data shares'!$C:$FB,67)</f>
        <v>25284600</v>
      </c>
      <c r="K69" s="50">
        <f t="shared" si="2"/>
        <v>21.752450980392158</v>
      </c>
      <c r="L69" s="50">
        <f>VLOOKUP($A69,'Data shares'!$C:$FB,118)</f>
        <v>0.97</v>
      </c>
      <c r="M69" s="50">
        <f>VLOOKUP($A69,'Data shares'!$C:$FB,119)</f>
        <v>0.85</v>
      </c>
      <c r="N69" s="50">
        <f>VLOOKUP($A69,'Data shares'!$C:$FB,121)*100</f>
        <v>14.12</v>
      </c>
      <c r="O69" s="50">
        <f>VLOOKUP($A69,'Data shares'!$C:$FB,124)</f>
        <v>1.1599999999999999</v>
      </c>
      <c r="P69" s="50">
        <f>VLOOKUP($A69,'Data shares'!$C:$FB,125)</f>
        <v>0.41</v>
      </c>
      <c r="Q69" s="50">
        <f>VLOOKUP($A69,'Data shares'!$C:$FB,127)*100</f>
        <v>182.93</v>
      </c>
    </row>
    <row r="70" spans="1:17" x14ac:dyDescent="0.25">
      <c r="A70" s="97" t="str">
        <f>'Snapshot (Value)'!A74</f>
        <v>FEDERALBNK</v>
      </c>
      <c r="B70" s="140">
        <f>VLOOKUP($A70,'Data shares'!$C:$FB,7)</f>
        <v>283.3</v>
      </c>
      <c r="C70" s="140">
        <f>VLOOKUP($A70,'Data shares'!$C:$FB,3)</f>
        <v>283.89999999999998</v>
      </c>
      <c r="D70" s="140">
        <f>VLOOKUP($A70,'Data shares'!$C:$FB,4)</f>
        <v>285.14999999999998</v>
      </c>
      <c r="E70" s="50">
        <f t="shared" si="0"/>
        <v>-0.43836577240049096</v>
      </c>
      <c r="F70" s="49">
        <f>VLOOKUP($A70,'Data shares'!$C:$FB,98)</f>
        <v>124980000</v>
      </c>
      <c r="G70" s="49">
        <f>VLOOKUP($A70,'Data shares'!$C:$FB,99)</f>
        <v>124405000</v>
      </c>
      <c r="H70" s="50">
        <f t="shared" si="1"/>
        <v>0.46220007234435917</v>
      </c>
      <c r="I70" s="49">
        <f>VLOOKUP($A70,'Data shares'!$C:$FB,66)</f>
        <v>51985000</v>
      </c>
      <c r="J70" s="49">
        <f>VLOOKUP($A70,'Data shares'!$C:$FB,67)</f>
        <v>81010000</v>
      </c>
      <c r="K70" s="50">
        <f t="shared" si="2"/>
        <v>-55.833413484659033</v>
      </c>
      <c r="L70" s="50">
        <f>VLOOKUP($A70,'Data shares'!$C:$FB,118)</f>
        <v>0.93</v>
      </c>
      <c r="M70" s="50">
        <f>VLOOKUP($A70,'Data shares'!$C:$FB,119)</f>
        <v>0.93</v>
      </c>
      <c r="N70" s="50">
        <f>VLOOKUP($A70,'Data shares'!$C:$FB,121)*100</f>
        <v>0</v>
      </c>
      <c r="O70" s="50">
        <f>VLOOKUP($A70,'Data shares'!$C:$FB,124)</f>
        <v>0.59</v>
      </c>
      <c r="P70" s="50">
        <f>VLOOKUP($A70,'Data shares'!$C:$FB,125)</f>
        <v>0.64</v>
      </c>
      <c r="Q70" s="50">
        <f>VLOOKUP($A70,'Data shares'!$C:$FB,127)*100</f>
        <v>-7.8100000000000005</v>
      </c>
    </row>
    <row r="71" spans="1:17" x14ac:dyDescent="0.25">
      <c r="A71" s="97" t="str">
        <f>'Snapshot (Value)'!A75</f>
        <v>FINNIFTY</v>
      </c>
      <c r="B71" s="140">
        <f>VLOOKUP($A71,'Data shares'!$C:$FB,7)</f>
        <v>25685.85</v>
      </c>
      <c r="C71" s="140">
        <f>VLOOKUP($A71,'Data shares'!$C:$FB,3)</f>
        <v>25808.6</v>
      </c>
      <c r="D71" s="140">
        <f>VLOOKUP($A71,'Data shares'!$C:$FB,4)</f>
        <v>26167.9</v>
      </c>
      <c r="E71" s="50">
        <f t="shared" si="0"/>
        <v>-1.3730563018048942</v>
      </c>
      <c r="F71" s="49">
        <f>VLOOKUP($A71,'Data shares'!$C:$FB,98)</f>
        <v>260220</v>
      </c>
      <c r="G71" s="49">
        <f>VLOOKUP($A71,'Data shares'!$C:$FB,99)</f>
        <v>224700</v>
      </c>
      <c r="H71" s="50">
        <f t="shared" si="1"/>
        <v>15.807743658210949</v>
      </c>
      <c r="I71" s="49">
        <f>VLOOKUP($A71,'Data shares'!$C:$FB,66)</f>
        <v>411000</v>
      </c>
      <c r="J71" s="49">
        <f>VLOOKUP($A71,'Data shares'!$C:$FB,67)</f>
        <v>503700</v>
      </c>
      <c r="K71" s="50">
        <f t="shared" si="2"/>
        <v>-22.554744525547445</v>
      </c>
      <c r="L71" s="50">
        <f>VLOOKUP($A71,'Data shares'!$C:$FB,118)</f>
        <v>0.89</v>
      </c>
      <c r="M71" s="50">
        <f>VLOOKUP($A71,'Data shares'!$C:$FB,119)</f>
        <v>0.76</v>
      </c>
      <c r="N71" s="50">
        <f>VLOOKUP($A71,'Data shares'!$C:$FB,121)*100</f>
        <v>17.11</v>
      </c>
      <c r="O71" s="50">
        <f>VLOOKUP($A71,'Data shares'!$C:$FB,124)</f>
        <v>0.92</v>
      </c>
      <c r="P71" s="50">
        <f>VLOOKUP($A71,'Data shares'!$C:$FB,125)</f>
        <v>0.45</v>
      </c>
      <c r="Q71" s="50">
        <f>VLOOKUP($A71,'Data shares'!$C:$FB,127)*100</f>
        <v>104.44</v>
      </c>
    </row>
    <row r="72" spans="1:17" x14ac:dyDescent="0.25">
      <c r="A72" s="97" t="str">
        <f>'Snapshot (Value)'!A76</f>
        <v>FORCEMOT</v>
      </c>
      <c r="B72" s="140">
        <f>VLOOKUP($A72,'Data shares'!$C:$FB,7)</f>
        <v>22168</v>
      </c>
      <c r="C72" s="140">
        <f>VLOOKUP($A72,'Data shares'!$C:$FB,3)</f>
        <v>22208</v>
      </c>
      <c r="D72" s="140">
        <f>VLOOKUP($A72,'Data shares'!$C:$FB,4)</f>
        <v>22128</v>
      </c>
      <c r="E72" s="50">
        <f t="shared" ref="E72:E135" si="3">(C72-D72)/D72*100</f>
        <v>0.36153289949385392</v>
      </c>
      <c r="F72" s="49">
        <f>VLOOKUP($A72,'Data shares'!$C:$FB,98)</f>
        <v>140675</v>
      </c>
      <c r="G72" s="49">
        <f>VLOOKUP($A72,'Data shares'!$C:$FB,99)</f>
        <v>134300</v>
      </c>
      <c r="H72" s="50">
        <f t="shared" ref="H72:H135" si="4">(F72-G72)/G72*100</f>
        <v>4.7468354430379751</v>
      </c>
      <c r="I72" s="49">
        <f>VLOOKUP($A72,'Data shares'!$C:$FB,66)</f>
        <v>195450</v>
      </c>
      <c r="J72" s="49">
        <f>VLOOKUP($A72,'Data shares'!$C:$FB,67)</f>
        <v>550550</v>
      </c>
      <c r="K72" s="50">
        <f t="shared" ref="K72:K135" si="5">(I72-J72)/I72*100</f>
        <v>-181.68329496034792</v>
      </c>
      <c r="L72" s="50">
        <f>VLOOKUP($A72,'Data shares'!$C:$FB,118)</f>
        <v>0.52</v>
      </c>
      <c r="M72" s="50">
        <f>VLOOKUP($A72,'Data shares'!$C:$FB,119)</f>
        <v>0.52</v>
      </c>
      <c r="N72" s="50">
        <f>VLOOKUP($A72,'Data shares'!$C:$FB,121)*100</f>
        <v>0</v>
      </c>
      <c r="O72" s="50">
        <f>VLOOKUP($A72,'Data shares'!$C:$FB,124)</f>
        <v>0.61</v>
      </c>
      <c r="P72" s="50">
        <f>VLOOKUP($A72,'Data shares'!$C:$FB,125)</f>
        <v>0.28000000000000003</v>
      </c>
      <c r="Q72" s="50">
        <f>VLOOKUP($A72,'Data shares'!$C:$FB,127)*100</f>
        <v>117.86000000000001</v>
      </c>
    </row>
    <row r="73" spans="1:17" x14ac:dyDescent="0.25">
      <c r="A73" s="97" t="str">
        <f>'Snapshot (Value)'!A77</f>
        <v>FORTIS</v>
      </c>
      <c r="B73" s="140">
        <f>VLOOKUP($A73,'Data shares'!$C:$FB,7)</f>
        <v>850.05</v>
      </c>
      <c r="C73" s="140">
        <f>VLOOKUP($A73,'Data shares'!$C:$FB,3)</f>
        <v>853.95</v>
      </c>
      <c r="D73" s="140">
        <f>VLOOKUP($A73,'Data shares'!$C:$FB,4)</f>
        <v>842.2</v>
      </c>
      <c r="E73" s="50">
        <f t="shared" si="3"/>
        <v>1.3951555450011872</v>
      </c>
      <c r="F73" s="49">
        <f>VLOOKUP($A73,'Data shares'!$C:$FB,98)</f>
        <v>14929600</v>
      </c>
      <c r="G73" s="49">
        <f>VLOOKUP($A73,'Data shares'!$C:$FB,99)</f>
        <v>14913325</v>
      </c>
      <c r="H73" s="50">
        <f t="shared" si="4"/>
        <v>0.10913059294288831</v>
      </c>
      <c r="I73" s="49">
        <f>VLOOKUP($A73,'Data shares'!$C:$FB,66)</f>
        <v>3712250</v>
      </c>
      <c r="J73" s="49">
        <f>VLOOKUP($A73,'Data shares'!$C:$FB,67)</f>
        <v>5902400</v>
      </c>
      <c r="K73" s="50">
        <f t="shared" si="5"/>
        <v>-58.99791231732776</v>
      </c>
      <c r="L73" s="50">
        <f>VLOOKUP($A73,'Data shares'!$C:$FB,118)</f>
        <v>0.7</v>
      </c>
      <c r="M73" s="50">
        <f>VLOOKUP($A73,'Data shares'!$C:$FB,119)</f>
        <v>0.64</v>
      </c>
      <c r="N73" s="50">
        <f>VLOOKUP($A73,'Data shares'!$C:$FB,121)*100</f>
        <v>9.370000000000001</v>
      </c>
      <c r="O73" s="50">
        <f>VLOOKUP($A73,'Data shares'!$C:$FB,124)</f>
        <v>0.27</v>
      </c>
      <c r="P73" s="50">
        <f>VLOOKUP($A73,'Data shares'!$C:$FB,125)</f>
        <v>0.47</v>
      </c>
      <c r="Q73" s="50">
        <f>VLOOKUP($A73,'Data shares'!$C:$FB,127)*100</f>
        <v>-42.55</v>
      </c>
    </row>
    <row r="74" spans="1:17" x14ac:dyDescent="0.25">
      <c r="A74" s="97" t="str">
        <f>'Snapshot (Value)'!A78</f>
        <v>GAIL</v>
      </c>
      <c r="B74" s="140">
        <f>VLOOKUP($A74,'Data shares'!$C:$FB,7)</f>
        <v>152.22</v>
      </c>
      <c r="C74" s="140">
        <f>VLOOKUP($A74,'Data shares'!$C:$FB,3)</f>
        <v>152.6</v>
      </c>
      <c r="D74" s="140">
        <f>VLOOKUP($A74,'Data shares'!$C:$FB,4)</f>
        <v>153.59</v>
      </c>
      <c r="E74" s="50">
        <f t="shared" si="3"/>
        <v>-0.64457321440198512</v>
      </c>
      <c r="F74" s="49">
        <f>VLOOKUP($A74,'Data shares'!$C:$FB,98)</f>
        <v>138023550</v>
      </c>
      <c r="G74" s="49">
        <f>VLOOKUP($A74,'Data shares'!$C:$FB,99)</f>
        <v>138417300</v>
      </c>
      <c r="H74" s="50">
        <f t="shared" si="4"/>
        <v>-0.28446588685084884</v>
      </c>
      <c r="I74" s="49">
        <f>VLOOKUP($A74,'Data shares'!$C:$FB,66)</f>
        <v>28548450</v>
      </c>
      <c r="J74" s="49">
        <f>VLOOKUP($A74,'Data shares'!$C:$FB,67)</f>
        <v>91624050</v>
      </c>
      <c r="K74" s="50">
        <f t="shared" si="5"/>
        <v>-220.94229283901575</v>
      </c>
      <c r="L74" s="50">
        <f>VLOOKUP($A74,'Data shares'!$C:$FB,118)</f>
        <v>1.1100000000000001</v>
      </c>
      <c r="M74" s="50">
        <f>VLOOKUP($A74,'Data shares'!$C:$FB,119)</f>
        <v>1.1100000000000001</v>
      </c>
      <c r="N74" s="50">
        <f>VLOOKUP($A74,'Data shares'!$C:$FB,121)*100</f>
        <v>0</v>
      </c>
      <c r="O74" s="50">
        <f>VLOOKUP($A74,'Data shares'!$C:$FB,124)</f>
        <v>0.67</v>
      </c>
      <c r="P74" s="50">
        <f>VLOOKUP($A74,'Data shares'!$C:$FB,125)</f>
        <v>0.75</v>
      </c>
      <c r="Q74" s="50">
        <f>VLOOKUP($A74,'Data shares'!$C:$FB,127)*100</f>
        <v>-10.67</v>
      </c>
    </row>
    <row r="75" spans="1:17" x14ac:dyDescent="0.25">
      <c r="A75" s="97" t="str">
        <f>'Snapshot (Value)'!A79</f>
        <v>GLENMARK</v>
      </c>
      <c r="B75" s="140">
        <f>VLOOKUP($A75,'Data shares'!$C:$FB,7)</f>
        <v>2169.1</v>
      </c>
      <c r="C75" s="140">
        <f>VLOOKUP($A75,'Data shares'!$C:$FB,3)</f>
        <v>2173.3000000000002</v>
      </c>
      <c r="D75" s="140">
        <f>VLOOKUP($A75,'Data shares'!$C:$FB,4)</f>
        <v>2177.6</v>
      </c>
      <c r="E75" s="50">
        <f t="shared" si="3"/>
        <v>-0.19746509919175825</v>
      </c>
      <c r="F75" s="49">
        <f>VLOOKUP($A75,'Data shares'!$C:$FB,98)</f>
        <v>12704625</v>
      </c>
      <c r="G75" s="49">
        <f>VLOOKUP($A75,'Data shares'!$C:$FB,99)</f>
        <v>12838500</v>
      </c>
      <c r="H75" s="50">
        <f t="shared" si="4"/>
        <v>-1.0427620049071153</v>
      </c>
      <c r="I75" s="49">
        <f>VLOOKUP($A75,'Data shares'!$C:$FB,66)</f>
        <v>3586125</v>
      </c>
      <c r="J75" s="49">
        <f>VLOOKUP($A75,'Data shares'!$C:$FB,67)</f>
        <v>4331625</v>
      </c>
      <c r="K75" s="50">
        <f t="shared" si="5"/>
        <v>-20.788455505594477</v>
      </c>
      <c r="L75" s="50">
        <f>VLOOKUP($A75,'Data shares'!$C:$FB,118)</f>
        <v>0.59</v>
      </c>
      <c r="M75" s="50">
        <f>VLOOKUP($A75,'Data shares'!$C:$FB,119)</f>
        <v>0.56999999999999995</v>
      </c>
      <c r="N75" s="50">
        <f>VLOOKUP($A75,'Data shares'!$C:$FB,121)*100</f>
        <v>3.51</v>
      </c>
      <c r="O75" s="50">
        <f>VLOOKUP($A75,'Data shares'!$C:$FB,124)</f>
        <v>0.76</v>
      </c>
      <c r="P75" s="50">
        <f>VLOOKUP($A75,'Data shares'!$C:$FB,125)</f>
        <v>0.46</v>
      </c>
      <c r="Q75" s="50">
        <f>VLOOKUP($A75,'Data shares'!$C:$FB,127)*100</f>
        <v>65.22</v>
      </c>
    </row>
    <row r="76" spans="1:17" x14ac:dyDescent="0.25">
      <c r="A76" s="97" t="str">
        <f>'Snapshot (Value)'!A80</f>
        <v>GMRAIRPORT</v>
      </c>
      <c r="B76" s="140">
        <f>VLOOKUP($A76,'Data shares'!$C:$FB,7)</f>
        <v>94.53</v>
      </c>
      <c r="C76" s="140">
        <f>VLOOKUP($A76,'Data shares'!$C:$FB,3)</f>
        <v>94.97</v>
      </c>
      <c r="D76" s="140">
        <f>VLOOKUP($A76,'Data shares'!$C:$FB,4)</f>
        <v>96.28</v>
      </c>
      <c r="E76" s="50">
        <f t="shared" si="3"/>
        <v>-1.3606148732862509</v>
      </c>
      <c r="F76" s="49">
        <f>VLOOKUP($A76,'Data shares'!$C:$FB,98)</f>
        <v>195913800</v>
      </c>
      <c r="G76" s="49">
        <f>VLOOKUP($A76,'Data shares'!$C:$FB,99)</f>
        <v>189880425</v>
      </c>
      <c r="H76" s="50">
        <f t="shared" si="4"/>
        <v>3.1774602358299964</v>
      </c>
      <c r="I76" s="49">
        <f>VLOOKUP($A76,'Data shares'!$C:$FB,66)</f>
        <v>61847325</v>
      </c>
      <c r="J76" s="49">
        <f>VLOOKUP($A76,'Data shares'!$C:$FB,67)</f>
        <v>84509100</v>
      </c>
      <c r="K76" s="50">
        <f t="shared" si="5"/>
        <v>-36.641479643622418</v>
      </c>
      <c r="L76" s="50">
        <f>VLOOKUP($A76,'Data shares'!$C:$FB,118)</f>
        <v>0.77</v>
      </c>
      <c r="M76" s="50">
        <f>VLOOKUP($A76,'Data shares'!$C:$FB,119)</f>
        <v>0.86</v>
      </c>
      <c r="N76" s="50">
        <f>VLOOKUP($A76,'Data shares'!$C:$FB,121)*100</f>
        <v>-10.47</v>
      </c>
      <c r="O76" s="50">
        <f>VLOOKUP($A76,'Data shares'!$C:$FB,124)</f>
        <v>0.5</v>
      </c>
      <c r="P76" s="50">
        <f>VLOOKUP($A76,'Data shares'!$C:$FB,125)</f>
        <v>0.59</v>
      </c>
      <c r="Q76" s="50">
        <f>VLOOKUP($A76,'Data shares'!$C:$FB,127)*100</f>
        <v>-15.25</v>
      </c>
    </row>
    <row r="77" spans="1:17" x14ac:dyDescent="0.25">
      <c r="A77" s="97" t="str">
        <f>'Snapshot (Value)'!A81</f>
        <v>GODFRYPHLP</v>
      </c>
      <c r="B77" s="140">
        <f>VLOOKUP($A77,'Data shares'!$C:$FB,7)</f>
        <v>2034.8</v>
      </c>
      <c r="C77" s="140">
        <f>VLOOKUP($A77,'Data shares'!$C:$FB,3)</f>
        <v>2038.7</v>
      </c>
      <c r="D77" s="140">
        <f>VLOOKUP($A77,'Data shares'!$C:$FB,4)</f>
        <v>2013.8</v>
      </c>
      <c r="E77" s="50">
        <f t="shared" si="3"/>
        <v>1.2364683682590174</v>
      </c>
      <c r="F77" s="49">
        <f>VLOOKUP($A77,'Data shares'!$C:$FB,98)</f>
        <v>521950</v>
      </c>
      <c r="G77" s="49">
        <f>VLOOKUP($A77,'Data shares'!$C:$FB,99)</f>
        <v>363000</v>
      </c>
      <c r="H77" s="50">
        <f t="shared" si="4"/>
        <v>43.787878787878789</v>
      </c>
      <c r="I77" s="49">
        <f>VLOOKUP($A77,'Data shares'!$C:$FB,66)</f>
        <v>1131075</v>
      </c>
      <c r="J77" s="49">
        <f>VLOOKUP($A77,'Data shares'!$C:$FB,67)</f>
        <v>440550</v>
      </c>
      <c r="K77" s="50">
        <f t="shared" si="5"/>
        <v>61.050328227571114</v>
      </c>
      <c r="L77" s="50">
        <f>VLOOKUP($A77,'Data shares'!$C:$FB,118)</f>
        <v>0.5</v>
      </c>
      <c r="M77" s="50">
        <f>VLOOKUP($A77,'Data shares'!$C:$FB,119)</f>
        <v>0.99</v>
      </c>
      <c r="N77" s="50">
        <f>VLOOKUP($A77,'Data shares'!$C:$FB,121)*100</f>
        <v>-49.49</v>
      </c>
      <c r="O77" s="50">
        <f>VLOOKUP($A77,'Data shares'!$C:$FB,124)</f>
        <v>0.18</v>
      </c>
      <c r="P77" s="50">
        <f>VLOOKUP($A77,'Data shares'!$C:$FB,125)</f>
        <v>0.42</v>
      </c>
      <c r="Q77" s="50">
        <f>VLOOKUP($A77,'Data shares'!$C:$FB,127)*100</f>
        <v>-57.14</v>
      </c>
    </row>
    <row r="78" spans="1:17" x14ac:dyDescent="0.25">
      <c r="A78" s="97" t="str">
        <f>'Snapshot (Value)'!A82</f>
        <v>GODREJCP</v>
      </c>
      <c r="B78" s="140">
        <f>VLOOKUP($A78,'Data shares'!$C:$FB,7)</f>
        <v>1063.3499999999999</v>
      </c>
      <c r="C78" s="140">
        <f>VLOOKUP($A78,'Data shares'!$C:$FB,3)</f>
        <v>1066.8</v>
      </c>
      <c r="D78" s="140">
        <f>VLOOKUP($A78,'Data shares'!$C:$FB,4)</f>
        <v>1080.7</v>
      </c>
      <c r="E78" s="50">
        <f t="shared" si="3"/>
        <v>-1.2862033866938178</v>
      </c>
      <c r="F78" s="49">
        <f>VLOOKUP($A78,'Data shares'!$C:$FB,98)</f>
        <v>14677500</v>
      </c>
      <c r="G78" s="49">
        <f>VLOOKUP($A78,'Data shares'!$C:$FB,99)</f>
        <v>14396000</v>
      </c>
      <c r="H78" s="50">
        <f t="shared" si="4"/>
        <v>1.9554042789663797</v>
      </c>
      <c r="I78" s="49">
        <f>VLOOKUP($A78,'Data shares'!$C:$FB,66)</f>
        <v>2691500</v>
      </c>
      <c r="J78" s="49">
        <f>VLOOKUP($A78,'Data shares'!$C:$FB,67)</f>
        <v>7954500</v>
      </c>
      <c r="K78" s="50">
        <f t="shared" si="5"/>
        <v>-195.54151959873676</v>
      </c>
      <c r="L78" s="50">
        <f>VLOOKUP($A78,'Data shares'!$C:$FB,118)</f>
        <v>0.92</v>
      </c>
      <c r="M78" s="50">
        <f>VLOOKUP($A78,'Data shares'!$C:$FB,119)</f>
        <v>0.93</v>
      </c>
      <c r="N78" s="50">
        <f>VLOOKUP($A78,'Data shares'!$C:$FB,121)*100</f>
        <v>-1.08</v>
      </c>
      <c r="O78" s="50">
        <f>VLOOKUP($A78,'Data shares'!$C:$FB,124)</f>
        <v>0.66</v>
      </c>
      <c r="P78" s="50">
        <f>VLOOKUP($A78,'Data shares'!$C:$FB,125)</f>
        <v>0.55000000000000004</v>
      </c>
      <c r="Q78" s="50">
        <f>VLOOKUP($A78,'Data shares'!$C:$FB,127)*100</f>
        <v>20</v>
      </c>
    </row>
    <row r="79" spans="1:17" x14ac:dyDescent="0.25">
      <c r="A79" s="97" t="str">
        <f>'Snapshot (Value)'!A83</f>
        <v>GODREJPROP</v>
      </c>
      <c r="B79" s="140">
        <f>VLOOKUP($A79,'Data shares'!$C:$FB,7)</f>
        <v>1695.5</v>
      </c>
      <c r="C79" s="140">
        <f>VLOOKUP($A79,'Data shares'!$C:$FB,3)</f>
        <v>1700.1</v>
      </c>
      <c r="D79" s="140">
        <f>VLOOKUP($A79,'Data shares'!$C:$FB,4)</f>
        <v>1711.3</v>
      </c>
      <c r="E79" s="50">
        <f t="shared" si="3"/>
        <v>-0.65447320750307048</v>
      </c>
      <c r="F79" s="49">
        <f>VLOOKUP($A79,'Data shares'!$C:$FB,98)</f>
        <v>11868725</v>
      </c>
      <c r="G79" s="49">
        <f>VLOOKUP($A79,'Data shares'!$C:$FB,99)</f>
        <v>11823075</v>
      </c>
      <c r="H79" s="50">
        <f t="shared" si="4"/>
        <v>0.38610936664108109</v>
      </c>
      <c r="I79" s="49">
        <f>VLOOKUP($A79,'Data shares'!$C:$FB,66)</f>
        <v>3458400</v>
      </c>
      <c r="J79" s="49">
        <f>VLOOKUP($A79,'Data shares'!$C:$FB,67)</f>
        <v>6872250</v>
      </c>
      <c r="K79" s="50">
        <f t="shared" si="5"/>
        <v>-98.711832061068705</v>
      </c>
      <c r="L79" s="50">
        <f>VLOOKUP($A79,'Data shares'!$C:$FB,118)</f>
        <v>0.8</v>
      </c>
      <c r="M79" s="50">
        <f>VLOOKUP($A79,'Data shares'!$C:$FB,119)</f>
        <v>0.76</v>
      </c>
      <c r="N79" s="50">
        <f>VLOOKUP($A79,'Data shares'!$C:$FB,121)*100</f>
        <v>5.26</v>
      </c>
      <c r="O79" s="50">
        <f>VLOOKUP($A79,'Data shares'!$C:$FB,124)</f>
        <v>0.93</v>
      </c>
      <c r="P79" s="50">
        <f>VLOOKUP($A79,'Data shares'!$C:$FB,125)</f>
        <v>0.57999999999999996</v>
      </c>
      <c r="Q79" s="50">
        <f>VLOOKUP($A79,'Data shares'!$C:$FB,127)*100</f>
        <v>60.34</v>
      </c>
    </row>
    <row r="80" spans="1:17" x14ac:dyDescent="0.25">
      <c r="A80" s="97" t="str">
        <f>'Snapshot (Value)'!A84</f>
        <v>GRASIM</v>
      </c>
      <c r="B80" s="140">
        <f>VLOOKUP($A80,'Data shares'!$C:$FB,7)</f>
        <v>2740.5</v>
      </c>
      <c r="C80" s="140">
        <f>VLOOKUP($A80,'Data shares'!$C:$FB,3)</f>
        <v>2746.7</v>
      </c>
      <c r="D80" s="140">
        <f>VLOOKUP($A80,'Data shares'!$C:$FB,4)</f>
        <v>2766.4</v>
      </c>
      <c r="E80" s="50">
        <f t="shared" si="3"/>
        <v>-0.71211683053789299</v>
      </c>
      <c r="F80" s="49">
        <f>VLOOKUP($A80,'Data shares'!$C:$FB,98)</f>
        <v>16983500</v>
      </c>
      <c r="G80" s="49">
        <f>VLOOKUP($A80,'Data shares'!$C:$FB,99)</f>
        <v>16888250</v>
      </c>
      <c r="H80" s="50">
        <f t="shared" si="4"/>
        <v>0.56400159874468936</v>
      </c>
      <c r="I80" s="49">
        <f>VLOOKUP($A80,'Data shares'!$C:$FB,66)</f>
        <v>2077000</v>
      </c>
      <c r="J80" s="49">
        <f>VLOOKUP($A80,'Data shares'!$C:$FB,67)</f>
        <v>3783500</v>
      </c>
      <c r="K80" s="50">
        <f t="shared" si="5"/>
        <v>-82.161771786230148</v>
      </c>
      <c r="L80" s="50">
        <f>VLOOKUP($A80,'Data shares'!$C:$FB,118)</f>
        <v>0.73</v>
      </c>
      <c r="M80" s="50">
        <f>VLOOKUP($A80,'Data shares'!$C:$FB,119)</f>
        <v>0.74</v>
      </c>
      <c r="N80" s="50">
        <f>VLOOKUP($A80,'Data shares'!$C:$FB,121)*100</f>
        <v>-1.35</v>
      </c>
      <c r="O80" s="50">
        <f>VLOOKUP($A80,'Data shares'!$C:$FB,124)</f>
        <v>0.76</v>
      </c>
      <c r="P80" s="50">
        <f>VLOOKUP($A80,'Data shares'!$C:$FB,125)</f>
        <v>0.67</v>
      </c>
      <c r="Q80" s="50">
        <f>VLOOKUP($A80,'Data shares'!$C:$FB,127)*100</f>
        <v>13.43</v>
      </c>
    </row>
    <row r="81" spans="1:17" x14ac:dyDescent="0.25">
      <c r="A81" s="97" t="str">
        <f>'Snapshot (Value)'!A85</f>
        <v>HAL</v>
      </c>
      <c r="B81" s="140">
        <f>VLOOKUP($A81,'Data shares'!$C:$FB,7)</f>
        <v>4032.9</v>
      </c>
      <c r="C81" s="140">
        <f>VLOOKUP($A81,'Data shares'!$C:$FB,3)</f>
        <v>4052.7</v>
      </c>
      <c r="D81" s="140">
        <f>VLOOKUP($A81,'Data shares'!$C:$FB,4)</f>
        <v>3917.5</v>
      </c>
      <c r="E81" s="50">
        <f t="shared" si="3"/>
        <v>3.4511805998723633</v>
      </c>
      <c r="F81" s="49">
        <f>VLOOKUP($A81,'Data shares'!$C:$FB,98)</f>
        <v>13992750</v>
      </c>
      <c r="G81" s="49">
        <f>VLOOKUP($A81,'Data shares'!$C:$FB,99)</f>
        <v>13406700</v>
      </c>
      <c r="H81" s="50">
        <f t="shared" si="4"/>
        <v>4.3713218017856743</v>
      </c>
      <c r="I81" s="49">
        <f>VLOOKUP($A81,'Data shares'!$C:$FB,66)</f>
        <v>23809950</v>
      </c>
      <c r="J81" s="49">
        <f>VLOOKUP($A81,'Data shares'!$C:$FB,67)</f>
        <v>7060350</v>
      </c>
      <c r="K81" s="50">
        <f t="shared" si="5"/>
        <v>70.347060787611909</v>
      </c>
      <c r="L81" s="50">
        <f>VLOOKUP($A81,'Data shares'!$C:$FB,118)</f>
        <v>0.87</v>
      </c>
      <c r="M81" s="50">
        <f>VLOOKUP($A81,'Data shares'!$C:$FB,119)</f>
        <v>0.91</v>
      </c>
      <c r="N81" s="50">
        <f>VLOOKUP($A81,'Data shares'!$C:$FB,121)*100</f>
        <v>-4.3999999999999995</v>
      </c>
      <c r="O81" s="50">
        <f>VLOOKUP($A81,'Data shares'!$C:$FB,124)</f>
        <v>0.37</v>
      </c>
      <c r="P81" s="50">
        <f>VLOOKUP($A81,'Data shares'!$C:$FB,125)</f>
        <v>0.5</v>
      </c>
      <c r="Q81" s="50">
        <f>VLOOKUP($A81,'Data shares'!$C:$FB,127)*100</f>
        <v>-26</v>
      </c>
    </row>
    <row r="82" spans="1:17" x14ac:dyDescent="0.25">
      <c r="A82" s="97" t="str">
        <f>'Snapshot (Value)'!A86</f>
        <v>HAVELLS</v>
      </c>
      <c r="B82" s="140">
        <f>VLOOKUP($A82,'Data shares'!$C:$FB,7)</f>
        <v>1257</v>
      </c>
      <c r="C82" s="140">
        <f>VLOOKUP($A82,'Data shares'!$C:$FB,3)</f>
        <v>1258.5</v>
      </c>
      <c r="D82" s="140">
        <f>VLOOKUP($A82,'Data shares'!$C:$FB,4)</f>
        <v>1249</v>
      </c>
      <c r="E82" s="50">
        <f t="shared" si="3"/>
        <v>0.76060848678943149</v>
      </c>
      <c r="F82" s="49">
        <f>VLOOKUP($A82,'Data shares'!$C:$FB,98)</f>
        <v>11881000</v>
      </c>
      <c r="G82" s="49">
        <f>VLOOKUP($A82,'Data shares'!$C:$FB,99)</f>
        <v>11892000</v>
      </c>
      <c r="H82" s="50">
        <f t="shared" si="4"/>
        <v>-9.2499159098553649E-2</v>
      </c>
      <c r="I82" s="49">
        <f>VLOOKUP($A82,'Data shares'!$C:$FB,66)</f>
        <v>3327000</v>
      </c>
      <c r="J82" s="49">
        <f>VLOOKUP($A82,'Data shares'!$C:$FB,67)</f>
        <v>5341500</v>
      </c>
      <c r="K82" s="50">
        <f t="shared" si="5"/>
        <v>-60.550045085662759</v>
      </c>
      <c r="L82" s="50">
        <f>VLOOKUP($A82,'Data shares'!$C:$FB,118)</f>
        <v>0.86</v>
      </c>
      <c r="M82" s="50">
        <f>VLOOKUP($A82,'Data shares'!$C:$FB,119)</f>
        <v>0.87</v>
      </c>
      <c r="N82" s="50">
        <f>VLOOKUP($A82,'Data shares'!$C:$FB,121)*100</f>
        <v>-1.1499999999999999</v>
      </c>
      <c r="O82" s="50">
        <f>VLOOKUP($A82,'Data shares'!$C:$FB,124)</f>
        <v>0.46</v>
      </c>
      <c r="P82" s="50">
        <f>VLOOKUP($A82,'Data shares'!$C:$FB,125)</f>
        <v>0.56999999999999995</v>
      </c>
      <c r="Q82" s="50">
        <f>VLOOKUP($A82,'Data shares'!$C:$FB,127)*100</f>
        <v>-19.3</v>
      </c>
    </row>
    <row r="83" spans="1:17" x14ac:dyDescent="0.25">
      <c r="A83" s="97" t="str">
        <f>'Snapshot (Value)'!A87</f>
        <v>HCLTECH</v>
      </c>
      <c r="B83" s="140">
        <f>VLOOKUP($A83,'Data shares'!$C:$FB,7)</f>
        <v>1464.9</v>
      </c>
      <c r="C83" s="140">
        <f>VLOOKUP($A83,'Data shares'!$C:$FB,3)</f>
        <v>1444.3</v>
      </c>
      <c r="D83" s="140">
        <f>VLOOKUP($A83,'Data shares'!$C:$FB,4)</f>
        <v>1427.4</v>
      </c>
      <c r="E83" s="50">
        <f t="shared" si="3"/>
        <v>1.1839708561019939</v>
      </c>
      <c r="F83" s="49">
        <f>VLOOKUP($A83,'Data shares'!$C:$FB,98)</f>
        <v>46887750</v>
      </c>
      <c r="G83" s="49">
        <f>VLOOKUP($A83,'Data shares'!$C:$FB,99)</f>
        <v>44468900</v>
      </c>
      <c r="H83" s="50">
        <f t="shared" si="4"/>
        <v>5.4394194594424423</v>
      </c>
      <c r="I83" s="49">
        <f>VLOOKUP($A83,'Data shares'!$C:$FB,66)</f>
        <v>18855200</v>
      </c>
      <c r="J83" s="49">
        <f>VLOOKUP($A83,'Data shares'!$C:$FB,67)</f>
        <v>15789550</v>
      </c>
      <c r="K83" s="50">
        <f t="shared" si="5"/>
        <v>16.258910008910011</v>
      </c>
      <c r="L83" s="50">
        <f>VLOOKUP($A83,'Data shares'!$C:$FB,118)</f>
        <v>1.02</v>
      </c>
      <c r="M83" s="50">
        <f>VLOOKUP($A83,'Data shares'!$C:$FB,119)</f>
        <v>0.98</v>
      </c>
      <c r="N83" s="50">
        <f>VLOOKUP($A83,'Data shares'!$C:$FB,121)*100</f>
        <v>4.08</v>
      </c>
      <c r="O83" s="50">
        <f>VLOOKUP($A83,'Data shares'!$C:$FB,124)</f>
        <v>0.66</v>
      </c>
      <c r="P83" s="50">
        <f>VLOOKUP($A83,'Data shares'!$C:$FB,125)</f>
        <v>0.51</v>
      </c>
      <c r="Q83" s="50">
        <f>VLOOKUP($A83,'Data shares'!$C:$FB,127)*100</f>
        <v>29.409999999999997</v>
      </c>
    </row>
    <row r="84" spans="1:17" x14ac:dyDescent="0.25">
      <c r="A84" s="97" t="str">
        <f>'Snapshot (Value)'!A88</f>
        <v>HDFCAMC</v>
      </c>
      <c r="B84" s="140">
        <f>VLOOKUP($A84,'Data shares'!$C:$FB,7)</f>
        <v>2515</v>
      </c>
      <c r="C84" s="140">
        <f>VLOOKUP($A84,'Data shares'!$C:$FB,3)</f>
        <v>2523.6999999999998</v>
      </c>
      <c r="D84" s="140">
        <f>VLOOKUP($A84,'Data shares'!$C:$FB,4)</f>
        <v>2546.8000000000002</v>
      </c>
      <c r="E84" s="50">
        <f t="shared" si="3"/>
        <v>-0.90702057483902787</v>
      </c>
      <c r="F84" s="49">
        <f>VLOOKUP($A84,'Data shares'!$C:$FB,98)</f>
        <v>7521000</v>
      </c>
      <c r="G84" s="49">
        <f>VLOOKUP($A84,'Data shares'!$C:$FB,99)</f>
        <v>7356300</v>
      </c>
      <c r="H84" s="50">
        <f t="shared" si="4"/>
        <v>2.2388972717262754</v>
      </c>
      <c r="I84" s="49">
        <f>VLOOKUP($A84,'Data shares'!$C:$FB,66)</f>
        <v>2922600</v>
      </c>
      <c r="J84" s="49">
        <f>VLOOKUP($A84,'Data shares'!$C:$FB,67)</f>
        <v>6390900</v>
      </c>
      <c r="K84" s="50">
        <f t="shared" si="5"/>
        <v>-118.67173065079039</v>
      </c>
      <c r="L84" s="50">
        <f>VLOOKUP($A84,'Data shares'!$C:$FB,118)</f>
        <v>0.77</v>
      </c>
      <c r="M84" s="50">
        <f>VLOOKUP($A84,'Data shares'!$C:$FB,119)</f>
        <v>0.83</v>
      </c>
      <c r="N84" s="50">
        <f>VLOOKUP($A84,'Data shares'!$C:$FB,121)*100</f>
        <v>-7.23</v>
      </c>
      <c r="O84" s="50">
        <f>VLOOKUP($A84,'Data shares'!$C:$FB,124)</f>
        <v>0.73</v>
      </c>
      <c r="P84" s="50">
        <f>VLOOKUP($A84,'Data shares'!$C:$FB,125)</f>
        <v>0.46</v>
      </c>
      <c r="Q84" s="50">
        <f>VLOOKUP($A84,'Data shares'!$C:$FB,127)*100</f>
        <v>58.699999999999996</v>
      </c>
    </row>
    <row r="85" spans="1:17" x14ac:dyDescent="0.25">
      <c r="A85" s="97" t="str">
        <f>'Snapshot (Value)'!A89</f>
        <v>HDFCBANK</v>
      </c>
      <c r="B85" s="140">
        <f>VLOOKUP($A85,'Data shares'!$C:$FB,7)</f>
        <v>797.7</v>
      </c>
      <c r="C85" s="140">
        <f>VLOOKUP($A85,'Data shares'!$C:$FB,3)</f>
        <v>801.1</v>
      </c>
      <c r="D85" s="140">
        <f>VLOOKUP($A85,'Data shares'!$C:$FB,4)</f>
        <v>818.05</v>
      </c>
      <c r="E85" s="50">
        <f t="shared" si="3"/>
        <v>-2.0720004889676589</v>
      </c>
      <c r="F85" s="49">
        <f>VLOOKUP($A85,'Data shares'!$C:$FB,98)</f>
        <v>451375100</v>
      </c>
      <c r="G85" s="49">
        <f>VLOOKUP($A85,'Data shares'!$C:$FB,99)</f>
        <v>440967450</v>
      </c>
      <c r="H85" s="50">
        <f t="shared" si="4"/>
        <v>2.3601855420394409</v>
      </c>
      <c r="I85" s="49">
        <f>VLOOKUP($A85,'Data shares'!$C:$FB,66)</f>
        <v>163791650</v>
      </c>
      <c r="J85" s="49">
        <f>VLOOKUP($A85,'Data shares'!$C:$FB,67)</f>
        <v>247811300</v>
      </c>
      <c r="K85" s="50">
        <f t="shared" si="5"/>
        <v>-51.29666255880565</v>
      </c>
      <c r="L85" s="50">
        <f>VLOOKUP($A85,'Data shares'!$C:$FB,118)</f>
        <v>0.59</v>
      </c>
      <c r="M85" s="50">
        <f>VLOOKUP($A85,'Data shares'!$C:$FB,119)</f>
        <v>0.63</v>
      </c>
      <c r="N85" s="50">
        <f>VLOOKUP($A85,'Data shares'!$C:$FB,121)*100</f>
        <v>-6.35</v>
      </c>
      <c r="O85" s="50">
        <f>VLOOKUP($A85,'Data shares'!$C:$FB,124)</f>
        <v>0.65</v>
      </c>
      <c r="P85" s="50">
        <f>VLOOKUP($A85,'Data shares'!$C:$FB,125)</f>
        <v>0.56999999999999995</v>
      </c>
      <c r="Q85" s="50">
        <f>VLOOKUP($A85,'Data shares'!$C:$FB,127)*100</f>
        <v>14.04</v>
      </c>
    </row>
    <row r="86" spans="1:17" x14ac:dyDescent="0.25">
      <c r="A86" s="97" t="str">
        <f>'Snapshot (Value)'!A90</f>
        <v>HDFCLIFE</v>
      </c>
      <c r="B86" s="140">
        <f>VLOOKUP($A86,'Data shares'!$C:$FB,7)</f>
        <v>591.20000000000005</v>
      </c>
      <c r="C86" s="140">
        <f>VLOOKUP($A86,'Data shares'!$C:$FB,3)</f>
        <v>593.1</v>
      </c>
      <c r="D86" s="140">
        <f>VLOOKUP($A86,'Data shares'!$C:$FB,4)</f>
        <v>601.5</v>
      </c>
      <c r="E86" s="50">
        <f t="shared" si="3"/>
        <v>-1.3965087281795474</v>
      </c>
      <c r="F86" s="49">
        <f>VLOOKUP($A86,'Data shares'!$C:$FB,98)</f>
        <v>63847300</v>
      </c>
      <c r="G86" s="49">
        <f>VLOOKUP($A86,'Data shares'!$C:$FB,99)</f>
        <v>62775900</v>
      </c>
      <c r="H86" s="50">
        <f t="shared" si="4"/>
        <v>1.7067059173982373</v>
      </c>
      <c r="I86" s="49">
        <f>VLOOKUP($A86,'Data shares'!$C:$FB,66)</f>
        <v>18136800</v>
      </c>
      <c r="J86" s="49">
        <f>VLOOKUP($A86,'Data shares'!$C:$FB,67)</f>
        <v>23888700</v>
      </c>
      <c r="K86" s="50">
        <f t="shared" si="5"/>
        <v>-31.713973799126638</v>
      </c>
      <c r="L86" s="50">
        <f>VLOOKUP($A86,'Data shares'!$C:$FB,118)</f>
        <v>0.62</v>
      </c>
      <c r="M86" s="50">
        <f>VLOOKUP($A86,'Data shares'!$C:$FB,119)</f>
        <v>0.59</v>
      </c>
      <c r="N86" s="50">
        <f>VLOOKUP($A86,'Data shares'!$C:$FB,121)*100</f>
        <v>5.08</v>
      </c>
      <c r="O86" s="50">
        <f>VLOOKUP($A86,'Data shares'!$C:$FB,124)</f>
        <v>0.47</v>
      </c>
      <c r="P86" s="50">
        <f>VLOOKUP($A86,'Data shares'!$C:$FB,125)</f>
        <v>0.45</v>
      </c>
      <c r="Q86" s="50">
        <f>VLOOKUP($A86,'Data shares'!$C:$FB,127)*100</f>
        <v>4.4400000000000004</v>
      </c>
    </row>
    <row r="87" spans="1:17" x14ac:dyDescent="0.25">
      <c r="A87" s="97" t="str">
        <f>'Snapshot (Value)'!A91</f>
        <v>HEROMOTOCO</v>
      </c>
      <c r="B87" s="140">
        <f>VLOOKUP($A87,'Data shares'!$C:$FB,7)</f>
        <v>5284</v>
      </c>
      <c r="C87" s="140">
        <f>VLOOKUP($A87,'Data shares'!$C:$FB,3)</f>
        <v>5309.5</v>
      </c>
      <c r="D87" s="140">
        <f>VLOOKUP($A87,'Data shares'!$C:$FB,4)</f>
        <v>5314.5</v>
      </c>
      <c r="E87" s="50">
        <f t="shared" si="3"/>
        <v>-9.4082227867155893E-2</v>
      </c>
      <c r="F87" s="49">
        <f>VLOOKUP($A87,'Data shares'!$C:$FB,98)</f>
        <v>6208200</v>
      </c>
      <c r="G87" s="49">
        <f>VLOOKUP($A87,'Data shares'!$C:$FB,99)</f>
        <v>5958900</v>
      </c>
      <c r="H87" s="50">
        <f t="shared" si="4"/>
        <v>4.1836580576952125</v>
      </c>
      <c r="I87" s="49">
        <f>VLOOKUP($A87,'Data shares'!$C:$FB,66)</f>
        <v>3496050</v>
      </c>
      <c r="J87" s="49">
        <f>VLOOKUP($A87,'Data shares'!$C:$FB,67)</f>
        <v>4475100</v>
      </c>
      <c r="K87" s="50">
        <f t="shared" si="5"/>
        <v>-28.004462178744582</v>
      </c>
      <c r="L87" s="50">
        <f>VLOOKUP($A87,'Data shares'!$C:$FB,118)</f>
        <v>0.84</v>
      </c>
      <c r="M87" s="50">
        <f>VLOOKUP($A87,'Data shares'!$C:$FB,119)</f>
        <v>0.87</v>
      </c>
      <c r="N87" s="50">
        <f>VLOOKUP($A87,'Data shares'!$C:$FB,121)*100</f>
        <v>-3.45</v>
      </c>
      <c r="O87" s="50">
        <f>VLOOKUP($A87,'Data shares'!$C:$FB,124)</f>
        <v>0.56999999999999995</v>
      </c>
      <c r="P87" s="50">
        <f>VLOOKUP($A87,'Data shares'!$C:$FB,125)</f>
        <v>0.64</v>
      </c>
      <c r="Q87" s="50">
        <f>VLOOKUP($A87,'Data shares'!$C:$FB,127)*100</f>
        <v>-10.94</v>
      </c>
    </row>
    <row r="88" spans="1:17" x14ac:dyDescent="0.25">
      <c r="A88" s="97" t="str">
        <f>'Snapshot (Value)'!A92</f>
        <v>HINDALCO</v>
      </c>
      <c r="B88" s="140">
        <f>VLOOKUP($A88,'Data shares'!$C:$FB,7)</f>
        <v>985.65</v>
      </c>
      <c r="C88" s="140">
        <f>VLOOKUP($A88,'Data shares'!$C:$FB,3)</f>
        <v>988.35</v>
      </c>
      <c r="D88" s="140">
        <f>VLOOKUP($A88,'Data shares'!$C:$FB,4)</f>
        <v>955.75</v>
      </c>
      <c r="E88" s="50">
        <f t="shared" si="3"/>
        <v>3.4109338216060707</v>
      </c>
      <c r="F88" s="140">
        <f>VLOOKUP($A88,'Data shares'!$C:$FB,98)</f>
        <v>60574500</v>
      </c>
      <c r="G88" s="140">
        <f>VLOOKUP($A88,'Data shares'!$C:$FB,99)</f>
        <v>58565500</v>
      </c>
      <c r="H88" s="50">
        <f t="shared" si="4"/>
        <v>3.4303472180720731</v>
      </c>
      <c r="I88" s="49">
        <f>VLOOKUP($A88,'Data shares'!$C:$FB,66)</f>
        <v>73928400</v>
      </c>
      <c r="J88" s="49">
        <f>VLOOKUP($A88,'Data shares'!$C:$FB,67)</f>
        <v>48120800</v>
      </c>
      <c r="K88" s="50">
        <f t="shared" si="5"/>
        <v>34.908911866075826</v>
      </c>
      <c r="L88" s="50">
        <f>VLOOKUP($A88,'Data shares'!$C:$FB,118)</f>
        <v>0.72</v>
      </c>
      <c r="M88" s="50">
        <f>VLOOKUP($A88,'Data shares'!$C:$FB,119)</f>
        <v>0.62</v>
      </c>
      <c r="N88" s="50">
        <f>VLOOKUP($A88,'Data shares'!$C:$FB,121)*100</f>
        <v>16.13</v>
      </c>
      <c r="O88" s="50">
        <f>VLOOKUP($A88,'Data shares'!$C:$FB,124)</f>
        <v>0.43</v>
      </c>
      <c r="P88" s="50">
        <f>VLOOKUP($A88,'Data shares'!$C:$FB,125)</f>
        <v>0.67</v>
      </c>
      <c r="Q88" s="50">
        <f>VLOOKUP($A88,'Data shares'!$C:$FB,127)*100</f>
        <v>-35.82</v>
      </c>
    </row>
    <row r="89" spans="1:17" x14ac:dyDescent="0.25">
      <c r="A89" s="97" t="str">
        <f>'Snapshot (Value)'!A93</f>
        <v>HINDPETRO</v>
      </c>
      <c r="B89" s="140">
        <f>VLOOKUP($A89,'Data shares'!$C:$FB,7)</f>
        <v>358</v>
      </c>
      <c r="C89" s="140">
        <f>VLOOKUP($A89,'Data shares'!$C:$FB,3)</f>
        <v>358.85</v>
      </c>
      <c r="D89" s="140">
        <f>VLOOKUP($A89,'Data shares'!$C:$FB,4)</f>
        <v>364.95</v>
      </c>
      <c r="E89" s="50">
        <f t="shared" si="3"/>
        <v>-1.6714618440882221</v>
      </c>
      <c r="F89" s="49">
        <f>VLOOKUP($A89,'Data shares'!$C:$FB,98)</f>
        <v>77231475</v>
      </c>
      <c r="G89" s="49">
        <f>VLOOKUP($A89,'Data shares'!$C:$FB,99)</f>
        <v>76071150</v>
      </c>
      <c r="H89" s="50">
        <f t="shared" si="4"/>
        <v>1.5253154448171218</v>
      </c>
      <c r="I89" s="49">
        <f>VLOOKUP($A89,'Data shares'!$C:$FB,66)</f>
        <v>48336750</v>
      </c>
      <c r="J89" s="49">
        <f>VLOOKUP($A89,'Data shares'!$C:$FB,67)</f>
        <v>120963375</v>
      </c>
      <c r="K89" s="50">
        <f t="shared" si="5"/>
        <v>-150.25136154168413</v>
      </c>
      <c r="L89" s="50">
        <f>VLOOKUP($A89,'Data shares'!$C:$FB,118)</f>
        <v>0.89</v>
      </c>
      <c r="M89" s="50">
        <f>VLOOKUP($A89,'Data shares'!$C:$FB,119)</f>
        <v>0.9</v>
      </c>
      <c r="N89" s="50">
        <f>VLOOKUP($A89,'Data shares'!$C:$FB,121)*100</f>
        <v>-1.1100000000000001</v>
      </c>
      <c r="O89" s="50">
        <f>VLOOKUP($A89,'Data shares'!$C:$FB,124)</f>
        <v>0.66</v>
      </c>
      <c r="P89" s="50">
        <f>VLOOKUP($A89,'Data shares'!$C:$FB,125)</f>
        <v>0.52</v>
      </c>
      <c r="Q89" s="50">
        <f>VLOOKUP($A89,'Data shares'!$C:$FB,127)*100</f>
        <v>26.919999999999998</v>
      </c>
    </row>
    <row r="90" spans="1:17" x14ac:dyDescent="0.25">
      <c r="A90" s="97" t="str">
        <f>'Snapshot (Value)'!A94</f>
        <v>HINDUNILVR</v>
      </c>
      <c r="B90" s="140">
        <f>VLOOKUP($A90,'Data shares'!$C:$FB,7)</f>
        <v>2133.1999999999998</v>
      </c>
      <c r="C90" s="140">
        <f>VLOOKUP($A90,'Data shares'!$C:$FB,3)</f>
        <v>2143.3000000000002</v>
      </c>
      <c r="D90" s="140">
        <f>VLOOKUP($A90,'Data shares'!$C:$FB,4)</f>
        <v>2156.6999999999998</v>
      </c>
      <c r="E90" s="50">
        <f t="shared" si="3"/>
        <v>-0.62131960866136393</v>
      </c>
      <c r="F90" s="49">
        <f>VLOOKUP($A90,'Data shares'!$C:$FB,98)</f>
        <v>24760500</v>
      </c>
      <c r="G90" s="49">
        <f>VLOOKUP($A90,'Data shares'!$C:$FB,99)</f>
        <v>23981100</v>
      </c>
      <c r="H90" s="50">
        <f t="shared" si="4"/>
        <v>3.2500594217946635</v>
      </c>
      <c r="I90" s="49">
        <f>VLOOKUP($A90,'Data shares'!$C:$FB,66)</f>
        <v>9161100</v>
      </c>
      <c r="J90" s="49">
        <f>VLOOKUP($A90,'Data shares'!$C:$FB,67)</f>
        <v>19269000</v>
      </c>
      <c r="K90" s="50">
        <f t="shared" si="5"/>
        <v>-110.33500343845171</v>
      </c>
      <c r="L90" s="50">
        <f>VLOOKUP($A90,'Data shares'!$C:$FB,118)</f>
        <v>0.77</v>
      </c>
      <c r="M90" s="50">
        <f>VLOOKUP($A90,'Data shares'!$C:$FB,119)</f>
        <v>0.83</v>
      </c>
      <c r="N90" s="50">
        <f>VLOOKUP($A90,'Data shares'!$C:$FB,121)*100</f>
        <v>-7.23</v>
      </c>
      <c r="O90" s="50">
        <f>VLOOKUP($A90,'Data shares'!$C:$FB,124)</f>
        <v>0.53</v>
      </c>
      <c r="P90" s="50">
        <f>VLOOKUP($A90,'Data shares'!$C:$FB,125)</f>
        <v>0.77</v>
      </c>
      <c r="Q90" s="50">
        <f>VLOOKUP($A90,'Data shares'!$C:$FB,127)*100</f>
        <v>-31.169999999999998</v>
      </c>
    </row>
    <row r="91" spans="1:17" x14ac:dyDescent="0.25">
      <c r="A91" s="97" t="str">
        <f>'Snapshot (Value)'!A95</f>
        <v>HINDZINC</v>
      </c>
      <c r="B91" s="140">
        <f>VLOOKUP($A91,'Data shares'!$C:$FB,7)</f>
        <v>558.5</v>
      </c>
      <c r="C91" s="140">
        <f>VLOOKUP($A91,'Data shares'!$C:$FB,3)</f>
        <v>559.95000000000005</v>
      </c>
      <c r="D91" s="140">
        <f>VLOOKUP($A91,'Data shares'!$C:$FB,4)</f>
        <v>560.4</v>
      </c>
      <c r="E91" s="50">
        <f t="shared" si="3"/>
        <v>-8.0299785867225526E-2</v>
      </c>
      <c r="F91" s="49">
        <f>VLOOKUP($A91,'Data shares'!$C:$FB,98)</f>
        <v>66679200</v>
      </c>
      <c r="G91" s="49">
        <f>VLOOKUP($A91,'Data shares'!$C:$FB,99)</f>
        <v>66440325</v>
      </c>
      <c r="H91" s="50">
        <f t="shared" si="4"/>
        <v>0.35953316001991259</v>
      </c>
      <c r="I91" s="49">
        <f>VLOOKUP($A91,'Data shares'!$C:$FB,66)</f>
        <v>24304000</v>
      </c>
      <c r="J91" s="49">
        <f>VLOOKUP($A91,'Data shares'!$C:$FB,67)</f>
        <v>44951375</v>
      </c>
      <c r="K91" s="50">
        <f t="shared" si="5"/>
        <v>-84.954637096774192</v>
      </c>
      <c r="L91" s="50">
        <f>VLOOKUP($A91,'Data shares'!$C:$FB,118)</f>
        <v>0.82</v>
      </c>
      <c r="M91" s="50">
        <f>VLOOKUP($A91,'Data shares'!$C:$FB,119)</f>
        <v>0.81</v>
      </c>
      <c r="N91" s="50">
        <f>VLOOKUP($A91,'Data shares'!$C:$FB,121)*100</f>
        <v>1.23</v>
      </c>
      <c r="O91" s="50">
        <f>VLOOKUP($A91,'Data shares'!$C:$FB,124)</f>
        <v>0.66</v>
      </c>
      <c r="P91" s="50">
        <f>VLOOKUP($A91,'Data shares'!$C:$FB,125)</f>
        <v>0.57999999999999996</v>
      </c>
      <c r="Q91" s="50">
        <f>VLOOKUP($A91,'Data shares'!$C:$FB,127)*100</f>
        <v>13.79</v>
      </c>
    </row>
    <row r="92" spans="1:17" x14ac:dyDescent="0.25">
      <c r="A92" s="97" t="str">
        <f>'Snapshot (Value)'!A96</f>
        <v>HUDCO</v>
      </c>
      <c r="B92" s="140">
        <f>VLOOKUP($A92,'Data shares'!$C:$FB,7)</f>
        <v>181.93</v>
      </c>
      <c r="C92" s="140">
        <f>VLOOKUP($A92,'Data shares'!$C:$FB,3)</f>
        <v>182.64</v>
      </c>
      <c r="D92" s="140">
        <f>VLOOKUP($A92,'Data shares'!$C:$FB,4)</f>
        <v>183.19</v>
      </c>
      <c r="E92" s="50">
        <f t="shared" si="3"/>
        <v>-0.30023472896992814</v>
      </c>
      <c r="F92" s="49">
        <f>VLOOKUP($A92,'Data shares'!$C:$FB,98)</f>
        <v>43462050</v>
      </c>
      <c r="G92" s="49">
        <f>VLOOKUP($A92,'Data shares'!$C:$FB,99)</f>
        <v>42438075</v>
      </c>
      <c r="H92" s="50">
        <f t="shared" si="4"/>
        <v>2.4128686327077746</v>
      </c>
      <c r="I92" s="49">
        <f>VLOOKUP($A92,'Data shares'!$C:$FB,66)</f>
        <v>12312675</v>
      </c>
      <c r="J92" s="49">
        <f>VLOOKUP($A92,'Data shares'!$C:$FB,67)</f>
        <v>21495150</v>
      </c>
      <c r="K92" s="50">
        <f t="shared" si="5"/>
        <v>-74.577417173766065</v>
      </c>
      <c r="L92" s="50">
        <f>VLOOKUP($A92,'Data shares'!$C:$FB,118)</f>
        <v>0.84</v>
      </c>
      <c r="M92" s="50">
        <f>VLOOKUP($A92,'Data shares'!$C:$FB,119)</f>
        <v>0.85</v>
      </c>
      <c r="N92" s="50">
        <f>VLOOKUP($A92,'Data shares'!$C:$FB,121)*100</f>
        <v>-1.18</v>
      </c>
      <c r="O92" s="50">
        <f>VLOOKUP($A92,'Data shares'!$C:$FB,124)</f>
        <v>0.47</v>
      </c>
      <c r="P92" s="50">
        <f>VLOOKUP($A92,'Data shares'!$C:$FB,125)</f>
        <v>0.53</v>
      </c>
      <c r="Q92" s="50">
        <f>VLOOKUP($A92,'Data shares'!$C:$FB,127)*100</f>
        <v>-11.32</v>
      </c>
    </row>
    <row r="93" spans="1:17" x14ac:dyDescent="0.25">
      <c r="A93" s="97" t="str">
        <f>'Snapshot (Value)'!A97</f>
        <v>HYUNDAI</v>
      </c>
      <c r="B93" s="140">
        <f>VLOOKUP($A93,'Data shares'!$C:$FB,7)</f>
        <v>1768.3</v>
      </c>
      <c r="C93" s="140">
        <f>VLOOKUP($A93,'Data shares'!$C:$FB,3)</f>
        <v>1750.2</v>
      </c>
      <c r="D93" s="140">
        <f>VLOOKUP($A93,'Data shares'!$C:$FB,4)</f>
        <v>1767.2</v>
      </c>
      <c r="E93" s="50">
        <f t="shared" si="3"/>
        <v>-0.96197374377546396</v>
      </c>
      <c r="F93" s="49">
        <f>VLOOKUP($A93,'Data shares'!$C:$FB,98)</f>
        <v>6207300</v>
      </c>
      <c r="G93" s="49">
        <f>VLOOKUP($A93,'Data shares'!$C:$FB,99)</f>
        <v>5232150</v>
      </c>
      <c r="H93" s="50">
        <f t="shared" si="4"/>
        <v>18.637653736991485</v>
      </c>
      <c r="I93" s="49">
        <f>VLOOKUP($A93,'Data shares'!$C:$FB,66)</f>
        <v>4012250</v>
      </c>
      <c r="J93" s="49">
        <f>VLOOKUP($A93,'Data shares'!$C:$FB,67)</f>
        <v>4792975</v>
      </c>
      <c r="K93" s="50">
        <f t="shared" si="5"/>
        <v>-19.458533241946537</v>
      </c>
      <c r="L93" s="50">
        <f>VLOOKUP($A93,'Data shares'!$C:$FB,118)</f>
        <v>0.67</v>
      </c>
      <c r="M93" s="50">
        <f>VLOOKUP($A93,'Data shares'!$C:$FB,119)</f>
        <v>0.74</v>
      </c>
      <c r="N93" s="50">
        <f>VLOOKUP($A93,'Data shares'!$C:$FB,121)*100</f>
        <v>-9.4600000000000009</v>
      </c>
      <c r="O93" s="50">
        <f>VLOOKUP($A93,'Data shares'!$C:$FB,124)</f>
        <v>0.43</v>
      </c>
      <c r="P93" s="50">
        <f>VLOOKUP($A93,'Data shares'!$C:$FB,125)</f>
        <v>0.27</v>
      </c>
      <c r="Q93" s="50">
        <f>VLOOKUP($A93,'Data shares'!$C:$FB,127)*100</f>
        <v>59.260000000000005</v>
      </c>
    </row>
    <row r="94" spans="1:17" x14ac:dyDescent="0.25">
      <c r="A94" s="97" t="str">
        <f>'Snapshot (Value)'!A98</f>
        <v>ICICIBANK</v>
      </c>
      <c r="B94" s="140">
        <f>VLOOKUP($A94,'Data shares'!$C:$FB,7)</f>
        <v>1281.3</v>
      </c>
      <c r="C94" s="140">
        <f>VLOOKUP($A94,'Data shares'!$C:$FB,3)</f>
        <v>1286.9000000000001</v>
      </c>
      <c r="D94" s="140">
        <f>VLOOKUP($A94,'Data shares'!$C:$FB,4)</f>
        <v>1314.5</v>
      </c>
      <c r="E94" s="50">
        <f t="shared" si="3"/>
        <v>-2.0996576645112142</v>
      </c>
      <c r="F94" s="49">
        <f>VLOOKUP($A94,'Data shares'!$C:$FB,98)</f>
        <v>153115900</v>
      </c>
      <c r="G94" s="49">
        <f>VLOOKUP($A94,'Data shares'!$C:$FB,99)</f>
        <v>152256300</v>
      </c>
      <c r="H94" s="50">
        <f t="shared" si="4"/>
        <v>0.56457433945262037</v>
      </c>
      <c r="I94" s="49">
        <f>VLOOKUP($A94,'Data shares'!$C:$FB,66)</f>
        <v>55633900</v>
      </c>
      <c r="J94" s="49">
        <f>VLOOKUP($A94,'Data shares'!$C:$FB,67)</f>
        <v>77391300</v>
      </c>
      <c r="K94" s="50">
        <f t="shared" si="5"/>
        <v>-39.108169659146668</v>
      </c>
      <c r="L94" s="50">
        <f>VLOOKUP($A94,'Data shares'!$C:$FB,118)</f>
        <v>0.86</v>
      </c>
      <c r="M94" s="50">
        <f>VLOOKUP($A94,'Data shares'!$C:$FB,119)</f>
        <v>0.99</v>
      </c>
      <c r="N94" s="50">
        <f>VLOOKUP($A94,'Data shares'!$C:$FB,121)*100</f>
        <v>-13.13</v>
      </c>
      <c r="O94" s="50">
        <f>VLOOKUP($A94,'Data shares'!$C:$FB,124)</f>
        <v>0.92</v>
      </c>
      <c r="P94" s="50">
        <f>VLOOKUP($A94,'Data shares'!$C:$FB,125)</f>
        <v>0.77</v>
      </c>
      <c r="Q94" s="50">
        <f>VLOOKUP($A94,'Data shares'!$C:$FB,127)*100</f>
        <v>19.48</v>
      </c>
    </row>
    <row r="95" spans="1:17" x14ac:dyDescent="0.25">
      <c r="A95" s="97" t="str">
        <f>'Snapshot (Value)'!A99</f>
        <v>ICICIGI</v>
      </c>
      <c r="B95" s="140">
        <f>VLOOKUP($A95,'Data shares'!$C:$FB,7)</f>
        <v>1768.6</v>
      </c>
      <c r="C95" s="140">
        <f>VLOOKUP($A95,'Data shares'!$C:$FB,3)</f>
        <v>1777.5</v>
      </c>
      <c r="D95" s="140">
        <f>VLOOKUP($A95,'Data shares'!$C:$FB,4)</f>
        <v>1755.6</v>
      </c>
      <c r="E95" s="50">
        <f t="shared" si="3"/>
        <v>1.2474367737525685</v>
      </c>
      <c r="F95" s="49">
        <f>VLOOKUP($A95,'Data shares'!$C:$FB,98)</f>
        <v>6831500</v>
      </c>
      <c r="G95" s="49">
        <f>VLOOKUP($A95,'Data shares'!$C:$FB,99)</f>
        <v>6332300</v>
      </c>
      <c r="H95" s="50">
        <f t="shared" si="4"/>
        <v>7.8833915007185382</v>
      </c>
      <c r="I95" s="49">
        <f>VLOOKUP($A95,'Data shares'!$C:$FB,66)</f>
        <v>4401150</v>
      </c>
      <c r="J95" s="49">
        <f>VLOOKUP($A95,'Data shares'!$C:$FB,67)</f>
        <v>2274350</v>
      </c>
      <c r="K95" s="50">
        <f t="shared" si="5"/>
        <v>48.323733569635209</v>
      </c>
      <c r="L95" s="50">
        <f>VLOOKUP($A95,'Data shares'!$C:$FB,118)</f>
        <v>0.8</v>
      </c>
      <c r="M95" s="50">
        <f>VLOOKUP($A95,'Data shares'!$C:$FB,119)</f>
        <v>0.99</v>
      </c>
      <c r="N95" s="50">
        <f>VLOOKUP($A95,'Data shares'!$C:$FB,121)*100</f>
        <v>-19.189999999999998</v>
      </c>
      <c r="O95" s="50">
        <f>VLOOKUP($A95,'Data shares'!$C:$FB,124)</f>
        <v>0.82</v>
      </c>
      <c r="P95" s="50">
        <f>VLOOKUP($A95,'Data shares'!$C:$FB,125)</f>
        <v>0.76</v>
      </c>
      <c r="Q95" s="50">
        <f>VLOOKUP($A95,'Data shares'!$C:$FB,127)*100</f>
        <v>7.89</v>
      </c>
    </row>
    <row r="96" spans="1:17" x14ac:dyDescent="0.25">
      <c r="A96" s="97" t="str">
        <f>'Snapshot (Value)'!A100</f>
        <v>ICICIPRULI</v>
      </c>
      <c r="B96" s="140">
        <f>VLOOKUP($A96,'Data shares'!$C:$FB,7)</f>
        <v>541.95000000000005</v>
      </c>
      <c r="C96" s="140">
        <f>VLOOKUP($A96,'Data shares'!$C:$FB,3)</f>
        <v>544.65</v>
      </c>
      <c r="D96" s="140">
        <f>VLOOKUP($A96,'Data shares'!$C:$FB,4)</f>
        <v>543.20000000000005</v>
      </c>
      <c r="E96" s="50">
        <f t="shared" si="3"/>
        <v>0.26693667157583428</v>
      </c>
      <c r="F96" s="49">
        <f>VLOOKUP($A96,'Data shares'!$C:$FB,98)</f>
        <v>21885500</v>
      </c>
      <c r="G96" s="49">
        <f>VLOOKUP($A96,'Data shares'!$C:$FB,99)</f>
        <v>21582100</v>
      </c>
      <c r="H96" s="50">
        <f t="shared" si="4"/>
        <v>1.4057946168352478</v>
      </c>
      <c r="I96" s="49">
        <f>VLOOKUP($A96,'Data shares'!$C:$FB,66)</f>
        <v>6968025</v>
      </c>
      <c r="J96" s="49">
        <f>VLOOKUP($A96,'Data shares'!$C:$FB,67)</f>
        <v>3830425</v>
      </c>
      <c r="K96" s="50">
        <f t="shared" si="5"/>
        <v>45.028541085888754</v>
      </c>
      <c r="L96" s="50">
        <f>VLOOKUP($A96,'Data shares'!$C:$FB,118)</f>
        <v>0.92</v>
      </c>
      <c r="M96" s="50">
        <f>VLOOKUP($A96,'Data shares'!$C:$FB,119)</f>
        <v>0.98</v>
      </c>
      <c r="N96" s="50">
        <f>VLOOKUP($A96,'Data shares'!$C:$FB,121)*100</f>
        <v>-6.12</v>
      </c>
      <c r="O96" s="50">
        <f>VLOOKUP($A96,'Data shares'!$C:$FB,124)</f>
        <v>0.3</v>
      </c>
      <c r="P96" s="50">
        <f>VLOOKUP($A96,'Data shares'!$C:$FB,125)</f>
        <v>0.66</v>
      </c>
      <c r="Q96" s="50">
        <f>VLOOKUP($A96,'Data shares'!$C:$FB,127)*100</f>
        <v>-54.55</v>
      </c>
    </row>
    <row r="97" spans="1:17" x14ac:dyDescent="0.25">
      <c r="A97" s="97" t="str">
        <f>'Snapshot (Value)'!A101</f>
        <v>IDEA</v>
      </c>
      <c r="B97" s="140">
        <f>VLOOKUP($A97,'Data shares'!$C:$FB,7)</f>
        <v>9.1199999999999992</v>
      </c>
      <c r="C97" s="140">
        <f>VLOOKUP($A97,'Data shares'!$C:$FB,3)</f>
        <v>9.18</v>
      </c>
      <c r="D97" s="140">
        <f>VLOOKUP($A97,'Data shares'!$C:$FB,4)</f>
        <v>9.26</v>
      </c>
      <c r="E97" s="50">
        <f t="shared" si="3"/>
        <v>-0.86393088552915842</v>
      </c>
      <c r="F97" s="49">
        <f>VLOOKUP($A97,'Data shares'!$C:$FB,98)</f>
        <v>8734030575</v>
      </c>
      <c r="G97" s="49">
        <f>VLOOKUP($A97,'Data shares'!$C:$FB,99)</f>
        <v>8658481500</v>
      </c>
      <c r="H97" s="50">
        <f t="shared" si="4"/>
        <v>0.87254416377744759</v>
      </c>
      <c r="I97" s="49">
        <f>VLOOKUP($A97,'Data shares'!$C:$FB,66)</f>
        <v>1439435025</v>
      </c>
      <c r="J97" s="49">
        <f>VLOOKUP($A97,'Data shares'!$C:$FB,67)</f>
        <v>2676667275</v>
      </c>
      <c r="K97" s="50">
        <f t="shared" si="5"/>
        <v>-85.952629226873228</v>
      </c>
      <c r="L97" s="50">
        <f>VLOOKUP($A97,'Data shares'!$C:$FB,118)</f>
        <v>0.56000000000000005</v>
      </c>
      <c r="M97" s="50">
        <f>VLOOKUP($A97,'Data shares'!$C:$FB,119)</f>
        <v>0.57999999999999996</v>
      </c>
      <c r="N97" s="50">
        <f>VLOOKUP($A97,'Data shares'!$C:$FB,121)*100</f>
        <v>-3.45</v>
      </c>
      <c r="O97" s="50">
        <f>VLOOKUP($A97,'Data shares'!$C:$FB,124)</f>
        <v>0.32</v>
      </c>
      <c r="P97" s="50">
        <f>VLOOKUP($A97,'Data shares'!$C:$FB,125)</f>
        <v>0.36</v>
      </c>
      <c r="Q97" s="50">
        <f>VLOOKUP($A97,'Data shares'!$C:$FB,127)*100</f>
        <v>-11.110000000000001</v>
      </c>
    </row>
    <row r="98" spans="1:17" x14ac:dyDescent="0.25">
      <c r="A98" s="97" t="str">
        <f>'Snapshot (Value)'!A102</f>
        <v>IDFCFIRSTB</v>
      </c>
      <c r="B98" s="140">
        <f>VLOOKUP($A98,'Data shares'!$C:$FB,7)</f>
        <v>65.28</v>
      </c>
      <c r="C98" s="140">
        <f>VLOOKUP($A98,'Data shares'!$C:$FB,3)</f>
        <v>65.459999999999994</v>
      </c>
      <c r="D98" s="140">
        <f>VLOOKUP($A98,'Data shares'!$C:$FB,4)</f>
        <v>66.22</v>
      </c>
      <c r="E98" s="50">
        <f t="shared" si="3"/>
        <v>-1.147689519782551</v>
      </c>
      <c r="F98" s="49">
        <f>VLOOKUP($A98,'Data shares'!$C:$FB,98)</f>
        <v>624884575</v>
      </c>
      <c r="G98" s="49">
        <f>VLOOKUP($A98,'Data shares'!$C:$FB,99)</f>
        <v>616240275</v>
      </c>
      <c r="H98" s="50">
        <f t="shared" si="4"/>
        <v>1.4027483030056742</v>
      </c>
      <c r="I98" s="49">
        <f>VLOOKUP($A98,'Data shares'!$C:$FB,66)</f>
        <v>150755850</v>
      </c>
      <c r="J98" s="49">
        <f>VLOOKUP($A98,'Data shares'!$C:$FB,67)</f>
        <v>346912825</v>
      </c>
      <c r="K98" s="50">
        <f t="shared" si="5"/>
        <v>-130.11566383659408</v>
      </c>
      <c r="L98" s="50">
        <f>VLOOKUP($A98,'Data shares'!$C:$FB,118)</f>
        <v>0.84</v>
      </c>
      <c r="M98" s="50">
        <f>VLOOKUP($A98,'Data shares'!$C:$FB,119)</f>
        <v>0.85</v>
      </c>
      <c r="N98" s="50">
        <f>VLOOKUP($A98,'Data shares'!$C:$FB,121)*100</f>
        <v>-1.18</v>
      </c>
      <c r="O98" s="50">
        <f>VLOOKUP($A98,'Data shares'!$C:$FB,124)</f>
        <v>0.81</v>
      </c>
      <c r="P98" s="50">
        <f>VLOOKUP($A98,'Data shares'!$C:$FB,125)</f>
        <v>0.76</v>
      </c>
      <c r="Q98" s="50">
        <f>VLOOKUP($A98,'Data shares'!$C:$FB,127)*100</f>
        <v>6.58</v>
      </c>
    </row>
    <row r="99" spans="1:17" x14ac:dyDescent="0.25">
      <c r="A99" s="97" t="str">
        <f>'Snapshot (Value)'!A103</f>
        <v>IEX</v>
      </c>
      <c r="B99" s="140">
        <f>VLOOKUP($A99,'Data shares'!$C:$FB,7)</f>
        <v>129.69</v>
      </c>
      <c r="C99" s="140">
        <f>VLOOKUP($A99,'Data shares'!$C:$FB,3)</f>
        <v>130.15</v>
      </c>
      <c r="D99" s="140">
        <f>VLOOKUP($A99,'Data shares'!$C:$FB,4)</f>
        <v>129.99</v>
      </c>
      <c r="E99" s="50">
        <f t="shared" si="3"/>
        <v>0.12308639126086358</v>
      </c>
      <c r="F99" s="49">
        <f>VLOOKUP($A99,'Data shares'!$C:$FB,98)</f>
        <v>133785000</v>
      </c>
      <c r="G99" s="49">
        <f>VLOOKUP($A99,'Data shares'!$C:$FB,99)</f>
        <v>133781250</v>
      </c>
      <c r="H99" s="50">
        <f t="shared" si="4"/>
        <v>2.8030833917309043E-3</v>
      </c>
      <c r="I99" s="49">
        <f>VLOOKUP($A99,'Data shares'!$C:$FB,66)</f>
        <v>42483750</v>
      </c>
      <c r="J99" s="49">
        <f>VLOOKUP($A99,'Data shares'!$C:$FB,67)</f>
        <v>82406250</v>
      </c>
      <c r="K99" s="50">
        <f t="shared" si="5"/>
        <v>-93.971224291640922</v>
      </c>
      <c r="L99" s="50">
        <f>VLOOKUP($A99,'Data shares'!$C:$FB,118)</f>
        <v>0.67</v>
      </c>
      <c r="M99" s="50">
        <f>VLOOKUP($A99,'Data shares'!$C:$FB,119)</f>
        <v>0.67</v>
      </c>
      <c r="N99" s="50">
        <f>VLOOKUP($A99,'Data shares'!$C:$FB,121)*100</f>
        <v>0</v>
      </c>
      <c r="O99" s="50">
        <f>VLOOKUP($A99,'Data shares'!$C:$FB,124)</f>
        <v>0.41</v>
      </c>
      <c r="P99" s="50">
        <f>VLOOKUP($A99,'Data shares'!$C:$FB,125)</f>
        <v>0.71</v>
      </c>
      <c r="Q99" s="50">
        <f>VLOOKUP($A99,'Data shares'!$C:$FB,127)*100</f>
        <v>-42.25</v>
      </c>
    </row>
    <row r="100" spans="1:17" x14ac:dyDescent="0.25">
      <c r="A100" s="97" t="str">
        <f>'Snapshot (Value)'!A104</f>
        <v>INDHOTEL</v>
      </c>
      <c r="B100" s="140">
        <f>VLOOKUP($A100,'Data shares'!$C:$FB,7)</f>
        <v>629.1</v>
      </c>
      <c r="C100" s="140">
        <f>VLOOKUP($A100,'Data shares'!$C:$FB,3)</f>
        <v>630.79999999999995</v>
      </c>
      <c r="D100" s="140">
        <f>VLOOKUP($A100,'Data shares'!$C:$FB,4)</f>
        <v>639.4</v>
      </c>
      <c r="E100" s="50">
        <f t="shared" si="3"/>
        <v>-1.3450109477635319</v>
      </c>
      <c r="F100" s="49">
        <f>VLOOKUP($A100,'Data shares'!$C:$FB,98)</f>
        <v>32257000</v>
      </c>
      <c r="G100" s="49">
        <f>VLOOKUP($A100,'Data shares'!$C:$FB,99)</f>
        <v>31911000</v>
      </c>
      <c r="H100" s="50">
        <f t="shared" si="4"/>
        <v>1.0842656137382094</v>
      </c>
      <c r="I100" s="49">
        <f>VLOOKUP($A100,'Data shares'!$C:$FB,66)</f>
        <v>13478000</v>
      </c>
      <c r="J100" s="49">
        <f>VLOOKUP($A100,'Data shares'!$C:$FB,67)</f>
        <v>18286000</v>
      </c>
      <c r="K100" s="50">
        <f t="shared" si="5"/>
        <v>-35.672948508680811</v>
      </c>
      <c r="L100" s="50">
        <f>VLOOKUP($A100,'Data shares'!$C:$FB,118)</f>
        <v>1.04</v>
      </c>
      <c r="M100" s="50">
        <f>VLOOKUP($A100,'Data shares'!$C:$FB,119)</f>
        <v>0.99</v>
      </c>
      <c r="N100" s="50">
        <f>VLOOKUP($A100,'Data shares'!$C:$FB,121)*100</f>
        <v>5.0500000000000007</v>
      </c>
      <c r="O100" s="50">
        <f>VLOOKUP($A100,'Data shares'!$C:$FB,124)</f>
        <v>0.84</v>
      </c>
      <c r="P100" s="50">
        <f>VLOOKUP($A100,'Data shares'!$C:$FB,125)</f>
        <v>0.7</v>
      </c>
      <c r="Q100" s="50">
        <f>VLOOKUP($A100,'Data shares'!$C:$FB,127)*100</f>
        <v>20</v>
      </c>
    </row>
    <row r="101" spans="1:17" x14ac:dyDescent="0.25">
      <c r="A101" s="97" t="str">
        <f>'Snapshot (Value)'!A105</f>
        <v>INDIANB</v>
      </c>
      <c r="B101" s="140">
        <f>VLOOKUP($A101,'Data shares'!$C:$FB,7)</f>
        <v>941.85</v>
      </c>
      <c r="C101" s="140">
        <f>VLOOKUP($A101,'Data shares'!$C:$FB,3)</f>
        <v>946.05</v>
      </c>
      <c r="D101" s="140">
        <f>VLOOKUP($A101,'Data shares'!$C:$FB,4)</f>
        <v>960.8</v>
      </c>
      <c r="E101" s="50">
        <f t="shared" si="3"/>
        <v>-1.535179017485429</v>
      </c>
      <c r="F101" s="49">
        <f>VLOOKUP($A101,'Data shares'!$C:$FB,98)</f>
        <v>14923000</v>
      </c>
      <c r="G101" s="49">
        <f>VLOOKUP($A101,'Data shares'!$C:$FB,99)</f>
        <v>14759000</v>
      </c>
      <c r="H101" s="50">
        <f t="shared" si="4"/>
        <v>1.1111863947421912</v>
      </c>
      <c r="I101" s="49">
        <f>VLOOKUP($A101,'Data shares'!$C:$FB,66)</f>
        <v>11502000</v>
      </c>
      <c r="J101" s="49">
        <f>VLOOKUP($A101,'Data shares'!$C:$FB,67)</f>
        <v>13375000</v>
      </c>
      <c r="K101" s="50">
        <f t="shared" si="5"/>
        <v>-16.284124500086943</v>
      </c>
      <c r="L101" s="50">
        <f>VLOOKUP($A101,'Data shares'!$C:$FB,118)</f>
        <v>0.75</v>
      </c>
      <c r="M101" s="50">
        <f>VLOOKUP($A101,'Data shares'!$C:$FB,119)</f>
        <v>0.83</v>
      </c>
      <c r="N101" s="50">
        <f>VLOOKUP($A101,'Data shares'!$C:$FB,121)*100</f>
        <v>-9.64</v>
      </c>
      <c r="O101" s="50">
        <f>VLOOKUP($A101,'Data shares'!$C:$FB,124)</f>
        <v>0.67</v>
      </c>
      <c r="P101" s="50">
        <f>VLOOKUP($A101,'Data shares'!$C:$FB,125)</f>
        <v>0.46</v>
      </c>
      <c r="Q101" s="50">
        <f>VLOOKUP($A101,'Data shares'!$C:$FB,127)*100</f>
        <v>45.65</v>
      </c>
    </row>
    <row r="102" spans="1:17" x14ac:dyDescent="0.25">
      <c r="A102" s="97" t="str">
        <f>'Snapshot (Value)'!A106</f>
        <v>INDIAVIX</v>
      </c>
      <c r="B102" s="140">
        <f>VLOOKUP($A102,'Data shares'!$C:$FB,7)</f>
        <v>20.43</v>
      </c>
      <c r="C102" s="140">
        <f>VLOOKUP($A102,'Data shares'!$C:$FB,3)</f>
        <v>20.43</v>
      </c>
      <c r="D102" s="140">
        <f>VLOOKUP($A102,'Data shares'!$C:$FB,4)</f>
        <v>19.7</v>
      </c>
      <c r="E102" s="50">
        <f t="shared" si="3"/>
        <v>3.7055837563451801</v>
      </c>
      <c r="F102" s="49">
        <f>VLOOKUP($A102,'Data shares'!$C:$FB,98)</f>
        <v>0</v>
      </c>
      <c r="G102" s="49">
        <f>VLOOKUP($A102,'Data shares'!$C:$FB,99)</f>
        <v>0</v>
      </c>
      <c r="H102" s="50" t="e">
        <f t="shared" si="4"/>
        <v>#DIV/0!</v>
      </c>
      <c r="I102" s="49">
        <f>VLOOKUP($A102,'Data shares'!$C:$FB,66)</f>
        <v>0</v>
      </c>
      <c r="J102" s="49">
        <f>VLOOKUP($A102,'Data shares'!$C:$FB,67)</f>
        <v>0</v>
      </c>
      <c r="K102" s="50" t="e">
        <f t="shared" si="5"/>
        <v>#DIV/0!</v>
      </c>
      <c r="L102" s="50">
        <f>VLOOKUP($A102,'Data shares'!$C:$FB,118)</f>
        <v>0</v>
      </c>
      <c r="M102" s="50">
        <f>VLOOKUP($A102,'Data shares'!$C:$FB,119)</f>
        <v>0</v>
      </c>
      <c r="N102" s="50">
        <f>VLOOKUP($A102,'Data shares'!$C:$FB,121)*100</f>
        <v>0</v>
      </c>
      <c r="O102" s="50">
        <f>VLOOKUP($A102,'Data shares'!$C:$FB,124)</f>
        <v>0</v>
      </c>
      <c r="P102" s="50">
        <f>VLOOKUP($A102,'Data shares'!$C:$FB,125)</f>
        <v>0</v>
      </c>
      <c r="Q102" s="50">
        <f>VLOOKUP($A102,'Data shares'!$C:$FB,127)*100</f>
        <v>0</v>
      </c>
    </row>
    <row r="103" spans="1:17" x14ac:dyDescent="0.25">
      <c r="A103" s="97" t="str">
        <f>'Snapshot (Value)'!A107</f>
        <v>INDIGO</v>
      </c>
      <c r="B103" s="140">
        <f>VLOOKUP($A103,'Data shares'!$C:$FB,7)</f>
        <v>4449.1000000000004</v>
      </c>
      <c r="C103" s="140">
        <f>VLOOKUP($A103,'Data shares'!$C:$FB,3)</f>
        <v>4470.6000000000004</v>
      </c>
      <c r="D103" s="140">
        <f>VLOOKUP($A103,'Data shares'!$C:$FB,4)</f>
        <v>4624.8</v>
      </c>
      <c r="E103" s="50">
        <f t="shared" si="3"/>
        <v>-3.3341982355993736</v>
      </c>
      <c r="F103" s="49">
        <f>VLOOKUP($A103,'Data shares'!$C:$FB,98)</f>
        <v>16625550</v>
      </c>
      <c r="G103" s="49">
        <f>VLOOKUP($A103,'Data shares'!$C:$FB,99)</f>
        <v>14977950</v>
      </c>
      <c r="H103" s="50">
        <f t="shared" si="4"/>
        <v>11.000170250267892</v>
      </c>
      <c r="I103" s="49">
        <f>VLOOKUP($A103,'Data shares'!$C:$FB,66)</f>
        <v>16862250</v>
      </c>
      <c r="J103" s="49">
        <f>VLOOKUP($A103,'Data shares'!$C:$FB,67)</f>
        <v>35386200</v>
      </c>
      <c r="K103" s="50">
        <f t="shared" si="5"/>
        <v>-109.85455677623092</v>
      </c>
      <c r="L103" s="50">
        <f>VLOOKUP($A103,'Data shares'!$C:$FB,118)</f>
        <v>0.57999999999999996</v>
      </c>
      <c r="M103" s="50">
        <f>VLOOKUP($A103,'Data shares'!$C:$FB,119)</f>
        <v>0.63</v>
      </c>
      <c r="N103" s="50">
        <f>VLOOKUP($A103,'Data shares'!$C:$FB,121)*100</f>
        <v>-7.9399999999999995</v>
      </c>
      <c r="O103" s="50">
        <f>VLOOKUP($A103,'Data shares'!$C:$FB,124)</f>
        <v>0.74</v>
      </c>
      <c r="P103" s="50">
        <f>VLOOKUP($A103,'Data shares'!$C:$FB,125)</f>
        <v>0.55000000000000004</v>
      </c>
      <c r="Q103" s="50">
        <f>VLOOKUP($A103,'Data shares'!$C:$FB,127)*100</f>
        <v>34.549999999999997</v>
      </c>
    </row>
    <row r="104" spans="1:17" x14ac:dyDescent="0.25">
      <c r="A104" s="97" t="str">
        <f>'Snapshot (Value)'!A108</f>
        <v>INDUSINDBK</v>
      </c>
      <c r="B104" s="140">
        <f>VLOOKUP($A104,'Data shares'!$C:$FB,7)</f>
        <v>814.55</v>
      </c>
      <c r="C104" s="140">
        <f>VLOOKUP($A104,'Data shares'!$C:$FB,3)</f>
        <v>817.25</v>
      </c>
      <c r="D104" s="140">
        <f>VLOOKUP($A104,'Data shares'!$C:$FB,4)</f>
        <v>837.15</v>
      </c>
      <c r="E104" s="50">
        <f t="shared" si="3"/>
        <v>-2.3771128232694236</v>
      </c>
      <c r="F104" s="49">
        <f>VLOOKUP($A104,'Data shares'!$C:$FB,98)</f>
        <v>50598800</v>
      </c>
      <c r="G104" s="49">
        <f>VLOOKUP($A104,'Data shares'!$C:$FB,99)</f>
        <v>50089200</v>
      </c>
      <c r="H104" s="50">
        <f t="shared" si="4"/>
        <v>1.0173849851864274</v>
      </c>
      <c r="I104" s="49">
        <f>VLOOKUP($A104,'Data shares'!$C:$FB,66)</f>
        <v>17656100</v>
      </c>
      <c r="J104" s="49">
        <f>VLOOKUP($A104,'Data shares'!$C:$FB,67)</f>
        <v>23842000</v>
      </c>
      <c r="K104" s="50">
        <f t="shared" si="5"/>
        <v>-35.035483487293348</v>
      </c>
      <c r="L104" s="50">
        <f>VLOOKUP($A104,'Data shares'!$C:$FB,118)</f>
        <v>1.05</v>
      </c>
      <c r="M104" s="50">
        <f>VLOOKUP($A104,'Data shares'!$C:$FB,119)</f>
        <v>1.03</v>
      </c>
      <c r="N104" s="50">
        <f>VLOOKUP($A104,'Data shares'!$C:$FB,121)*100</f>
        <v>1.94</v>
      </c>
      <c r="O104" s="50">
        <f>VLOOKUP($A104,'Data shares'!$C:$FB,124)</f>
        <v>0.71</v>
      </c>
      <c r="P104" s="50">
        <f>VLOOKUP($A104,'Data shares'!$C:$FB,125)</f>
        <v>0.82</v>
      </c>
      <c r="Q104" s="50">
        <f>VLOOKUP($A104,'Data shares'!$C:$FB,127)*100</f>
        <v>-13.41</v>
      </c>
    </row>
    <row r="105" spans="1:17" x14ac:dyDescent="0.25">
      <c r="A105" s="97" t="str">
        <f>'Snapshot (Value)'!A109</f>
        <v>INDUSTOWER</v>
      </c>
      <c r="B105" s="140">
        <f>VLOOKUP($A105,'Data shares'!$C:$FB,7)</f>
        <v>438.45</v>
      </c>
      <c r="C105" s="140">
        <f>VLOOKUP($A105,'Data shares'!$C:$FB,3)</f>
        <v>439.7</v>
      </c>
      <c r="D105" s="140">
        <f>VLOOKUP($A105,'Data shares'!$C:$FB,4)</f>
        <v>442.65</v>
      </c>
      <c r="E105" s="50">
        <f t="shared" si="3"/>
        <v>-0.66644075454647889</v>
      </c>
      <c r="F105" s="49">
        <f>VLOOKUP($A105,'Data shares'!$C:$FB,98)</f>
        <v>86795200</v>
      </c>
      <c r="G105" s="49">
        <f>VLOOKUP($A105,'Data shares'!$C:$FB,99)</f>
        <v>82455100</v>
      </c>
      <c r="H105" s="50">
        <f t="shared" si="4"/>
        <v>5.2635919427664266</v>
      </c>
      <c r="I105" s="49">
        <f>VLOOKUP($A105,'Data shares'!$C:$FB,66)</f>
        <v>35326000</v>
      </c>
      <c r="J105" s="49">
        <f>VLOOKUP($A105,'Data shares'!$C:$FB,67)</f>
        <v>51647700</v>
      </c>
      <c r="K105" s="50">
        <f t="shared" si="5"/>
        <v>-46.203079884504334</v>
      </c>
      <c r="L105" s="50">
        <f>VLOOKUP($A105,'Data shares'!$C:$FB,118)</f>
        <v>0.7</v>
      </c>
      <c r="M105" s="50">
        <f>VLOOKUP($A105,'Data shares'!$C:$FB,119)</f>
        <v>0.9</v>
      </c>
      <c r="N105" s="50">
        <f>VLOOKUP($A105,'Data shares'!$C:$FB,121)*100</f>
        <v>-22.220000000000002</v>
      </c>
      <c r="O105" s="50">
        <f>VLOOKUP($A105,'Data shares'!$C:$FB,124)</f>
        <v>0.38</v>
      </c>
      <c r="P105" s="50">
        <f>VLOOKUP($A105,'Data shares'!$C:$FB,125)</f>
        <v>0.44</v>
      </c>
      <c r="Q105" s="50">
        <f>VLOOKUP($A105,'Data shares'!$C:$FB,127)*100</f>
        <v>-13.639999999999999</v>
      </c>
    </row>
    <row r="106" spans="1:17" x14ac:dyDescent="0.25">
      <c r="A106" s="97" t="str">
        <f>'Snapshot (Value)'!A110</f>
        <v>INFY</v>
      </c>
      <c r="B106" s="140">
        <f>VLOOKUP($A106,'Data shares'!$C:$FB,7)</f>
        <v>1331.6</v>
      </c>
      <c r="C106" s="140">
        <f>VLOOKUP($A106,'Data shares'!$C:$FB,3)</f>
        <v>1332.5</v>
      </c>
      <c r="D106" s="140">
        <f>VLOOKUP($A106,'Data shares'!$C:$FB,4)</f>
        <v>1344</v>
      </c>
      <c r="E106" s="50">
        <f t="shared" si="3"/>
        <v>-0.85565476190476197</v>
      </c>
      <c r="F106" s="49">
        <f>VLOOKUP($A106,'Data shares'!$C:$FB,98)</f>
        <v>113833200</v>
      </c>
      <c r="G106" s="49">
        <f>VLOOKUP($A106,'Data shares'!$C:$FB,99)</f>
        <v>112004800</v>
      </c>
      <c r="H106" s="50">
        <f t="shared" si="4"/>
        <v>1.6324300387126265</v>
      </c>
      <c r="I106" s="49">
        <f>VLOOKUP($A106,'Data shares'!$C:$FB,66)</f>
        <v>49219200</v>
      </c>
      <c r="J106" s="49">
        <f>VLOOKUP($A106,'Data shares'!$C:$FB,67)</f>
        <v>58544800</v>
      </c>
      <c r="K106" s="50">
        <f t="shared" si="5"/>
        <v>-18.947077563227356</v>
      </c>
      <c r="L106" s="50">
        <f>VLOOKUP($A106,'Data shares'!$C:$FB,118)</f>
        <v>0.76</v>
      </c>
      <c r="M106" s="50">
        <f>VLOOKUP($A106,'Data shares'!$C:$FB,119)</f>
        <v>0.8</v>
      </c>
      <c r="N106" s="50">
        <f>VLOOKUP($A106,'Data shares'!$C:$FB,121)*100</f>
        <v>-5</v>
      </c>
      <c r="O106" s="50">
        <f>VLOOKUP($A106,'Data shares'!$C:$FB,124)</f>
        <v>0.53</v>
      </c>
      <c r="P106" s="50">
        <f>VLOOKUP($A106,'Data shares'!$C:$FB,125)</f>
        <v>0.47</v>
      </c>
      <c r="Q106" s="50">
        <f>VLOOKUP($A106,'Data shares'!$C:$FB,127)*100</f>
        <v>12.770000000000001</v>
      </c>
    </row>
    <row r="107" spans="1:17" x14ac:dyDescent="0.25">
      <c r="A107" s="97" t="str">
        <f>'Snapshot (Value)'!A111</f>
        <v>INOXWIND</v>
      </c>
      <c r="B107" s="140">
        <f>VLOOKUP($A107,'Data shares'!$C:$FB,7)</f>
        <v>85.39</v>
      </c>
      <c r="C107" s="140">
        <f>VLOOKUP($A107,'Data shares'!$C:$FB,3)</f>
        <v>85.73</v>
      </c>
      <c r="D107" s="140">
        <f>VLOOKUP($A107,'Data shares'!$C:$FB,4)</f>
        <v>86.96</v>
      </c>
      <c r="E107" s="50">
        <f t="shared" si="3"/>
        <v>-1.4144434222630979</v>
      </c>
      <c r="F107" s="49">
        <f>VLOOKUP($A107,'Data shares'!$C:$FB,98)</f>
        <v>138434725</v>
      </c>
      <c r="G107" s="49">
        <f>VLOOKUP($A107,'Data shares'!$C:$FB,99)</f>
        <v>136464900</v>
      </c>
      <c r="H107" s="50">
        <f t="shared" si="4"/>
        <v>1.4434664151734256</v>
      </c>
      <c r="I107" s="49">
        <f>VLOOKUP($A107,'Data shares'!$C:$FB,66)</f>
        <v>23959650</v>
      </c>
      <c r="J107" s="49">
        <f>VLOOKUP($A107,'Data shares'!$C:$FB,67)</f>
        <v>44748275</v>
      </c>
      <c r="K107" s="50">
        <f t="shared" si="5"/>
        <v>-86.765144732915545</v>
      </c>
      <c r="L107" s="50">
        <f>VLOOKUP($A107,'Data shares'!$C:$FB,118)</f>
        <v>1.08</v>
      </c>
      <c r="M107" s="50">
        <f>VLOOKUP($A107,'Data shares'!$C:$FB,119)</f>
        <v>1.1200000000000001</v>
      </c>
      <c r="N107" s="50">
        <f>VLOOKUP($A107,'Data shares'!$C:$FB,121)*100</f>
        <v>-3.5700000000000003</v>
      </c>
      <c r="O107" s="50">
        <f>VLOOKUP($A107,'Data shares'!$C:$FB,124)</f>
        <v>0.48</v>
      </c>
      <c r="P107" s="50">
        <f>VLOOKUP($A107,'Data shares'!$C:$FB,125)</f>
        <v>0.5</v>
      </c>
      <c r="Q107" s="50">
        <f>VLOOKUP($A107,'Data shares'!$C:$FB,127)*100</f>
        <v>-4</v>
      </c>
    </row>
    <row r="108" spans="1:17" x14ac:dyDescent="0.25">
      <c r="A108" s="97" t="str">
        <f>'Snapshot (Value)'!A112</f>
        <v>IOC</v>
      </c>
      <c r="B108" s="140">
        <f>VLOOKUP($A108,'Data shares'!$C:$FB,7)</f>
        <v>141.66999999999999</v>
      </c>
      <c r="C108" s="140">
        <f>VLOOKUP($A108,'Data shares'!$C:$FB,3)</f>
        <v>141.91999999999999</v>
      </c>
      <c r="D108" s="140">
        <f>VLOOKUP($A108,'Data shares'!$C:$FB,4)</f>
        <v>143.63</v>
      </c>
      <c r="E108" s="50">
        <f t="shared" si="3"/>
        <v>-1.1905590754020803</v>
      </c>
      <c r="F108" s="49">
        <f>VLOOKUP($A108,'Data shares'!$C:$FB,98)</f>
        <v>213573750</v>
      </c>
      <c r="G108" s="49">
        <f>VLOOKUP($A108,'Data shares'!$C:$FB,99)</f>
        <v>209873625</v>
      </c>
      <c r="H108" s="50">
        <f t="shared" si="4"/>
        <v>1.7630252491231329</v>
      </c>
      <c r="I108" s="49">
        <f>VLOOKUP($A108,'Data shares'!$C:$FB,66)</f>
        <v>86355750</v>
      </c>
      <c r="J108" s="49">
        <f>VLOOKUP($A108,'Data shares'!$C:$FB,67)</f>
        <v>257448750</v>
      </c>
      <c r="K108" s="50">
        <f t="shared" si="5"/>
        <v>-198.12577622219715</v>
      </c>
      <c r="L108" s="50">
        <f>VLOOKUP($A108,'Data shares'!$C:$FB,118)</f>
        <v>0.69</v>
      </c>
      <c r="M108" s="50">
        <f>VLOOKUP($A108,'Data shares'!$C:$FB,119)</f>
        <v>0.62</v>
      </c>
      <c r="N108" s="50">
        <f>VLOOKUP($A108,'Data shares'!$C:$FB,121)*100</f>
        <v>11.29</v>
      </c>
      <c r="O108" s="50">
        <f>VLOOKUP($A108,'Data shares'!$C:$FB,124)</f>
        <v>0.66</v>
      </c>
      <c r="P108" s="50">
        <f>VLOOKUP($A108,'Data shares'!$C:$FB,125)</f>
        <v>0.37</v>
      </c>
      <c r="Q108" s="50">
        <f>VLOOKUP($A108,'Data shares'!$C:$FB,127)*100</f>
        <v>78.38000000000001</v>
      </c>
    </row>
    <row r="109" spans="1:17" x14ac:dyDescent="0.25">
      <c r="A109" s="97" t="str">
        <f>'Snapshot (Value)'!A113</f>
        <v>IREDA</v>
      </c>
      <c r="B109" s="140">
        <f>VLOOKUP($A109,'Data shares'!$C:$FB,7)</f>
        <v>123.13</v>
      </c>
      <c r="C109" s="140">
        <f>VLOOKUP($A109,'Data shares'!$C:$FB,3)</f>
        <v>122.71</v>
      </c>
      <c r="D109" s="140">
        <f>VLOOKUP($A109,'Data shares'!$C:$FB,4)</f>
        <v>122.68</v>
      </c>
      <c r="E109" s="50">
        <f t="shared" si="3"/>
        <v>2.4453863710455593E-2</v>
      </c>
      <c r="F109" s="49">
        <f>VLOOKUP($A109,'Data shares'!$C:$FB,98)</f>
        <v>81223350</v>
      </c>
      <c r="G109" s="49">
        <f>VLOOKUP($A109,'Data shares'!$C:$FB,99)</f>
        <v>79436250</v>
      </c>
      <c r="H109" s="50">
        <f t="shared" si="4"/>
        <v>2.2497285559174811</v>
      </c>
      <c r="I109" s="49">
        <f>VLOOKUP($A109,'Data shares'!$C:$FB,66)</f>
        <v>31639950</v>
      </c>
      <c r="J109" s="49">
        <f>VLOOKUP($A109,'Data shares'!$C:$FB,67)</f>
        <v>52484850</v>
      </c>
      <c r="K109" s="50">
        <f t="shared" si="5"/>
        <v>-65.881583251553806</v>
      </c>
      <c r="L109" s="50">
        <f>VLOOKUP($A109,'Data shares'!$C:$FB,118)</f>
        <v>0.91</v>
      </c>
      <c r="M109" s="50">
        <f>VLOOKUP($A109,'Data shares'!$C:$FB,119)</f>
        <v>0.91</v>
      </c>
      <c r="N109" s="50">
        <f>VLOOKUP($A109,'Data shares'!$C:$FB,121)*100</f>
        <v>0</v>
      </c>
      <c r="O109" s="50">
        <f>VLOOKUP($A109,'Data shares'!$C:$FB,124)</f>
        <v>0.45</v>
      </c>
      <c r="P109" s="50">
        <f>VLOOKUP($A109,'Data shares'!$C:$FB,125)</f>
        <v>0.43</v>
      </c>
      <c r="Q109" s="50">
        <f>VLOOKUP($A109,'Data shares'!$C:$FB,127)*100</f>
        <v>4.6500000000000004</v>
      </c>
    </row>
    <row r="110" spans="1:17" x14ac:dyDescent="0.25">
      <c r="A110" s="97" t="str">
        <f>'Snapshot (Value)'!A114</f>
        <v>IRFC</v>
      </c>
      <c r="B110" s="140">
        <f>VLOOKUP($A110,'Data shares'!$C:$FB,7)</f>
        <v>98.49</v>
      </c>
      <c r="C110" s="140">
        <f>VLOOKUP($A110,'Data shares'!$C:$FB,3)</f>
        <v>98.53</v>
      </c>
      <c r="D110" s="140">
        <f>VLOOKUP($A110,'Data shares'!$C:$FB,4)</f>
        <v>99.13</v>
      </c>
      <c r="E110" s="50">
        <f t="shared" si="3"/>
        <v>-0.60526581256934764</v>
      </c>
      <c r="F110" s="49">
        <f>VLOOKUP($A110,'Data shares'!$C:$FB,98)</f>
        <v>112110750</v>
      </c>
      <c r="G110" s="49">
        <f>VLOOKUP($A110,'Data shares'!$C:$FB,99)</f>
        <v>112625000</v>
      </c>
      <c r="H110" s="50">
        <f t="shared" si="4"/>
        <v>-0.45660377358490561</v>
      </c>
      <c r="I110" s="49">
        <f>VLOOKUP($A110,'Data shares'!$C:$FB,66)</f>
        <v>49844000</v>
      </c>
      <c r="J110" s="49">
        <f>VLOOKUP($A110,'Data shares'!$C:$FB,67)</f>
        <v>106160750</v>
      </c>
      <c r="K110" s="50">
        <f t="shared" si="5"/>
        <v>-112.98601637107777</v>
      </c>
      <c r="L110" s="50">
        <f>VLOOKUP($A110,'Data shares'!$C:$FB,118)</f>
        <v>0.74</v>
      </c>
      <c r="M110" s="50">
        <f>VLOOKUP($A110,'Data shares'!$C:$FB,119)</f>
        <v>0.71</v>
      </c>
      <c r="N110" s="50">
        <f>VLOOKUP($A110,'Data shares'!$C:$FB,121)*100</f>
        <v>4.2299999999999995</v>
      </c>
      <c r="O110" s="50">
        <f>VLOOKUP($A110,'Data shares'!$C:$FB,124)</f>
        <v>0.4</v>
      </c>
      <c r="P110" s="50">
        <f>VLOOKUP($A110,'Data shares'!$C:$FB,125)</f>
        <v>0.28000000000000003</v>
      </c>
      <c r="Q110" s="50">
        <f>VLOOKUP($A110,'Data shares'!$C:$FB,127)*100</f>
        <v>42.86</v>
      </c>
    </row>
    <row r="111" spans="1:17" x14ac:dyDescent="0.25">
      <c r="A111" s="97" t="str">
        <f>'Snapshot (Value)'!A115</f>
        <v>ITC</v>
      </c>
      <c r="B111" s="140">
        <f>VLOOKUP($A111,'Data shares'!$C:$FB,7)</f>
        <v>303</v>
      </c>
      <c r="C111" s="140">
        <f>VLOOKUP($A111,'Data shares'!$C:$FB,3)</f>
        <v>303.75</v>
      </c>
      <c r="D111" s="140">
        <f>VLOOKUP($A111,'Data shares'!$C:$FB,4)</f>
        <v>303.64999999999998</v>
      </c>
      <c r="E111" s="50">
        <f t="shared" si="3"/>
        <v>3.2932652725184502E-2</v>
      </c>
      <c r="F111" s="49">
        <f>VLOOKUP($A111,'Data shares'!$C:$FB,98)</f>
        <v>293433600</v>
      </c>
      <c r="G111" s="49">
        <f>VLOOKUP($A111,'Data shares'!$C:$FB,99)</f>
        <v>285520000</v>
      </c>
      <c r="H111" s="50">
        <f t="shared" si="4"/>
        <v>2.7716447184085178</v>
      </c>
      <c r="I111" s="49">
        <f>VLOOKUP($A111,'Data shares'!$C:$FB,66)</f>
        <v>106142400</v>
      </c>
      <c r="J111" s="49">
        <f>VLOOKUP($A111,'Data shares'!$C:$FB,67)</f>
        <v>143833600</v>
      </c>
      <c r="K111" s="50">
        <f t="shared" si="5"/>
        <v>-35.510031806328101</v>
      </c>
      <c r="L111" s="50">
        <f>VLOOKUP($A111,'Data shares'!$C:$FB,118)</f>
        <v>0.56999999999999995</v>
      </c>
      <c r="M111" s="50">
        <f>VLOOKUP($A111,'Data shares'!$C:$FB,119)</f>
        <v>0.61</v>
      </c>
      <c r="N111" s="50">
        <f>VLOOKUP($A111,'Data shares'!$C:$FB,121)*100</f>
        <v>-6.5600000000000005</v>
      </c>
      <c r="O111" s="50">
        <f>VLOOKUP($A111,'Data shares'!$C:$FB,124)</f>
        <v>0.37</v>
      </c>
      <c r="P111" s="50">
        <f>VLOOKUP($A111,'Data shares'!$C:$FB,125)</f>
        <v>0.5</v>
      </c>
      <c r="Q111" s="50">
        <f>VLOOKUP($A111,'Data shares'!$C:$FB,127)*100</f>
        <v>-26</v>
      </c>
    </row>
    <row r="112" spans="1:17" x14ac:dyDescent="0.25">
      <c r="A112" s="97" t="str">
        <f>'Snapshot (Value)'!A116</f>
        <v>JINDALSTEL</v>
      </c>
      <c r="B112" s="140">
        <f>VLOOKUP($A112,'Data shares'!$C:$FB,7)</f>
        <v>1199.5999999999999</v>
      </c>
      <c r="C112" s="140">
        <f>VLOOKUP($A112,'Data shares'!$C:$FB,3)</f>
        <v>1205.5</v>
      </c>
      <c r="D112" s="140">
        <f>VLOOKUP($A112,'Data shares'!$C:$FB,4)</f>
        <v>1208.4000000000001</v>
      </c>
      <c r="E112" s="50">
        <f t="shared" si="3"/>
        <v>-0.23998675935121574</v>
      </c>
      <c r="F112" s="49">
        <f>VLOOKUP($A112,'Data shares'!$C:$FB,98)</f>
        <v>17981250</v>
      </c>
      <c r="G112" s="49">
        <f>VLOOKUP($A112,'Data shares'!$C:$FB,99)</f>
        <v>17356875</v>
      </c>
      <c r="H112" s="50">
        <f t="shared" si="4"/>
        <v>3.5972777357675274</v>
      </c>
      <c r="I112" s="49">
        <f>VLOOKUP($A112,'Data shares'!$C:$FB,66)</f>
        <v>8274375</v>
      </c>
      <c r="J112" s="49">
        <f>VLOOKUP($A112,'Data shares'!$C:$FB,67)</f>
        <v>12269375</v>
      </c>
      <c r="K112" s="50">
        <f t="shared" si="5"/>
        <v>-48.281592265276835</v>
      </c>
      <c r="L112" s="50">
        <f>VLOOKUP($A112,'Data shares'!$C:$FB,118)</f>
        <v>1.05</v>
      </c>
      <c r="M112" s="50">
        <f>VLOOKUP($A112,'Data shares'!$C:$FB,119)</f>
        <v>1</v>
      </c>
      <c r="N112" s="50">
        <f>VLOOKUP($A112,'Data shares'!$C:$FB,121)*100</f>
        <v>5</v>
      </c>
      <c r="O112" s="50">
        <f>VLOOKUP($A112,'Data shares'!$C:$FB,124)</f>
        <v>0.96</v>
      </c>
      <c r="P112" s="50">
        <f>VLOOKUP($A112,'Data shares'!$C:$FB,125)</f>
        <v>0.61</v>
      </c>
      <c r="Q112" s="50">
        <f>VLOOKUP($A112,'Data shares'!$C:$FB,127)*100</f>
        <v>57.379999999999995</v>
      </c>
    </row>
    <row r="113" spans="1:17" x14ac:dyDescent="0.25">
      <c r="A113" s="97" t="str">
        <f>'Snapshot (Value)'!A117</f>
        <v>JIOFIN</v>
      </c>
      <c r="B113" s="140">
        <f>VLOOKUP($A113,'Data shares'!$C:$FB,7)</f>
        <v>238.84</v>
      </c>
      <c r="C113" s="140">
        <f>VLOOKUP($A113,'Data shares'!$C:$FB,3)</f>
        <v>239.74</v>
      </c>
      <c r="D113" s="140">
        <f>VLOOKUP($A113,'Data shares'!$C:$FB,4)</f>
        <v>247.91</v>
      </c>
      <c r="E113" s="50">
        <f t="shared" si="3"/>
        <v>-3.295550804727517</v>
      </c>
      <c r="F113" s="49">
        <f>VLOOKUP($A113,'Data shares'!$C:$FB,98)</f>
        <v>227242650</v>
      </c>
      <c r="G113" s="49">
        <f>VLOOKUP($A113,'Data shares'!$C:$FB,99)</f>
        <v>217870850</v>
      </c>
      <c r="H113" s="50">
        <f t="shared" si="4"/>
        <v>4.3015391916816776</v>
      </c>
      <c r="I113" s="49">
        <f>VLOOKUP($A113,'Data shares'!$C:$FB,66)</f>
        <v>75761650</v>
      </c>
      <c r="J113" s="49">
        <f>VLOOKUP($A113,'Data shares'!$C:$FB,67)</f>
        <v>90691200</v>
      </c>
      <c r="K113" s="50">
        <f t="shared" si="5"/>
        <v>-19.705946214212599</v>
      </c>
      <c r="L113" s="50">
        <f>VLOOKUP($A113,'Data shares'!$C:$FB,118)</f>
        <v>0.83</v>
      </c>
      <c r="M113" s="50">
        <f>VLOOKUP($A113,'Data shares'!$C:$FB,119)</f>
        <v>0.87</v>
      </c>
      <c r="N113" s="50">
        <f>VLOOKUP($A113,'Data shares'!$C:$FB,121)*100</f>
        <v>-4.5999999999999996</v>
      </c>
      <c r="O113" s="50">
        <f>VLOOKUP($A113,'Data shares'!$C:$FB,124)</f>
        <v>0.56000000000000005</v>
      </c>
      <c r="P113" s="50">
        <f>VLOOKUP($A113,'Data shares'!$C:$FB,125)</f>
        <v>0.49</v>
      </c>
      <c r="Q113" s="50">
        <f>VLOOKUP($A113,'Data shares'!$C:$FB,127)*100</f>
        <v>14.29</v>
      </c>
    </row>
    <row r="114" spans="1:17" x14ac:dyDescent="0.25">
      <c r="A114" s="97" t="str">
        <f>'Snapshot (Value)'!A118</f>
        <v>JSWENERGY</v>
      </c>
      <c r="B114" s="140">
        <f>VLOOKUP($A114,'Data shares'!$C:$FB,7)</f>
        <v>489.15</v>
      </c>
      <c r="C114" s="140">
        <f>VLOOKUP($A114,'Data shares'!$C:$FB,3)</f>
        <v>491.65</v>
      </c>
      <c r="D114" s="140">
        <f>VLOOKUP($A114,'Data shares'!$C:$FB,4)</f>
        <v>504.7</v>
      </c>
      <c r="E114" s="50">
        <f t="shared" si="3"/>
        <v>-2.5856944719635453</v>
      </c>
      <c r="F114" s="49">
        <f>VLOOKUP($A114,'Data shares'!$C:$FB,98)</f>
        <v>38264000</v>
      </c>
      <c r="G114" s="49">
        <f>VLOOKUP($A114,'Data shares'!$C:$FB,99)</f>
        <v>35258000</v>
      </c>
      <c r="H114" s="50">
        <f t="shared" si="4"/>
        <v>8.5257246582335924</v>
      </c>
      <c r="I114" s="49">
        <f>VLOOKUP($A114,'Data shares'!$C:$FB,66)</f>
        <v>15889000</v>
      </c>
      <c r="J114" s="49">
        <f>VLOOKUP($A114,'Data shares'!$C:$FB,67)</f>
        <v>11589000</v>
      </c>
      <c r="K114" s="50">
        <f t="shared" si="5"/>
        <v>27.06274781295236</v>
      </c>
      <c r="L114" s="50">
        <f>VLOOKUP($A114,'Data shares'!$C:$FB,118)</f>
        <v>0.56000000000000005</v>
      </c>
      <c r="M114" s="50">
        <f>VLOOKUP($A114,'Data shares'!$C:$FB,119)</f>
        <v>0.59</v>
      </c>
      <c r="N114" s="50">
        <f>VLOOKUP($A114,'Data shares'!$C:$FB,121)*100</f>
        <v>-5.08</v>
      </c>
      <c r="O114" s="50">
        <f>VLOOKUP($A114,'Data shares'!$C:$FB,124)</f>
        <v>0.33</v>
      </c>
      <c r="P114" s="50">
        <f>VLOOKUP($A114,'Data shares'!$C:$FB,125)</f>
        <v>0.36</v>
      </c>
      <c r="Q114" s="50">
        <f>VLOOKUP($A114,'Data shares'!$C:$FB,127)*100</f>
        <v>-8.33</v>
      </c>
    </row>
    <row r="115" spans="1:17" x14ac:dyDescent="0.25">
      <c r="A115" s="97" t="str">
        <f>'Snapshot (Value)'!A119</f>
        <v>JSWSTEEL</v>
      </c>
      <c r="B115" s="140">
        <f>VLOOKUP($A115,'Data shares'!$C:$FB,7)</f>
        <v>1209.7</v>
      </c>
      <c r="C115" s="140">
        <f>VLOOKUP($A115,'Data shares'!$C:$FB,3)</f>
        <v>1213.9000000000001</v>
      </c>
      <c r="D115" s="140">
        <f>VLOOKUP($A115,'Data shares'!$C:$FB,4)</f>
        <v>1196.9000000000001</v>
      </c>
      <c r="E115" s="50">
        <f t="shared" si="3"/>
        <v>1.4203358676581168</v>
      </c>
      <c r="F115" s="49">
        <f>VLOOKUP($A115,'Data shares'!$C:$FB,98)</f>
        <v>63296775</v>
      </c>
      <c r="G115" s="49">
        <f>VLOOKUP($A115,'Data shares'!$C:$FB,99)</f>
        <v>63394650</v>
      </c>
      <c r="H115" s="50">
        <f t="shared" si="4"/>
        <v>-0.15438999978704826</v>
      </c>
      <c r="I115" s="49">
        <f>VLOOKUP($A115,'Data shares'!$C:$FB,66)</f>
        <v>14635350</v>
      </c>
      <c r="J115" s="49">
        <f>VLOOKUP($A115,'Data shares'!$C:$FB,67)</f>
        <v>16347150</v>
      </c>
      <c r="K115" s="50">
        <f t="shared" si="5"/>
        <v>-11.696337976201457</v>
      </c>
      <c r="L115" s="50">
        <f>VLOOKUP($A115,'Data shares'!$C:$FB,118)</f>
        <v>0.83</v>
      </c>
      <c r="M115" s="50">
        <f>VLOOKUP($A115,'Data shares'!$C:$FB,119)</f>
        <v>0.84</v>
      </c>
      <c r="N115" s="50">
        <f>VLOOKUP($A115,'Data shares'!$C:$FB,121)*100</f>
        <v>-1.1900000000000002</v>
      </c>
      <c r="O115" s="50">
        <f>VLOOKUP($A115,'Data shares'!$C:$FB,124)</f>
        <v>0.59</v>
      </c>
      <c r="P115" s="50">
        <f>VLOOKUP($A115,'Data shares'!$C:$FB,125)</f>
        <v>0.9</v>
      </c>
      <c r="Q115" s="50">
        <f>VLOOKUP($A115,'Data shares'!$C:$FB,127)*100</f>
        <v>-34.44</v>
      </c>
    </row>
    <row r="116" spans="1:17" x14ac:dyDescent="0.25">
      <c r="A116" s="97" t="str">
        <f>'Snapshot (Value)'!A120</f>
        <v>JUBLFOOD</v>
      </c>
      <c r="B116" s="140">
        <f>VLOOKUP($A116,'Data shares'!$C:$FB,7)</f>
        <v>427.85</v>
      </c>
      <c r="C116" s="140">
        <f>VLOOKUP($A116,'Data shares'!$C:$FB,3)</f>
        <v>426.35</v>
      </c>
      <c r="D116" s="140">
        <f>VLOOKUP($A116,'Data shares'!$C:$FB,4)</f>
        <v>428.75</v>
      </c>
      <c r="E116" s="50">
        <f t="shared" si="3"/>
        <v>-0.55976676384839119</v>
      </c>
      <c r="F116" s="49">
        <f>VLOOKUP($A116,'Data shares'!$C:$FB,98)</f>
        <v>65807500</v>
      </c>
      <c r="G116" s="49">
        <f>VLOOKUP($A116,'Data shares'!$C:$FB,99)</f>
        <v>63891250</v>
      </c>
      <c r="H116" s="50">
        <f t="shared" si="4"/>
        <v>2.9992369847201301</v>
      </c>
      <c r="I116" s="49">
        <f>VLOOKUP($A116,'Data shares'!$C:$FB,66)</f>
        <v>26938750</v>
      </c>
      <c r="J116" s="49">
        <f>VLOOKUP($A116,'Data shares'!$C:$FB,67)</f>
        <v>81215000</v>
      </c>
      <c r="K116" s="50">
        <f t="shared" si="5"/>
        <v>-201.48020973504708</v>
      </c>
      <c r="L116" s="50">
        <f>VLOOKUP($A116,'Data shares'!$C:$FB,118)</f>
        <v>0.66</v>
      </c>
      <c r="M116" s="50">
        <f>VLOOKUP($A116,'Data shares'!$C:$FB,119)</f>
        <v>0.65</v>
      </c>
      <c r="N116" s="50">
        <f>VLOOKUP($A116,'Data shares'!$C:$FB,121)*100</f>
        <v>1.54</v>
      </c>
      <c r="O116" s="50">
        <f>VLOOKUP($A116,'Data shares'!$C:$FB,124)</f>
        <v>0.46</v>
      </c>
      <c r="P116" s="50">
        <f>VLOOKUP($A116,'Data shares'!$C:$FB,125)</f>
        <v>0.56000000000000005</v>
      </c>
      <c r="Q116" s="50">
        <f>VLOOKUP($A116,'Data shares'!$C:$FB,127)*100</f>
        <v>-17.86</v>
      </c>
    </row>
    <row r="117" spans="1:17" x14ac:dyDescent="0.25">
      <c r="A117" s="97" t="str">
        <f>'Snapshot (Value)'!A121</f>
        <v>KALYANKJIL</v>
      </c>
      <c r="B117" s="140">
        <f>VLOOKUP($A117,'Data shares'!$C:$FB,7)</f>
        <v>446.1</v>
      </c>
      <c r="C117" s="140">
        <f>VLOOKUP($A117,'Data shares'!$C:$FB,3)</f>
        <v>447.85</v>
      </c>
      <c r="D117" s="140">
        <f>VLOOKUP($A117,'Data shares'!$C:$FB,4)</f>
        <v>447.8</v>
      </c>
      <c r="E117" s="50">
        <f t="shared" si="3"/>
        <v>1.1165698972758233E-2</v>
      </c>
      <c r="F117" s="49">
        <f>VLOOKUP($A117,'Data shares'!$C:$FB,98)</f>
        <v>35285250</v>
      </c>
      <c r="G117" s="49">
        <f>VLOOKUP($A117,'Data shares'!$C:$FB,99)</f>
        <v>34281800</v>
      </c>
      <c r="H117" s="50">
        <f t="shared" si="4"/>
        <v>2.9270633397312862</v>
      </c>
      <c r="I117" s="49">
        <f>VLOOKUP($A117,'Data shares'!$C:$FB,66)</f>
        <v>17834150</v>
      </c>
      <c r="J117" s="49">
        <f>VLOOKUP($A117,'Data shares'!$C:$FB,67)</f>
        <v>42782925</v>
      </c>
      <c r="K117" s="50">
        <f t="shared" si="5"/>
        <v>-139.89326657003559</v>
      </c>
      <c r="L117" s="50">
        <f>VLOOKUP($A117,'Data shares'!$C:$FB,118)</f>
        <v>0.92</v>
      </c>
      <c r="M117" s="50">
        <f>VLOOKUP($A117,'Data shares'!$C:$FB,119)</f>
        <v>0.94</v>
      </c>
      <c r="N117" s="50">
        <f>VLOOKUP($A117,'Data shares'!$C:$FB,121)*100</f>
        <v>-2.13</v>
      </c>
      <c r="O117" s="50">
        <f>VLOOKUP($A117,'Data shares'!$C:$FB,124)</f>
        <v>0.61</v>
      </c>
      <c r="P117" s="50">
        <f>VLOOKUP($A117,'Data shares'!$C:$FB,125)</f>
        <v>0.33</v>
      </c>
      <c r="Q117" s="50">
        <f>VLOOKUP($A117,'Data shares'!$C:$FB,127)*100</f>
        <v>84.850000000000009</v>
      </c>
    </row>
    <row r="118" spans="1:17" x14ac:dyDescent="0.25">
      <c r="A118" s="97" t="str">
        <f>'Snapshot (Value)'!A122</f>
        <v>KAYNES</v>
      </c>
      <c r="B118" s="140">
        <f>VLOOKUP($A118,'Data shares'!$C:$FB,7)</f>
        <v>3851.5</v>
      </c>
      <c r="C118" s="140">
        <f>VLOOKUP($A118,'Data shares'!$C:$FB,3)</f>
        <v>3802.8</v>
      </c>
      <c r="D118" s="140">
        <f>VLOOKUP($A118,'Data shares'!$C:$FB,4)</f>
        <v>3909.5</v>
      </c>
      <c r="E118" s="50">
        <f t="shared" si="3"/>
        <v>-2.7292492646118385</v>
      </c>
      <c r="F118" s="49">
        <f>VLOOKUP($A118,'Data shares'!$C:$FB,98)</f>
        <v>5518300</v>
      </c>
      <c r="G118" s="49">
        <f>VLOOKUP($A118,'Data shares'!$C:$FB,99)</f>
        <v>5209700</v>
      </c>
      <c r="H118" s="50">
        <f t="shared" si="4"/>
        <v>5.9235656563717685</v>
      </c>
      <c r="I118" s="49">
        <f>VLOOKUP($A118,'Data shares'!$C:$FB,66)</f>
        <v>4856300</v>
      </c>
      <c r="J118" s="49">
        <f>VLOOKUP($A118,'Data shares'!$C:$FB,67)</f>
        <v>6022600</v>
      </c>
      <c r="K118" s="50">
        <f t="shared" si="5"/>
        <v>-24.016226345159897</v>
      </c>
      <c r="L118" s="50">
        <f>VLOOKUP($A118,'Data shares'!$C:$FB,118)</f>
        <v>0.73</v>
      </c>
      <c r="M118" s="50">
        <f>VLOOKUP($A118,'Data shares'!$C:$FB,119)</f>
        <v>0.82</v>
      </c>
      <c r="N118" s="50">
        <f>VLOOKUP($A118,'Data shares'!$C:$FB,121)*100</f>
        <v>-10.979999999999999</v>
      </c>
      <c r="O118" s="50">
        <f>VLOOKUP($A118,'Data shares'!$C:$FB,124)</f>
        <v>0.43</v>
      </c>
      <c r="P118" s="50">
        <f>VLOOKUP($A118,'Data shares'!$C:$FB,125)</f>
        <v>0.39</v>
      </c>
      <c r="Q118" s="50">
        <f>VLOOKUP($A118,'Data shares'!$C:$FB,127)*100</f>
        <v>10.26</v>
      </c>
    </row>
    <row r="119" spans="1:17" x14ac:dyDescent="0.25">
      <c r="A119" s="97" t="str">
        <f>'Snapshot (Value)'!A123</f>
        <v>KEI</v>
      </c>
      <c r="B119" s="140">
        <f>VLOOKUP($A119,'Data shares'!$C:$FB,7)</f>
        <v>4416.8999999999996</v>
      </c>
      <c r="C119" s="140">
        <f>VLOOKUP($A119,'Data shares'!$C:$FB,3)</f>
        <v>4418.8</v>
      </c>
      <c r="D119" s="140">
        <f>VLOOKUP($A119,'Data shares'!$C:$FB,4)</f>
        <v>4447.2</v>
      </c>
      <c r="E119" s="50">
        <f t="shared" si="3"/>
        <v>-0.63860406547939463</v>
      </c>
      <c r="F119" s="49">
        <f>VLOOKUP($A119,'Data shares'!$C:$FB,98)</f>
        <v>3098725</v>
      </c>
      <c r="G119" s="49">
        <f>VLOOKUP($A119,'Data shares'!$C:$FB,99)</f>
        <v>2972375</v>
      </c>
      <c r="H119" s="50">
        <f t="shared" si="4"/>
        <v>4.2508095378274948</v>
      </c>
      <c r="I119" s="49">
        <f>VLOOKUP($A119,'Data shares'!$C:$FB,66)</f>
        <v>1259825</v>
      </c>
      <c r="J119" s="49">
        <f>VLOOKUP($A119,'Data shares'!$C:$FB,67)</f>
        <v>2113300</v>
      </c>
      <c r="K119" s="50">
        <f t="shared" si="5"/>
        <v>-67.74552021114043</v>
      </c>
      <c r="L119" s="50">
        <f>VLOOKUP($A119,'Data shares'!$C:$FB,118)</f>
        <v>0.85</v>
      </c>
      <c r="M119" s="50">
        <f>VLOOKUP($A119,'Data shares'!$C:$FB,119)</f>
        <v>0.92</v>
      </c>
      <c r="N119" s="50">
        <f>VLOOKUP($A119,'Data shares'!$C:$FB,121)*100</f>
        <v>-7.61</v>
      </c>
      <c r="O119" s="50">
        <f>VLOOKUP($A119,'Data shares'!$C:$FB,124)</f>
        <v>0.45</v>
      </c>
      <c r="P119" s="50">
        <f>VLOOKUP($A119,'Data shares'!$C:$FB,125)</f>
        <v>0.39</v>
      </c>
      <c r="Q119" s="50">
        <f>VLOOKUP($A119,'Data shares'!$C:$FB,127)*100</f>
        <v>15.379999999999999</v>
      </c>
    </row>
    <row r="120" spans="1:17" x14ac:dyDescent="0.25">
      <c r="A120" s="97" t="str">
        <f>'Snapshot (Value)'!A124</f>
        <v>KFINTECH</v>
      </c>
      <c r="B120" s="140">
        <f>VLOOKUP($A120,'Data shares'!$C:$FB,7)</f>
        <v>892.25</v>
      </c>
      <c r="C120" s="140">
        <f>VLOOKUP($A120,'Data shares'!$C:$FB,3)</f>
        <v>893.85</v>
      </c>
      <c r="D120" s="140">
        <f>VLOOKUP($A120,'Data shares'!$C:$FB,4)</f>
        <v>911.35</v>
      </c>
      <c r="E120" s="50">
        <f t="shared" si="3"/>
        <v>-1.9202282328413891</v>
      </c>
      <c r="F120" s="49">
        <f>VLOOKUP($A120,'Data shares'!$C:$FB,98)</f>
        <v>5386500</v>
      </c>
      <c r="G120" s="49">
        <f>VLOOKUP($A120,'Data shares'!$C:$FB,99)</f>
        <v>4494000</v>
      </c>
      <c r="H120" s="50">
        <f t="shared" si="4"/>
        <v>19.859813084112147</v>
      </c>
      <c r="I120" s="49">
        <f>VLOOKUP($A120,'Data shares'!$C:$FB,66)</f>
        <v>4599000</v>
      </c>
      <c r="J120" s="49">
        <f>VLOOKUP($A120,'Data shares'!$C:$FB,67)</f>
        <v>5647000</v>
      </c>
      <c r="K120" s="50">
        <f t="shared" si="5"/>
        <v>-22.787562513589911</v>
      </c>
      <c r="L120" s="50">
        <f>VLOOKUP($A120,'Data shares'!$C:$FB,118)</f>
        <v>0.51</v>
      </c>
      <c r="M120" s="50">
        <f>VLOOKUP($A120,'Data shares'!$C:$FB,119)</f>
        <v>0.62</v>
      </c>
      <c r="N120" s="50">
        <f>VLOOKUP($A120,'Data shares'!$C:$FB,121)*100</f>
        <v>-17.740000000000002</v>
      </c>
      <c r="O120" s="50">
        <f>VLOOKUP($A120,'Data shares'!$C:$FB,124)</f>
        <v>0.25</v>
      </c>
      <c r="P120" s="50">
        <f>VLOOKUP($A120,'Data shares'!$C:$FB,125)</f>
        <v>0.38</v>
      </c>
      <c r="Q120" s="50">
        <f>VLOOKUP($A120,'Data shares'!$C:$FB,127)*100</f>
        <v>-34.21</v>
      </c>
    </row>
    <row r="121" spans="1:17" x14ac:dyDescent="0.25">
      <c r="A121" s="97" t="str">
        <f>'Snapshot (Value)'!A125</f>
        <v>KOTAKBANK</v>
      </c>
      <c r="B121" s="140">
        <f>VLOOKUP($A121,'Data shares'!$C:$FB,7)</f>
        <v>371.9</v>
      </c>
      <c r="C121" s="140">
        <f>VLOOKUP($A121,'Data shares'!$C:$FB,3)</f>
        <v>373.05</v>
      </c>
      <c r="D121" s="140">
        <f>VLOOKUP($A121,'Data shares'!$C:$FB,4)</f>
        <v>380.95</v>
      </c>
      <c r="E121" s="50">
        <f t="shared" si="3"/>
        <v>-2.0737629610185002</v>
      </c>
      <c r="F121" s="49">
        <f>VLOOKUP($A121,'Data shares'!$C:$FB,98)</f>
        <v>264730000</v>
      </c>
      <c r="G121" s="49">
        <f>VLOOKUP($A121,'Data shares'!$C:$FB,99)</f>
        <v>263584000</v>
      </c>
      <c r="H121" s="50">
        <f t="shared" si="4"/>
        <v>0.4347760106835013</v>
      </c>
      <c r="I121" s="49">
        <f>VLOOKUP($A121,'Data shares'!$C:$FB,66)</f>
        <v>48634000</v>
      </c>
      <c r="J121" s="49">
        <f>VLOOKUP($A121,'Data shares'!$C:$FB,67)</f>
        <v>93896000</v>
      </c>
      <c r="K121" s="50">
        <f t="shared" si="5"/>
        <v>-93.066578936546449</v>
      </c>
      <c r="L121" s="50">
        <f>VLOOKUP($A121,'Data shares'!$C:$FB,118)</f>
        <v>1.05</v>
      </c>
      <c r="M121" s="50">
        <f>VLOOKUP($A121,'Data shares'!$C:$FB,119)</f>
        <v>1.17</v>
      </c>
      <c r="N121" s="50">
        <f>VLOOKUP($A121,'Data shares'!$C:$FB,121)*100</f>
        <v>-10.26</v>
      </c>
      <c r="O121" s="50">
        <f>VLOOKUP($A121,'Data shares'!$C:$FB,124)</f>
        <v>0.69</v>
      </c>
      <c r="P121" s="50">
        <f>VLOOKUP($A121,'Data shares'!$C:$FB,125)</f>
        <v>0.69</v>
      </c>
      <c r="Q121" s="50">
        <f>VLOOKUP($A121,'Data shares'!$C:$FB,127)*100</f>
        <v>0</v>
      </c>
    </row>
    <row r="122" spans="1:17" x14ac:dyDescent="0.25">
      <c r="A122" s="97" t="str">
        <f>'Snapshot (Value)'!A126</f>
        <v>KPITTECH</v>
      </c>
      <c r="B122" s="140">
        <f>VLOOKUP($A122,'Data shares'!$C:$FB,7)</f>
        <v>716.05</v>
      </c>
      <c r="C122" s="140">
        <f>VLOOKUP($A122,'Data shares'!$C:$FB,3)</f>
        <v>718.9</v>
      </c>
      <c r="D122" s="140">
        <f>VLOOKUP($A122,'Data shares'!$C:$FB,4)</f>
        <v>725.05</v>
      </c>
      <c r="E122" s="50">
        <f t="shared" si="3"/>
        <v>-0.84821736431969896</v>
      </c>
      <c r="F122" s="49">
        <f>VLOOKUP($A122,'Data shares'!$C:$FB,98)</f>
        <v>11964600</v>
      </c>
      <c r="G122" s="49">
        <f>VLOOKUP($A122,'Data shares'!$C:$FB,99)</f>
        <v>11560000</v>
      </c>
      <c r="H122" s="50">
        <f t="shared" si="4"/>
        <v>3.5000000000000004</v>
      </c>
      <c r="I122" s="49">
        <f>VLOOKUP($A122,'Data shares'!$C:$FB,66)</f>
        <v>5369450</v>
      </c>
      <c r="J122" s="49">
        <f>VLOOKUP($A122,'Data shares'!$C:$FB,67)</f>
        <v>8583725</v>
      </c>
      <c r="K122" s="50">
        <f t="shared" si="5"/>
        <v>-59.862276397023905</v>
      </c>
      <c r="L122" s="50">
        <f>VLOOKUP($A122,'Data shares'!$C:$FB,118)</f>
        <v>0.81</v>
      </c>
      <c r="M122" s="50">
        <f>VLOOKUP($A122,'Data shares'!$C:$FB,119)</f>
        <v>0.8</v>
      </c>
      <c r="N122" s="50">
        <f>VLOOKUP($A122,'Data shares'!$C:$FB,121)*100</f>
        <v>1.25</v>
      </c>
      <c r="O122" s="50">
        <f>VLOOKUP($A122,'Data shares'!$C:$FB,124)</f>
        <v>0.45</v>
      </c>
      <c r="P122" s="50">
        <f>VLOOKUP($A122,'Data shares'!$C:$FB,125)</f>
        <v>0.33</v>
      </c>
      <c r="Q122" s="50">
        <f>VLOOKUP($A122,'Data shares'!$C:$FB,127)*100</f>
        <v>36.36</v>
      </c>
    </row>
    <row r="123" spans="1:17" x14ac:dyDescent="0.25">
      <c r="A123" s="97" t="str">
        <f>'Snapshot (Value)'!A127</f>
        <v>LAURUSLABS</v>
      </c>
      <c r="B123" s="140">
        <f>VLOOKUP($A123,'Data shares'!$C:$FB,7)</f>
        <v>1083.7</v>
      </c>
      <c r="C123" s="140">
        <f>VLOOKUP($A123,'Data shares'!$C:$FB,3)</f>
        <v>1087.4000000000001</v>
      </c>
      <c r="D123" s="140">
        <f>VLOOKUP($A123,'Data shares'!$C:$FB,4)</f>
        <v>1085.4000000000001</v>
      </c>
      <c r="E123" s="50">
        <f t="shared" si="3"/>
        <v>0.18426386585590565</v>
      </c>
      <c r="F123" s="49">
        <f>VLOOKUP($A123,'Data shares'!$C:$FB,98)</f>
        <v>26026150</v>
      </c>
      <c r="G123" s="49">
        <f>VLOOKUP($A123,'Data shares'!$C:$FB,99)</f>
        <v>25478750</v>
      </c>
      <c r="H123" s="50">
        <f t="shared" si="4"/>
        <v>2.1484570475396163</v>
      </c>
      <c r="I123" s="49">
        <f>VLOOKUP($A123,'Data shares'!$C:$FB,66)</f>
        <v>7419650</v>
      </c>
      <c r="J123" s="49">
        <f>VLOOKUP($A123,'Data shares'!$C:$FB,67)</f>
        <v>11337300</v>
      </c>
      <c r="K123" s="50">
        <f t="shared" si="5"/>
        <v>-52.801008133806846</v>
      </c>
      <c r="L123" s="50">
        <f>VLOOKUP($A123,'Data shares'!$C:$FB,118)</f>
        <v>0.78</v>
      </c>
      <c r="M123" s="50">
        <f>VLOOKUP($A123,'Data shares'!$C:$FB,119)</f>
        <v>0.79</v>
      </c>
      <c r="N123" s="50">
        <f>VLOOKUP($A123,'Data shares'!$C:$FB,121)*100</f>
        <v>-1.27</v>
      </c>
      <c r="O123" s="50">
        <f>VLOOKUP($A123,'Data shares'!$C:$FB,124)</f>
        <v>0.63</v>
      </c>
      <c r="P123" s="50">
        <f>VLOOKUP($A123,'Data shares'!$C:$FB,125)</f>
        <v>0.7</v>
      </c>
      <c r="Q123" s="50">
        <f>VLOOKUP($A123,'Data shares'!$C:$FB,127)*100</f>
        <v>-10</v>
      </c>
    </row>
    <row r="124" spans="1:17" x14ac:dyDescent="0.25">
      <c r="A124" s="97" t="str">
        <f>'Snapshot (Value)'!A128</f>
        <v>LICHSGFIN</v>
      </c>
      <c r="B124" s="140">
        <f>VLOOKUP($A124,'Data shares'!$C:$FB,7)</f>
        <v>532.29999999999995</v>
      </c>
      <c r="C124" s="140">
        <f>VLOOKUP($A124,'Data shares'!$C:$FB,3)</f>
        <v>533.5</v>
      </c>
      <c r="D124" s="140">
        <f>VLOOKUP($A124,'Data shares'!$C:$FB,4)</f>
        <v>532.54999999999995</v>
      </c>
      <c r="E124" s="50">
        <f t="shared" si="3"/>
        <v>0.17838700591494613</v>
      </c>
      <c r="F124" s="49">
        <f>VLOOKUP($A124,'Data shares'!$C:$FB,98)</f>
        <v>42989000</v>
      </c>
      <c r="G124" s="49">
        <f>VLOOKUP($A124,'Data shares'!$C:$FB,99)</f>
        <v>42985000</v>
      </c>
      <c r="H124" s="50">
        <f t="shared" si="4"/>
        <v>9.3055717110619978E-3</v>
      </c>
      <c r="I124" s="49">
        <f>VLOOKUP($A124,'Data shares'!$C:$FB,66)</f>
        <v>6524000</v>
      </c>
      <c r="J124" s="49">
        <f>VLOOKUP($A124,'Data shares'!$C:$FB,67)</f>
        <v>12872000</v>
      </c>
      <c r="K124" s="50">
        <f t="shared" si="5"/>
        <v>-97.302268546903733</v>
      </c>
      <c r="L124" s="50">
        <f>VLOOKUP($A124,'Data shares'!$C:$FB,118)</f>
        <v>1.1599999999999999</v>
      </c>
      <c r="M124" s="50">
        <f>VLOOKUP($A124,'Data shares'!$C:$FB,119)</f>
        <v>1.25</v>
      </c>
      <c r="N124" s="50">
        <f>VLOOKUP($A124,'Data shares'!$C:$FB,121)*100</f>
        <v>-7.1999999999999993</v>
      </c>
      <c r="O124" s="50">
        <f>VLOOKUP($A124,'Data shares'!$C:$FB,124)</f>
        <v>0.5</v>
      </c>
      <c r="P124" s="50">
        <f>VLOOKUP($A124,'Data shares'!$C:$FB,125)</f>
        <v>0.42</v>
      </c>
      <c r="Q124" s="50">
        <f>VLOOKUP($A124,'Data shares'!$C:$FB,127)*100</f>
        <v>19.05</v>
      </c>
    </row>
    <row r="125" spans="1:17" x14ac:dyDescent="0.25">
      <c r="A125" s="97" t="str">
        <f>'Snapshot (Value)'!A129</f>
        <v>LICI</v>
      </c>
      <c r="B125" s="140">
        <f>VLOOKUP($A125,'Data shares'!$C:$FB,7)</f>
        <v>793.4</v>
      </c>
      <c r="C125" s="140">
        <f>VLOOKUP($A125,'Data shares'!$C:$FB,3)</f>
        <v>793.7</v>
      </c>
      <c r="D125" s="140">
        <f>VLOOKUP($A125,'Data shares'!$C:$FB,4)</f>
        <v>795.7</v>
      </c>
      <c r="E125" s="50">
        <f t="shared" si="3"/>
        <v>-0.25135101168782203</v>
      </c>
      <c r="F125" s="49">
        <f>VLOOKUP($A125,'Data shares'!$C:$FB,98)</f>
        <v>16384200</v>
      </c>
      <c r="G125" s="49">
        <f>VLOOKUP($A125,'Data shares'!$C:$FB,99)</f>
        <v>15771000</v>
      </c>
      <c r="H125" s="50">
        <f t="shared" si="4"/>
        <v>3.88814913448735</v>
      </c>
      <c r="I125" s="49">
        <f>VLOOKUP($A125,'Data shares'!$C:$FB,66)</f>
        <v>5873700</v>
      </c>
      <c r="J125" s="49">
        <f>VLOOKUP($A125,'Data shares'!$C:$FB,67)</f>
        <v>18019400</v>
      </c>
      <c r="K125" s="50">
        <f t="shared" si="5"/>
        <v>-206.78107496126802</v>
      </c>
      <c r="L125" s="50">
        <f>VLOOKUP($A125,'Data shares'!$C:$FB,118)</f>
        <v>0.65</v>
      </c>
      <c r="M125" s="50">
        <f>VLOOKUP($A125,'Data shares'!$C:$FB,119)</f>
        <v>0.61</v>
      </c>
      <c r="N125" s="50">
        <f>VLOOKUP($A125,'Data shares'!$C:$FB,121)*100</f>
        <v>6.5600000000000005</v>
      </c>
      <c r="O125" s="50">
        <f>VLOOKUP($A125,'Data shares'!$C:$FB,124)</f>
        <v>0.35</v>
      </c>
      <c r="P125" s="50">
        <f>VLOOKUP($A125,'Data shares'!$C:$FB,125)</f>
        <v>0.35</v>
      </c>
      <c r="Q125" s="50">
        <f>VLOOKUP($A125,'Data shares'!$C:$FB,127)*100</f>
        <v>0</v>
      </c>
    </row>
    <row r="126" spans="1:17" x14ac:dyDescent="0.25">
      <c r="A126" s="97" t="str">
        <f>'Snapshot (Value)'!A130</f>
        <v>LODHA</v>
      </c>
      <c r="B126" s="140">
        <f>VLOOKUP($A126,'Data shares'!$C:$FB,7)</f>
        <v>789.55</v>
      </c>
      <c r="C126" s="140">
        <f>VLOOKUP($A126,'Data shares'!$C:$FB,3)</f>
        <v>791.75</v>
      </c>
      <c r="D126" s="140">
        <f>VLOOKUP($A126,'Data shares'!$C:$FB,4)</f>
        <v>780.5</v>
      </c>
      <c r="E126" s="50">
        <f t="shared" si="3"/>
        <v>1.4413837283792441</v>
      </c>
      <c r="F126" s="49">
        <f>VLOOKUP($A126,'Data shares'!$C:$FB,98)</f>
        <v>33883650</v>
      </c>
      <c r="G126" s="49">
        <f>VLOOKUP($A126,'Data shares'!$C:$FB,99)</f>
        <v>33970050</v>
      </c>
      <c r="H126" s="50">
        <f t="shared" si="4"/>
        <v>-0.2543416921670707</v>
      </c>
      <c r="I126" s="49">
        <f>VLOOKUP($A126,'Data shares'!$C:$FB,66)</f>
        <v>12150900</v>
      </c>
      <c r="J126" s="49">
        <f>VLOOKUP($A126,'Data shares'!$C:$FB,67)</f>
        <v>26887500</v>
      </c>
      <c r="K126" s="50">
        <f t="shared" si="5"/>
        <v>-121.27990519220799</v>
      </c>
      <c r="L126" s="50">
        <f>VLOOKUP($A126,'Data shares'!$C:$FB,118)</f>
        <v>0.75</v>
      </c>
      <c r="M126" s="50">
        <f>VLOOKUP($A126,'Data shares'!$C:$FB,119)</f>
        <v>0.69</v>
      </c>
      <c r="N126" s="50">
        <f>VLOOKUP($A126,'Data shares'!$C:$FB,121)*100</f>
        <v>8.6999999999999993</v>
      </c>
      <c r="O126" s="50">
        <f>VLOOKUP($A126,'Data shares'!$C:$FB,124)</f>
        <v>0.53</v>
      </c>
      <c r="P126" s="50">
        <f>VLOOKUP($A126,'Data shares'!$C:$FB,125)</f>
        <v>0.62</v>
      </c>
      <c r="Q126" s="50">
        <f>VLOOKUP($A126,'Data shares'!$C:$FB,127)*100</f>
        <v>-14.52</v>
      </c>
    </row>
    <row r="127" spans="1:17" x14ac:dyDescent="0.25">
      <c r="A127" s="97" t="str">
        <f>'Snapshot (Value)'!A131</f>
        <v>LT</v>
      </c>
      <c r="B127" s="140">
        <f>VLOOKUP($A127,'Data shares'!$C:$FB,7)</f>
        <v>3896.2</v>
      </c>
      <c r="C127" s="140">
        <f>VLOOKUP($A127,'Data shares'!$C:$FB,3)</f>
        <v>3907.2</v>
      </c>
      <c r="D127" s="140">
        <f>VLOOKUP($A127,'Data shares'!$C:$FB,4)</f>
        <v>4013.2</v>
      </c>
      <c r="E127" s="50">
        <f t="shared" si="3"/>
        <v>-2.6412837635801854</v>
      </c>
      <c r="F127" s="49">
        <f>VLOOKUP($A127,'Data shares'!$C:$FB,98)</f>
        <v>30122050</v>
      </c>
      <c r="G127" s="49">
        <f>VLOOKUP($A127,'Data shares'!$C:$FB,99)</f>
        <v>28188825</v>
      </c>
      <c r="H127" s="50">
        <f t="shared" si="4"/>
        <v>6.858125516051131</v>
      </c>
      <c r="I127" s="49">
        <f>VLOOKUP($A127,'Data shares'!$C:$FB,66)</f>
        <v>20488125</v>
      </c>
      <c r="J127" s="49">
        <f>VLOOKUP($A127,'Data shares'!$C:$FB,67)</f>
        <v>40191725</v>
      </c>
      <c r="K127" s="50">
        <f t="shared" si="5"/>
        <v>-96.170830664104216</v>
      </c>
      <c r="L127" s="50">
        <f>VLOOKUP($A127,'Data shares'!$C:$FB,118)</f>
        <v>0.74</v>
      </c>
      <c r="M127" s="50">
        <f>VLOOKUP($A127,'Data shares'!$C:$FB,119)</f>
        <v>0.85</v>
      </c>
      <c r="N127" s="50">
        <f>VLOOKUP($A127,'Data shares'!$C:$FB,121)*100</f>
        <v>-12.94</v>
      </c>
      <c r="O127" s="50">
        <f>VLOOKUP($A127,'Data shares'!$C:$FB,124)</f>
        <v>0.48</v>
      </c>
      <c r="P127" s="50">
        <f>VLOOKUP($A127,'Data shares'!$C:$FB,125)</f>
        <v>0.56999999999999995</v>
      </c>
      <c r="Q127" s="50">
        <f>VLOOKUP($A127,'Data shares'!$C:$FB,127)*100</f>
        <v>-15.790000000000001</v>
      </c>
    </row>
    <row r="128" spans="1:17" x14ac:dyDescent="0.25">
      <c r="A128" s="97" t="str">
        <f>'Snapshot (Value)'!A132</f>
        <v>LTF</v>
      </c>
      <c r="B128" s="140">
        <f>VLOOKUP($A128,'Data shares'!$C:$FB,7)</f>
        <v>272.18</v>
      </c>
      <c r="C128" s="140">
        <f>VLOOKUP($A128,'Data shares'!$C:$FB,3)</f>
        <v>273.14</v>
      </c>
      <c r="D128" s="140">
        <f>VLOOKUP($A128,'Data shares'!$C:$FB,4)</f>
        <v>276.14999999999998</v>
      </c>
      <c r="E128" s="50">
        <f t="shared" si="3"/>
        <v>-1.0899873257287676</v>
      </c>
      <c r="F128" s="49">
        <f>VLOOKUP($A128,'Data shares'!$C:$FB,98)</f>
        <v>87423750</v>
      </c>
      <c r="G128" s="49">
        <f>VLOOKUP($A128,'Data shares'!$C:$FB,99)</f>
        <v>85146750</v>
      </c>
      <c r="H128" s="50">
        <f t="shared" si="4"/>
        <v>2.6742065903865972</v>
      </c>
      <c r="I128" s="49">
        <f>VLOOKUP($A128,'Data shares'!$C:$FB,66)</f>
        <v>30413250</v>
      </c>
      <c r="J128" s="49">
        <f>VLOOKUP($A128,'Data shares'!$C:$FB,67)</f>
        <v>81508500</v>
      </c>
      <c r="K128" s="50">
        <f t="shared" si="5"/>
        <v>-168.00325516016866</v>
      </c>
      <c r="L128" s="50">
        <f>VLOOKUP($A128,'Data shares'!$C:$FB,118)</f>
        <v>0.8</v>
      </c>
      <c r="M128" s="50">
        <f>VLOOKUP($A128,'Data shares'!$C:$FB,119)</f>
        <v>0.77</v>
      </c>
      <c r="N128" s="50">
        <f>VLOOKUP($A128,'Data shares'!$C:$FB,121)*100</f>
        <v>3.9</v>
      </c>
      <c r="O128" s="50">
        <f>VLOOKUP($A128,'Data shares'!$C:$FB,124)</f>
        <v>0.56000000000000005</v>
      </c>
      <c r="P128" s="50">
        <f>VLOOKUP($A128,'Data shares'!$C:$FB,125)</f>
        <v>0.41</v>
      </c>
      <c r="Q128" s="50">
        <f>VLOOKUP($A128,'Data shares'!$C:$FB,127)*100</f>
        <v>36.590000000000003</v>
      </c>
    </row>
    <row r="129" spans="1:17" x14ac:dyDescent="0.25">
      <c r="A129" s="97" t="str">
        <f>'Snapshot (Value)'!A133</f>
        <v>LTM</v>
      </c>
      <c r="B129" s="140">
        <f>VLOOKUP($A129,'Data shares'!$C:$FB,7)</f>
        <v>4572</v>
      </c>
      <c r="C129" s="140">
        <f>VLOOKUP($A129,'Data shares'!$C:$FB,3)</f>
        <v>4556.3</v>
      </c>
      <c r="D129" s="140">
        <f>VLOOKUP($A129,'Data shares'!$C:$FB,4)</f>
        <v>4517</v>
      </c>
      <c r="E129" s="50">
        <f t="shared" si="3"/>
        <v>0.8700464910338761</v>
      </c>
      <c r="F129" s="49">
        <f>VLOOKUP($A129,'Data shares'!$C:$FB,98)</f>
        <v>5624550</v>
      </c>
      <c r="G129" s="49">
        <f>VLOOKUP($A129,'Data shares'!$C:$FB,99)</f>
        <v>5476950</v>
      </c>
      <c r="H129" s="50">
        <f t="shared" si="4"/>
        <v>2.6949305726727468</v>
      </c>
      <c r="I129" s="49">
        <f>VLOOKUP($A129,'Data shares'!$C:$FB,66)</f>
        <v>2776500</v>
      </c>
      <c r="J129" s="49">
        <f>VLOOKUP($A129,'Data shares'!$C:$FB,67)</f>
        <v>2824050</v>
      </c>
      <c r="K129" s="50">
        <f t="shared" si="5"/>
        <v>-1.7125877903835764</v>
      </c>
      <c r="L129" s="50">
        <f>VLOOKUP($A129,'Data shares'!$C:$FB,118)</f>
        <v>0.92</v>
      </c>
      <c r="M129" s="50">
        <f>VLOOKUP($A129,'Data shares'!$C:$FB,119)</f>
        <v>0.91</v>
      </c>
      <c r="N129" s="50">
        <f>VLOOKUP($A129,'Data shares'!$C:$FB,121)*100</f>
        <v>1.0999999999999999</v>
      </c>
      <c r="O129" s="50">
        <f>VLOOKUP($A129,'Data shares'!$C:$FB,124)</f>
        <v>0.34</v>
      </c>
      <c r="P129" s="50">
        <f>VLOOKUP($A129,'Data shares'!$C:$FB,125)</f>
        <v>0.43</v>
      </c>
      <c r="Q129" s="50">
        <f>VLOOKUP($A129,'Data shares'!$C:$FB,127)*100</f>
        <v>-20.93</v>
      </c>
    </row>
    <row r="130" spans="1:17" x14ac:dyDescent="0.25">
      <c r="A130" s="97" t="str">
        <f>'Snapshot (Value)'!A134</f>
        <v>LUPIN</v>
      </c>
      <c r="B130" s="140">
        <f>VLOOKUP($A130,'Data shares'!$C:$FB,7)</f>
        <v>2295.1</v>
      </c>
      <c r="C130" s="140">
        <f>VLOOKUP($A130,'Data shares'!$C:$FB,3)</f>
        <v>2306.9</v>
      </c>
      <c r="D130" s="140">
        <f>VLOOKUP($A130,'Data shares'!$C:$FB,4)</f>
        <v>2305.1999999999998</v>
      </c>
      <c r="E130" s="50">
        <f t="shared" si="3"/>
        <v>7.3746312684377618E-2</v>
      </c>
      <c r="F130" s="49">
        <f>VLOOKUP($A130,'Data shares'!$C:$FB,98)</f>
        <v>10096725</v>
      </c>
      <c r="G130" s="49">
        <f>VLOOKUP($A130,'Data shares'!$C:$FB,99)</f>
        <v>9845125</v>
      </c>
      <c r="H130" s="50">
        <f t="shared" si="4"/>
        <v>2.555579538096266</v>
      </c>
      <c r="I130" s="49">
        <f>VLOOKUP($A130,'Data shares'!$C:$FB,66)</f>
        <v>6162500</v>
      </c>
      <c r="J130" s="49">
        <f>VLOOKUP($A130,'Data shares'!$C:$FB,67)</f>
        <v>7893950</v>
      </c>
      <c r="K130" s="50">
        <f t="shared" si="5"/>
        <v>-28.096551724137932</v>
      </c>
      <c r="L130" s="50">
        <f>VLOOKUP($A130,'Data shares'!$C:$FB,118)</f>
        <v>0.78</v>
      </c>
      <c r="M130" s="50">
        <f>VLOOKUP($A130,'Data shares'!$C:$FB,119)</f>
        <v>0.79</v>
      </c>
      <c r="N130" s="50">
        <f>VLOOKUP($A130,'Data shares'!$C:$FB,121)*100</f>
        <v>-1.27</v>
      </c>
      <c r="O130" s="50">
        <f>VLOOKUP($A130,'Data shares'!$C:$FB,124)</f>
        <v>0.49</v>
      </c>
      <c r="P130" s="50">
        <f>VLOOKUP($A130,'Data shares'!$C:$FB,125)</f>
        <v>0.5</v>
      </c>
      <c r="Q130" s="50">
        <f>VLOOKUP($A130,'Data shares'!$C:$FB,127)*100</f>
        <v>-2</v>
      </c>
    </row>
    <row r="131" spans="1:17" x14ac:dyDescent="0.25">
      <c r="A131" s="97" t="str">
        <f>'Snapshot (Value)'!A135</f>
        <v>M&amp;M</v>
      </c>
      <c r="B131" s="140">
        <f>VLOOKUP($A131,'Data shares'!$C:$FB,7)</f>
        <v>3166.8</v>
      </c>
      <c r="C131" s="140">
        <f>VLOOKUP($A131,'Data shares'!$C:$FB,3)</f>
        <v>3174.7</v>
      </c>
      <c r="D131" s="140">
        <f>VLOOKUP($A131,'Data shares'!$C:$FB,4)</f>
        <v>3226</v>
      </c>
      <c r="E131" s="50">
        <f t="shared" si="3"/>
        <v>-1.5902045877247422</v>
      </c>
      <c r="F131" s="49">
        <f>VLOOKUP($A131,'Data shares'!$C:$FB,98)</f>
        <v>27151400</v>
      </c>
      <c r="G131" s="49">
        <f>VLOOKUP($A131,'Data shares'!$C:$FB,99)</f>
        <v>26828800</v>
      </c>
      <c r="H131" s="50">
        <f t="shared" si="4"/>
        <v>1.2024391698473282</v>
      </c>
      <c r="I131" s="49">
        <f>VLOOKUP($A131,'Data shares'!$C:$FB,66)</f>
        <v>9769400</v>
      </c>
      <c r="J131" s="49">
        <f>VLOOKUP($A131,'Data shares'!$C:$FB,67)</f>
        <v>18564800</v>
      </c>
      <c r="K131" s="50">
        <f t="shared" si="5"/>
        <v>-90.030093966876166</v>
      </c>
      <c r="L131" s="50">
        <f>VLOOKUP($A131,'Data shares'!$C:$FB,118)</f>
        <v>0.8</v>
      </c>
      <c r="M131" s="50">
        <f>VLOOKUP($A131,'Data shares'!$C:$FB,119)</f>
        <v>0.9</v>
      </c>
      <c r="N131" s="50">
        <f>VLOOKUP($A131,'Data shares'!$C:$FB,121)*100</f>
        <v>-11.110000000000001</v>
      </c>
      <c r="O131" s="50">
        <f>VLOOKUP($A131,'Data shares'!$C:$FB,124)</f>
        <v>0.6</v>
      </c>
      <c r="P131" s="50">
        <f>VLOOKUP($A131,'Data shares'!$C:$FB,125)</f>
        <v>0.47</v>
      </c>
      <c r="Q131" s="50">
        <f>VLOOKUP($A131,'Data shares'!$C:$FB,127)*100</f>
        <v>27.66</v>
      </c>
    </row>
    <row r="132" spans="1:17" x14ac:dyDescent="0.25">
      <c r="A132" s="97" t="str">
        <f>'Snapshot (Value)'!A136</f>
        <v>MANAPPURAM</v>
      </c>
      <c r="B132" s="140">
        <f>VLOOKUP($A132,'Data shares'!$C:$FB,7)</f>
        <v>262.95</v>
      </c>
      <c r="C132" s="140">
        <f>VLOOKUP($A132,'Data shares'!$C:$FB,3)</f>
        <v>264.45</v>
      </c>
      <c r="D132" s="140">
        <f>VLOOKUP($A132,'Data shares'!$C:$FB,4)</f>
        <v>271</v>
      </c>
      <c r="E132" s="50">
        <f t="shared" si="3"/>
        <v>-2.4169741697417013</v>
      </c>
      <c r="F132" s="49">
        <f>VLOOKUP($A132,'Data shares'!$C:$FB,98)</f>
        <v>74220000</v>
      </c>
      <c r="G132" s="49">
        <f>VLOOKUP($A132,'Data shares'!$C:$FB,99)</f>
        <v>72948000</v>
      </c>
      <c r="H132" s="50">
        <f t="shared" si="4"/>
        <v>1.74370784668531</v>
      </c>
      <c r="I132" s="49">
        <f>VLOOKUP($A132,'Data shares'!$C:$FB,66)</f>
        <v>16026000</v>
      </c>
      <c r="J132" s="49">
        <f>VLOOKUP($A132,'Data shares'!$C:$FB,67)</f>
        <v>54174000</v>
      </c>
      <c r="K132" s="50">
        <f t="shared" si="5"/>
        <v>-238.03818794459005</v>
      </c>
      <c r="L132" s="50">
        <f>VLOOKUP($A132,'Data shares'!$C:$FB,118)</f>
        <v>0.67</v>
      </c>
      <c r="M132" s="50">
        <f>VLOOKUP($A132,'Data shares'!$C:$FB,119)</f>
        <v>0.67</v>
      </c>
      <c r="N132" s="50">
        <f>VLOOKUP($A132,'Data shares'!$C:$FB,121)*100</f>
        <v>0</v>
      </c>
      <c r="O132" s="50">
        <f>VLOOKUP($A132,'Data shares'!$C:$FB,124)</f>
        <v>0.28000000000000003</v>
      </c>
      <c r="P132" s="50">
        <f>VLOOKUP($A132,'Data shares'!$C:$FB,125)</f>
        <v>0.31</v>
      </c>
      <c r="Q132" s="50">
        <f>VLOOKUP($A132,'Data shares'!$C:$FB,127)*100</f>
        <v>-9.68</v>
      </c>
    </row>
    <row r="133" spans="1:17" x14ac:dyDescent="0.25">
      <c r="A133" s="97" t="str">
        <f>'Snapshot (Value)'!A137</f>
        <v>MANKIND</v>
      </c>
      <c r="B133" s="140">
        <f>VLOOKUP($A133,'Data shares'!$C:$FB,7)</f>
        <v>2054.1999999999998</v>
      </c>
      <c r="C133" s="140">
        <f>VLOOKUP($A133,'Data shares'!$C:$FB,3)</f>
        <v>2062.6999999999998</v>
      </c>
      <c r="D133" s="140">
        <f>VLOOKUP($A133,'Data shares'!$C:$FB,4)</f>
        <v>2047.7</v>
      </c>
      <c r="E133" s="50">
        <f t="shared" si="3"/>
        <v>0.73252917907895554</v>
      </c>
      <c r="F133" s="49">
        <f>VLOOKUP($A133,'Data shares'!$C:$FB,98)</f>
        <v>3497400</v>
      </c>
      <c r="G133" s="49">
        <f>VLOOKUP($A133,'Data shares'!$C:$FB,99)</f>
        <v>3469500</v>
      </c>
      <c r="H133" s="50">
        <f t="shared" si="4"/>
        <v>0.80415045395590135</v>
      </c>
      <c r="I133" s="49">
        <f>VLOOKUP($A133,'Data shares'!$C:$FB,66)</f>
        <v>942300</v>
      </c>
      <c r="J133" s="49">
        <f>VLOOKUP($A133,'Data shares'!$C:$FB,67)</f>
        <v>1843425</v>
      </c>
      <c r="K133" s="50">
        <f t="shared" si="5"/>
        <v>-95.630372492836685</v>
      </c>
      <c r="L133" s="50">
        <f>VLOOKUP($A133,'Data shares'!$C:$FB,118)</f>
        <v>0.56000000000000005</v>
      </c>
      <c r="M133" s="50">
        <f>VLOOKUP($A133,'Data shares'!$C:$FB,119)</f>
        <v>0.54</v>
      </c>
      <c r="N133" s="50">
        <f>VLOOKUP($A133,'Data shares'!$C:$FB,121)*100</f>
        <v>3.6999999999999997</v>
      </c>
      <c r="O133" s="50">
        <f>VLOOKUP($A133,'Data shares'!$C:$FB,124)</f>
        <v>0.31</v>
      </c>
      <c r="P133" s="50">
        <f>VLOOKUP($A133,'Data shares'!$C:$FB,125)</f>
        <v>0.43</v>
      </c>
      <c r="Q133" s="50">
        <f>VLOOKUP($A133,'Data shares'!$C:$FB,127)*100</f>
        <v>-27.91</v>
      </c>
    </row>
    <row r="134" spans="1:17" x14ac:dyDescent="0.25">
      <c r="A134" s="97" t="str">
        <f>'Snapshot (Value)'!A138</f>
        <v>MARICO</v>
      </c>
      <c r="B134" s="140">
        <f>VLOOKUP($A134,'Data shares'!$C:$FB,7)</f>
        <v>747.35</v>
      </c>
      <c r="C134" s="140">
        <f>VLOOKUP($A134,'Data shares'!$C:$FB,3)</f>
        <v>751.15</v>
      </c>
      <c r="D134" s="140">
        <f>VLOOKUP($A134,'Data shares'!$C:$FB,4)</f>
        <v>751.15</v>
      </c>
      <c r="E134" s="50">
        <f t="shared" si="3"/>
        <v>0</v>
      </c>
      <c r="F134" s="49">
        <f>VLOOKUP($A134,'Data shares'!$C:$FB,98)</f>
        <v>34699200</v>
      </c>
      <c r="G134" s="49">
        <f>VLOOKUP($A134,'Data shares'!$C:$FB,99)</f>
        <v>34131600</v>
      </c>
      <c r="H134" s="50">
        <f t="shared" si="4"/>
        <v>1.6629750729529233</v>
      </c>
      <c r="I134" s="49">
        <f>VLOOKUP($A134,'Data shares'!$C:$FB,66)</f>
        <v>6644400</v>
      </c>
      <c r="J134" s="49">
        <f>VLOOKUP($A134,'Data shares'!$C:$FB,67)</f>
        <v>21955200</v>
      </c>
      <c r="K134" s="50">
        <f t="shared" si="5"/>
        <v>-230.43164168322195</v>
      </c>
      <c r="L134" s="50">
        <f>VLOOKUP($A134,'Data shares'!$C:$FB,118)</f>
        <v>1.06</v>
      </c>
      <c r="M134" s="50">
        <f>VLOOKUP($A134,'Data shares'!$C:$FB,119)</f>
        <v>1.01</v>
      </c>
      <c r="N134" s="50">
        <f>VLOOKUP($A134,'Data shares'!$C:$FB,121)*100</f>
        <v>4.95</v>
      </c>
      <c r="O134" s="50">
        <f>VLOOKUP($A134,'Data shares'!$C:$FB,124)</f>
        <v>0.33</v>
      </c>
      <c r="P134" s="50">
        <f>VLOOKUP($A134,'Data shares'!$C:$FB,125)</f>
        <v>0.56000000000000005</v>
      </c>
      <c r="Q134" s="50">
        <f>VLOOKUP($A134,'Data shares'!$C:$FB,127)*100</f>
        <v>-41.07</v>
      </c>
    </row>
    <row r="135" spans="1:17" x14ac:dyDescent="0.25">
      <c r="A135" s="97" t="str">
        <f>'Snapshot (Value)'!A139</f>
        <v>MARUTI</v>
      </c>
      <c r="B135" s="140">
        <f>VLOOKUP($A135,'Data shares'!$C:$FB,7)</f>
        <v>13589</v>
      </c>
      <c r="C135" s="140">
        <f>VLOOKUP($A135,'Data shares'!$C:$FB,3)</f>
        <v>13609</v>
      </c>
      <c r="D135" s="140">
        <f>VLOOKUP($A135,'Data shares'!$C:$FB,4)</f>
        <v>13632</v>
      </c>
      <c r="E135" s="50">
        <f t="shared" si="3"/>
        <v>-0.16872065727699531</v>
      </c>
      <c r="F135" s="49">
        <f>VLOOKUP($A135,'Data shares'!$C:$FB,98)</f>
        <v>5764900</v>
      </c>
      <c r="G135" s="49">
        <f>VLOOKUP($A135,'Data shares'!$C:$FB,99)</f>
        <v>5594000</v>
      </c>
      <c r="H135" s="50">
        <f t="shared" si="4"/>
        <v>3.0550589917769035</v>
      </c>
      <c r="I135" s="49">
        <f>VLOOKUP($A135,'Data shares'!$C:$FB,66)</f>
        <v>5992900</v>
      </c>
      <c r="J135" s="49">
        <f>VLOOKUP($A135,'Data shares'!$C:$FB,67)</f>
        <v>7886150</v>
      </c>
      <c r="K135" s="50">
        <f t="shared" si="5"/>
        <v>-31.591550000834324</v>
      </c>
      <c r="L135" s="50">
        <f>VLOOKUP($A135,'Data shares'!$C:$FB,118)</f>
        <v>0.63</v>
      </c>
      <c r="M135" s="50">
        <f>VLOOKUP($A135,'Data shares'!$C:$FB,119)</f>
        <v>0.69</v>
      </c>
      <c r="N135" s="50">
        <f>VLOOKUP($A135,'Data shares'!$C:$FB,121)*100</f>
        <v>-8.6999999999999993</v>
      </c>
      <c r="O135" s="50">
        <f>VLOOKUP($A135,'Data shares'!$C:$FB,124)</f>
        <v>0.53</v>
      </c>
      <c r="P135" s="50">
        <f>VLOOKUP($A135,'Data shares'!$C:$FB,125)</f>
        <v>0.54</v>
      </c>
      <c r="Q135" s="50">
        <f>VLOOKUP($A135,'Data shares'!$C:$FB,127)*100</f>
        <v>-1.8499999999999999</v>
      </c>
    </row>
    <row r="136" spans="1:17" x14ac:dyDescent="0.25">
      <c r="A136" s="97" t="str">
        <f>'Snapshot (Value)'!A140</f>
        <v>MAXHEALTH</v>
      </c>
      <c r="B136" s="140">
        <f>VLOOKUP($A136,'Data shares'!$C:$FB,7)</f>
        <v>954.95</v>
      </c>
      <c r="C136" s="140">
        <f>VLOOKUP($A136,'Data shares'!$C:$FB,3)</f>
        <v>957.05</v>
      </c>
      <c r="D136" s="140">
        <f>VLOOKUP($A136,'Data shares'!$C:$FB,4)</f>
        <v>946.1</v>
      </c>
      <c r="E136" s="50">
        <f t="shared" ref="E136:E172" si="6">(C136-D136)/D136*100</f>
        <v>1.1573829404925411</v>
      </c>
      <c r="F136" s="49">
        <f>VLOOKUP($A136,'Data shares'!$C:$FB,98)</f>
        <v>18619650</v>
      </c>
      <c r="G136" s="49">
        <f>VLOOKUP($A136,'Data shares'!$C:$FB,99)</f>
        <v>18600750</v>
      </c>
      <c r="H136" s="50">
        <f t="shared" ref="H136:H172" si="7">(F136-G136)/G136*100</f>
        <v>0.10160880609652836</v>
      </c>
      <c r="I136" s="49">
        <f>VLOOKUP($A136,'Data shares'!$C:$FB,66)</f>
        <v>10305225</v>
      </c>
      <c r="J136" s="49">
        <f>VLOOKUP($A136,'Data shares'!$C:$FB,67)</f>
        <v>8839950</v>
      </c>
      <c r="K136" s="50">
        <f t="shared" ref="K136:K172" si="8">(I136-J136)/I136*100</f>
        <v>14.218757960160985</v>
      </c>
      <c r="L136" s="50">
        <f>VLOOKUP($A136,'Data shares'!$C:$FB,118)</f>
        <v>0.65</v>
      </c>
      <c r="M136" s="50">
        <f>VLOOKUP($A136,'Data shares'!$C:$FB,119)</f>
        <v>0.6</v>
      </c>
      <c r="N136" s="50">
        <f>VLOOKUP($A136,'Data shares'!$C:$FB,121)*100</f>
        <v>8.33</v>
      </c>
      <c r="O136" s="50">
        <f>VLOOKUP($A136,'Data shares'!$C:$FB,124)</f>
        <v>0.26</v>
      </c>
      <c r="P136" s="50">
        <f>VLOOKUP($A136,'Data shares'!$C:$FB,125)</f>
        <v>0.5</v>
      </c>
      <c r="Q136" s="50">
        <f>VLOOKUP($A136,'Data shares'!$C:$FB,127)*100</f>
        <v>-48</v>
      </c>
    </row>
    <row r="137" spans="1:17" x14ac:dyDescent="0.25">
      <c r="A137" s="97" t="str">
        <f>'Snapshot (Value)'!A141</f>
        <v>MAZDOCK</v>
      </c>
      <c r="B137" s="140">
        <f>VLOOKUP($A137,'Data shares'!$C:$FB,7)</f>
        <v>2435.5</v>
      </c>
      <c r="C137" s="140">
        <f>VLOOKUP($A137,'Data shares'!$C:$FB,3)</f>
        <v>2448.4</v>
      </c>
      <c r="D137" s="140">
        <f>VLOOKUP($A137,'Data shares'!$C:$FB,4)</f>
        <v>2403.9</v>
      </c>
      <c r="E137" s="50">
        <f t="shared" si="6"/>
        <v>1.851158534048837</v>
      </c>
      <c r="F137" s="49">
        <f>VLOOKUP($A137,'Data shares'!$C:$FB,98)</f>
        <v>9238800</v>
      </c>
      <c r="G137" s="49">
        <f>VLOOKUP($A137,'Data shares'!$C:$FB,99)</f>
        <v>8763600</v>
      </c>
      <c r="H137" s="50">
        <f t="shared" si="7"/>
        <v>5.4224291387101191</v>
      </c>
      <c r="I137" s="49">
        <f>VLOOKUP($A137,'Data shares'!$C:$FB,66)</f>
        <v>13184000</v>
      </c>
      <c r="J137" s="49">
        <f>VLOOKUP($A137,'Data shares'!$C:$FB,67)</f>
        <v>5856000</v>
      </c>
      <c r="K137" s="50">
        <f t="shared" si="8"/>
        <v>55.582524271844655</v>
      </c>
      <c r="L137" s="50">
        <f>VLOOKUP($A137,'Data shares'!$C:$FB,118)</f>
        <v>0.82</v>
      </c>
      <c r="M137" s="50">
        <f>VLOOKUP($A137,'Data shares'!$C:$FB,119)</f>
        <v>0.79</v>
      </c>
      <c r="N137" s="50">
        <f>VLOOKUP($A137,'Data shares'!$C:$FB,121)*100</f>
        <v>3.8</v>
      </c>
      <c r="O137" s="50">
        <f>VLOOKUP($A137,'Data shares'!$C:$FB,124)</f>
        <v>0.32</v>
      </c>
      <c r="P137" s="50">
        <f>VLOOKUP($A137,'Data shares'!$C:$FB,125)</f>
        <v>0.42</v>
      </c>
      <c r="Q137" s="50">
        <f>VLOOKUP($A137,'Data shares'!$C:$FB,127)*100</f>
        <v>-23.810000000000002</v>
      </c>
    </row>
    <row r="138" spans="1:17" x14ac:dyDescent="0.25">
      <c r="A138" s="97" t="str">
        <f>'Snapshot (Value)'!A142</f>
        <v>MCX</v>
      </c>
      <c r="B138" s="140">
        <f>VLOOKUP($A138,'Data shares'!$C:$FB,7)</f>
        <v>2657.5</v>
      </c>
      <c r="C138" s="140">
        <f>VLOOKUP($A138,'Data shares'!$C:$FB,3)</f>
        <v>2666.9</v>
      </c>
      <c r="D138" s="140">
        <f>VLOOKUP($A138,'Data shares'!$C:$FB,4)</f>
        <v>2609.8000000000002</v>
      </c>
      <c r="E138" s="50">
        <f t="shared" si="6"/>
        <v>2.1879071193194846</v>
      </c>
      <c r="F138" s="49">
        <f>VLOOKUP($A138,'Data shares'!$C:$FB,98)</f>
        <v>24019375</v>
      </c>
      <c r="G138" s="49">
        <f>VLOOKUP($A138,'Data shares'!$C:$FB,99)</f>
        <v>22724375</v>
      </c>
      <c r="H138" s="50">
        <f t="shared" si="7"/>
        <v>5.698726587639924</v>
      </c>
      <c r="I138" s="49">
        <f>VLOOKUP($A138,'Data shares'!$C:$FB,66)</f>
        <v>24997500</v>
      </c>
      <c r="J138" s="49">
        <f>VLOOKUP($A138,'Data shares'!$C:$FB,67)</f>
        <v>28677500</v>
      </c>
      <c r="K138" s="50">
        <f t="shared" si="8"/>
        <v>-14.721472147214721</v>
      </c>
      <c r="L138" s="50">
        <f>VLOOKUP($A138,'Data shares'!$C:$FB,118)</f>
        <v>0.92</v>
      </c>
      <c r="M138" s="50">
        <f>VLOOKUP($A138,'Data shares'!$C:$FB,119)</f>
        <v>0.84</v>
      </c>
      <c r="N138" s="50">
        <f>VLOOKUP($A138,'Data shares'!$C:$FB,121)*100</f>
        <v>9.5200000000000014</v>
      </c>
      <c r="O138" s="50">
        <f>VLOOKUP($A138,'Data shares'!$C:$FB,124)</f>
        <v>0.56999999999999995</v>
      </c>
      <c r="P138" s="50">
        <f>VLOOKUP($A138,'Data shares'!$C:$FB,125)</f>
        <v>0.51</v>
      </c>
      <c r="Q138" s="50">
        <f>VLOOKUP($A138,'Data shares'!$C:$FB,127)*100</f>
        <v>11.76</v>
      </c>
    </row>
    <row r="139" spans="1:17" x14ac:dyDescent="0.25">
      <c r="A139" s="97" t="str">
        <f>'Snapshot (Value)'!A143</f>
        <v>MFSL</v>
      </c>
      <c r="B139" s="140">
        <f>VLOOKUP($A139,'Data shares'!$C:$FB,7)</f>
        <v>1607.4</v>
      </c>
      <c r="C139" s="140">
        <f>VLOOKUP($A139,'Data shares'!$C:$FB,3)</f>
        <v>1610.9</v>
      </c>
      <c r="D139" s="140">
        <f>VLOOKUP($A139,'Data shares'!$C:$FB,4)</f>
        <v>1592.6</v>
      </c>
      <c r="E139" s="50">
        <f t="shared" si="6"/>
        <v>1.1490644229561837</v>
      </c>
      <c r="F139" s="49">
        <f>VLOOKUP($A139,'Data shares'!$C:$FB,98)</f>
        <v>11442800</v>
      </c>
      <c r="G139" s="49">
        <f>VLOOKUP($A139,'Data shares'!$C:$FB,99)</f>
        <v>11658400</v>
      </c>
      <c r="H139" s="50">
        <f t="shared" si="7"/>
        <v>-1.8493103684896726</v>
      </c>
      <c r="I139" s="49">
        <f>VLOOKUP($A139,'Data shares'!$C:$FB,66)</f>
        <v>1919200</v>
      </c>
      <c r="J139" s="49">
        <f>VLOOKUP($A139,'Data shares'!$C:$FB,67)</f>
        <v>4159200</v>
      </c>
      <c r="K139" s="50">
        <f t="shared" si="8"/>
        <v>-116.71529804085034</v>
      </c>
      <c r="L139" s="50">
        <f>VLOOKUP($A139,'Data shares'!$C:$FB,118)</f>
        <v>0.78</v>
      </c>
      <c r="M139" s="50">
        <f>VLOOKUP($A139,'Data shares'!$C:$FB,119)</f>
        <v>0.68</v>
      </c>
      <c r="N139" s="50">
        <f>VLOOKUP($A139,'Data shares'!$C:$FB,121)*100</f>
        <v>14.71</v>
      </c>
      <c r="O139" s="50">
        <f>VLOOKUP($A139,'Data shares'!$C:$FB,124)</f>
        <v>0.55000000000000004</v>
      </c>
      <c r="P139" s="50">
        <f>VLOOKUP($A139,'Data shares'!$C:$FB,125)</f>
        <v>0.49</v>
      </c>
      <c r="Q139" s="50">
        <f>VLOOKUP($A139,'Data shares'!$C:$FB,127)*100</f>
        <v>12.24</v>
      </c>
    </row>
    <row r="140" spans="1:17" x14ac:dyDescent="0.25">
      <c r="A140" s="97" t="str">
        <f>'Snapshot (Value)'!A144</f>
        <v>MIDCPNIFTY</v>
      </c>
      <c r="B140" s="140">
        <f>VLOOKUP($A140,'Data shares'!$C:$FB,7)</f>
        <v>13207.3</v>
      </c>
      <c r="C140" s="140">
        <f>VLOOKUP($A140,'Data shares'!$C:$FB,3)</f>
        <v>13233.3</v>
      </c>
      <c r="D140" s="140">
        <f>VLOOKUP($A140,'Data shares'!$C:$FB,4)</f>
        <v>13264.85</v>
      </c>
      <c r="E140" s="50">
        <f t="shared" si="6"/>
        <v>-0.23784663980369994</v>
      </c>
      <c r="F140" s="49">
        <f>VLOOKUP($A140,'Data shares'!$C:$FB,98)</f>
        <v>10378560</v>
      </c>
      <c r="G140" s="49">
        <f>VLOOKUP($A140,'Data shares'!$C:$FB,99)</f>
        <v>9498720</v>
      </c>
      <c r="H140" s="50">
        <f t="shared" si="7"/>
        <v>9.2627217140835807</v>
      </c>
      <c r="I140" s="49">
        <f>VLOOKUP($A140,'Data shares'!$C:$FB,66)</f>
        <v>22427880</v>
      </c>
      <c r="J140" s="49">
        <f>VLOOKUP($A140,'Data shares'!$C:$FB,67)</f>
        <v>21762960</v>
      </c>
      <c r="K140" s="50">
        <f t="shared" si="8"/>
        <v>2.9647028609034827</v>
      </c>
      <c r="L140" s="50">
        <f>VLOOKUP($A140,'Data shares'!$C:$FB,118)</f>
        <v>1.0900000000000001</v>
      </c>
      <c r="M140" s="50">
        <f>VLOOKUP($A140,'Data shares'!$C:$FB,119)</f>
        <v>0.97</v>
      </c>
      <c r="N140" s="50">
        <f>VLOOKUP($A140,'Data shares'!$C:$FB,121)*100</f>
        <v>12.370000000000001</v>
      </c>
      <c r="O140" s="50">
        <f>VLOOKUP($A140,'Data shares'!$C:$FB,124)</f>
        <v>1.05</v>
      </c>
      <c r="P140" s="50">
        <f>VLOOKUP($A140,'Data shares'!$C:$FB,125)</f>
        <v>1.1299999999999999</v>
      </c>
      <c r="Q140" s="50">
        <f>VLOOKUP($A140,'Data shares'!$C:$FB,127)*100</f>
        <v>-7.08</v>
      </c>
    </row>
    <row r="141" spans="1:17" x14ac:dyDescent="0.25">
      <c r="A141" s="97" t="str">
        <f>'Snapshot (Value)'!A145</f>
        <v>MOTHERSON</v>
      </c>
      <c r="B141" s="140">
        <f>VLOOKUP($A141,'Data shares'!$C:$FB,7)</f>
        <v>116.9</v>
      </c>
      <c r="C141" s="140">
        <f>VLOOKUP($A141,'Data shares'!$C:$FB,3)</f>
        <v>117.36</v>
      </c>
      <c r="D141" s="140">
        <f>VLOOKUP($A141,'Data shares'!$C:$FB,4)</f>
        <v>118.73</v>
      </c>
      <c r="E141" s="50">
        <f t="shared" si="6"/>
        <v>-1.153878547965977</v>
      </c>
      <c r="F141" s="49">
        <f>VLOOKUP($A141,'Data shares'!$C:$FB,98)</f>
        <v>199635150</v>
      </c>
      <c r="G141" s="49">
        <f>VLOOKUP($A141,'Data shares'!$C:$FB,99)</f>
        <v>199303050</v>
      </c>
      <c r="H141" s="50">
        <f t="shared" si="7"/>
        <v>0.16663066621408956</v>
      </c>
      <c r="I141" s="49">
        <f>VLOOKUP($A141,'Data shares'!$C:$FB,66)</f>
        <v>56063400</v>
      </c>
      <c r="J141" s="49">
        <f>VLOOKUP($A141,'Data shares'!$C:$FB,67)</f>
        <v>176129850</v>
      </c>
      <c r="K141" s="50">
        <f t="shared" si="8"/>
        <v>-214.16191311978938</v>
      </c>
      <c r="L141" s="50">
        <f>VLOOKUP($A141,'Data shares'!$C:$FB,118)</f>
        <v>0.8</v>
      </c>
      <c r="M141" s="50">
        <f>VLOOKUP($A141,'Data shares'!$C:$FB,119)</f>
        <v>0.82</v>
      </c>
      <c r="N141" s="50">
        <f>VLOOKUP($A141,'Data shares'!$C:$FB,121)*100</f>
        <v>-2.44</v>
      </c>
      <c r="O141" s="50">
        <f>VLOOKUP($A141,'Data shares'!$C:$FB,124)</f>
        <v>0.64</v>
      </c>
      <c r="P141" s="50">
        <f>VLOOKUP($A141,'Data shares'!$C:$FB,125)</f>
        <v>0.55000000000000004</v>
      </c>
      <c r="Q141" s="50">
        <f>VLOOKUP($A141,'Data shares'!$C:$FB,127)*100</f>
        <v>16.36</v>
      </c>
    </row>
    <row r="142" spans="1:17" x14ac:dyDescent="0.25">
      <c r="A142" s="97" t="str">
        <f>'Snapshot (Value)'!A146</f>
        <v>MOTILALOFS</v>
      </c>
      <c r="B142" s="140">
        <f>VLOOKUP($A142,'Data shares'!$C:$FB,7)</f>
        <v>761.15</v>
      </c>
      <c r="C142" s="140">
        <f>VLOOKUP($A142,'Data shares'!$C:$FB,3)</f>
        <v>764.85</v>
      </c>
      <c r="D142" s="140">
        <f>VLOOKUP($A142,'Data shares'!$C:$FB,4)</f>
        <v>761.1</v>
      </c>
      <c r="E142" s="50">
        <f t="shared" si="6"/>
        <v>0.4927079227433977</v>
      </c>
      <c r="F142" s="49">
        <f>VLOOKUP($A142,'Data shares'!$C:$FB,98)</f>
        <v>2862075</v>
      </c>
      <c r="G142" s="49">
        <f>VLOOKUP($A142,'Data shares'!$C:$FB,99)</f>
        <v>2347475</v>
      </c>
      <c r="H142" s="50">
        <f t="shared" si="7"/>
        <v>21.921426213271708</v>
      </c>
      <c r="I142" s="49">
        <f>VLOOKUP($A142,'Data shares'!$C:$FB,66)</f>
        <v>5318050</v>
      </c>
      <c r="J142" s="49">
        <f>VLOOKUP($A142,'Data shares'!$C:$FB,67)</f>
        <v>3930025</v>
      </c>
      <c r="K142" s="50">
        <f t="shared" si="8"/>
        <v>26.100262314194111</v>
      </c>
      <c r="L142" s="50">
        <f>VLOOKUP($A142,'Data shares'!$C:$FB,118)</f>
        <v>0.87</v>
      </c>
      <c r="M142" s="50">
        <f>VLOOKUP($A142,'Data shares'!$C:$FB,119)</f>
        <v>0.94</v>
      </c>
      <c r="N142" s="50">
        <f>VLOOKUP($A142,'Data shares'!$C:$FB,121)*100</f>
        <v>-7.4499999999999993</v>
      </c>
      <c r="O142" s="50">
        <f>VLOOKUP($A142,'Data shares'!$C:$FB,124)</f>
        <v>0.98</v>
      </c>
      <c r="P142" s="50">
        <f>VLOOKUP($A142,'Data shares'!$C:$FB,125)</f>
        <v>1.52</v>
      </c>
      <c r="Q142" s="50">
        <f>VLOOKUP($A142,'Data shares'!$C:$FB,127)*100</f>
        <v>-35.53</v>
      </c>
    </row>
    <row r="143" spans="1:17" x14ac:dyDescent="0.25">
      <c r="A143" s="97" t="str">
        <f>'Snapshot (Value)'!A147</f>
        <v>MPHASIS</v>
      </c>
      <c r="B143" s="140">
        <f>VLOOKUP($A143,'Data shares'!$C:$FB,7)</f>
        <v>2385.3000000000002</v>
      </c>
      <c r="C143" s="140">
        <f>VLOOKUP($A143,'Data shares'!$C:$FB,3)</f>
        <v>2395.6</v>
      </c>
      <c r="D143" s="140">
        <f>VLOOKUP($A143,'Data shares'!$C:$FB,4)</f>
        <v>2360.6</v>
      </c>
      <c r="E143" s="50">
        <f t="shared" si="6"/>
        <v>1.4826738964669999</v>
      </c>
      <c r="F143" s="49">
        <f>VLOOKUP($A143,'Data shares'!$C:$FB,98)</f>
        <v>6593675</v>
      </c>
      <c r="G143" s="49">
        <f>VLOOKUP($A143,'Data shares'!$C:$FB,99)</f>
        <v>6383850</v>
      </c>
      <c r="H143" s="50">
        <f t="shared" si="7"/>
        <v>3.2868096838114931</v>
      </c>
      <c r="I143" s="49">
        <f>VLOOKUP($A143,'Data shares'!$C:$FB,66)</f>
        <v>4203375</v>
      </c>
      <c r="J143" s="49">
        <f>VLOOKUP($A143,'Data shares'!$C:$FB,67)</f>
        <v>4633475</v>
      </c>
      <c r="K143" s="50">
        <f t="shared" si="8"/>
        <v>-10.232253843637555</v>
      </c>
      <c r="L143" s="50">
        <f>VLOOKUP($A143,'Data shares'!$C:$FB,118)</f>
        <v>0.91</v>
      </c>
      <c r="M143" s="50">
        <f>VLOOKUP($A143,'Data shares'!$C:$FB,119)</f>
        <v>0.78</v>
      </c>
      <c r="N143" s="50">
        <f>VLOOKUP($A143,'Data shares'!$C:$FB,121)*100</f>
        <v>16.669999999999998</v>
      </c>
      <c r="O143" s="50">
        <f>VLOOKUP($A143,'Data shares'!$C:$FB,124)</f>
        <v>0.72</v>
      </c>
      <c r="P143" s="50">
        <f>VLOOKUP($A143,'Data shares'!$C:$FB,125)</f>
        <v>0.54</v>
      </c>
      <c r="Q143" s="50">
        <f>VLOOKUP($A143,'Data shares'!$C:$FB,127)*100</f>
        <v>33.33</v>
      </c>
    </row>
    <row r="144" spans="1:17" x14ac:dyDescent="0.25">
      <c r="A144" s="97" t="str">
        <f>'Snapshot (Value)'!A148</f>
        <v>MUTHOOTFIN</v>
      </c>
      <c r="B144" s="140">
        <f>VLOOKUP($A144,'Data shares'!$C:$FB,7)</f>
        <v>3475.2</v>
      </c>
      <c r="C144" s="140">
        <f>VLOOKUP($A144,'Data shares'!$C:$FB,3)</f>
        <v>3458.3</v>
      </c>
      <c r="D144" s="140">
        <f>VLOOKUP($A144,'Data shares'!$C:$FB,4)</f>
        <v>3484.5</v>
      </c>
      <c r="E144" s="50">
        <f t="shared" si="6"/>
        <v>-0.75190127708422494</v>
      </c>
      <c r="F144" s="49">
        <f>VLOOKUP($A144,'Data shares'!$C:$FB,98)</f>
        <v>6659675</v>
      </c>
      <c r="G144" s="49">
        <f>VLOOKUP($A144,'Data shares'!$C:$FB,99)</f>
        <v>6691025</v>
      </c>
      <c r="H144" s="50">
        <f t="shared" si="7"/>
        <v>-0.46853807899387612</v>
      </c>
      <c r="I144" s="49">
        <f>VLOOKUP($A144,'Data shares'!$C:$FB,66)</f>
        <v>3826625</v>
      </c>
      <c r="J144" s="49">
        <f>VLOOKUP($A144,'Data shares'!$C:$FB,67)</f>
        <v>9161350</v>
      </c>
      <c r="K144" s="50">
        <f t="shared" si="8"/>
        <v>-139.41070786920588</v>
      </c>
      <c r="L144" s="50">
        <f>VLOOKUP($A144,'Data shares'!$C:$FB,118)</f>
        <v>0.69</v>
      </c>
      <c r="M144" s="50">
        <f>VLOOKUP($A144,'Data shares'!$C:$FB,119)</f>
        <v>0.66</v>
      </c>
      <c r="N144" s="50">
        <f>VLOOKUP($A144,'Data shares'!$C:$FB,121)*100</f>
        <v>4.55</v>
      </c>
      <c r="O144" s="50">
        <f>VLOOKUP($A144,'Data shares'!$C:$FB,124)</f>
        <v>0.4</v>
      </c>
      <c r="P144" s="50">
        <f>VLOOKUP($A144,'Data shares'!$C:$FB,125)</f>
        <v>0.33</v>
      </c>
      <c r="Q144" s="50">
        <f>VLOOKUP($A144,'Data shares'!$C:$FB,127)*100</f>
        <v>21.21</v>
      </c>
    </row>
    <row r="145" spans="1:17" x14ac:dyDescent="0.25">
      <c r="A145" s="97" t="str">
        <f>'Snapshot (Value)'!A149</f>
        <v>NAM-INDIA</v>
      </c>
      <c r="B145" s="140">
        <f>VLOOKUP($A145,'Data shares'!$C:$FB,7)</f>
        <v>908.65</v>
      </c>
      <c r="C145" s="140">
        <f>VLOOKUP($A145,'Data shares'!$C:$FB,3)</f>
        <v>906.95</v>
      </c>
      <c r="D145" s="140">
        <f>VLOOKUP($A145,'Data shares'!$C:$FB,4)</f>
        <v>901.4</v>
      </c>
      <c r="E145" s="50">
        <f t="shared" si="6"/>
        <v>0.61570889727091949</v>
      </c>
      <c r="F145" s="49">
        <f>VLOOKUP($A145,'Data shares'!$C:$FB,98)</f>
        <v>2213125</v>
      </c>
      <c r="G145" s="49">
        <f>VLOOKUP($A145,'Data shares'!$C:$FB,99)</f>
        <v>1910000</v>
      </c>
      <c r="H145" s="50">
        <f t="shared" si="7"/>
        <v>15.870418848167539</v>
      </c>
      <c r="I145" s="49">
        <f>VLOOKUP($A145,'Data shares'!$C:$FB,66)</f>
        <v>3278750</v>
      </c>
      <c r="J145" s="49">
        <f>VLOOKUP($A145,'Data shares'!$C:$FB,67)</f>
        <v>5198750</v>
      </c>
      <c r="K145" s="50">
        <f t="shared" si="8"/>
        <v>-58.558902020587112</v>
      </c>
      <c r="L145" s="50">
        <f>VLOOKUP($A145,'Data shares'!$C:$FB,118)</f>
        <v>0.52</v>
      </c>
      <c r="M145" s="50">
        <f>VLOOKUP($A145,'Data shares'!$C:$FB,119)</f>
        <v>0.31</v>
      </c>
      <c r="N145" s="50">
        <f>VLOOKUP($A145,'Data shares'!$C:$FB,121)*100</f>
        <v>67.739999999999995</v>
      </c>
      <c r="O145" s="50">
        <f>VLOOKUP($A145,'Data shares'!$C:$FB,124)</f>
        <v>1.73</v>
      </c>
      <c r="P145" s="50">
        <f>VLOOKUP($A145,'Data shares'!$C:$FB,125)</f>
        <v>0.32</v>
      </c>
      <c r="Q145" s="50">
        <f>VLOOKUP($A145,'Data shares'!$C:$FB,127)*100</f>
        <v>440.63</v>
      </c>
    </row>
    <row r="146" spans="1:17" x14ac:dyDescent="0.25">
      <c r="A146" s="97" t="str">
        <f>'Snapshot (Value)'!A150</f>
        <v>NATIONALUM</v>
      </c>
      <c r="B146" s="140">
        <f>VLOOKUP($A146,'Data shares'!$C:$FB,7)</f>
        <v>412.35</v>
      </c>
      <c r="C146" s="140">
        <f>VLOOKUP($A146,'Data shares'!$C:$FB,3)</f>
        <v>414.55</v>
      </c>
      <c r="D146" s="140">
        <f>VLOOKUP($A146,'Data shares'!$C:$FB,4)</f>
        <v>402.2</v>
      </c>
      <c r="E146" s="50">
        <f t="shared" si="6"/>
        <v>3.0706116360019946</v>
      </c>
      <c r="F146" s="49">
        <f>VLOOKUP($A146,'Data shares'!$C:$FB,98)</f>
        <v>115230000</v>
      </c>
      <c r="G146" s="49">
        <f>VLOOKUP($A146,'Data shares'!$C:$FB,99)</f>
        <v>107846250</v>
      </c>
      <c r="H146" s="50">
        <f t="shared" si="7"/>
        <v>6.8465523836016544</v>
      </c>
      <c r="I146" s="49">
        <f>VLOOKUP($A146,'Data shares'!$C:$FB,66)</f>
        <v>135622500</v>
      </c>
      <c r="J146" s="49">
        <f>VLOOKUP($A146,'Data shares'!$C:$FB,67)</f>
        <v>99982500</v>
      </c>
      <c r="K146" s="50">
        <f t="shared" si="8"/>
        <v>26.278825416136701</v>
      </c>
      <c r="L146" s="50">
        <f>VLOOKUP($A146,'Data shares'!$C:$FB,118)</f>
        <v>0.82</v>
      </c>
      <c r="M146" s="50">
        <f>VLOOKUP($A146,'Data shares'!$C:$FB,119)</f>
        <v>0.96</v>
      </c>
      <c r="N146" s="50">
        <f>VLOOKUP($A146,'Data shares'!$C:$FB,121)*100</f>
        <v>-14.580000000000002</v>
      </c>
      <c r="O146" s="50">
        <f>VLOOKUP($A146,'Data shares'!$C:$FB,124)</f>
        <v>0.31</v>
      </c>
      <c r="P146" s="50">
        <f>VLOOKUP($A146,'Data shares'!$C:$FB,125)</f>
        <v>0.57999999999999996</v>
      </c>
      <c r="Q146" s="50">
        <f>VLOOKUP($A146,'Data shares'!$C:$FB,127)*100</f>
        <v>-46.550000000000004</v>
      </c>
    </row>
    <row r="147" spans="1:17" x14ac:dyDescent="0.25">
      <c r="A147" s="97" t="str">
        <f>'Snapshot (Value)'!A151</f>
        <v>NAUKRI</v>
      </c>
      <c r="B147" s="140">
        <f>VLOOKUP($A147,'Data shares'!$C:$FB,7)</f>
        <v>1002.4</v>
      </c>
      <c r="C147" s="140">
        <f>VLOOKUP($A147,'Data shares'!$C:$FB,3)</f>
        <v>1003.25</v>
      </c>
      <c r="D147" s="140">
        <f>VLOOKUP($A147,'Data shares'!$C:$FB,4)</f>
        <v>1032.1500000000001</v>
      </c>
      <c r="E147" s="50">
        <f t="shared" si="6"/>
        <v>-2.7999806229714759</v>
      </c>
      <c r="F147" s="49">
        <f>VLOOKUP($A147,'Data shares'!$C:$FB,98)</f>
        <v>13364250</v>
      </c>
      <c r="G147" s="49">
        <f>VLOOKUP($A147,'Data shares'!$C:$FB,99)</f>
        <v>12384750</v>
      </c>
      <c r="H147" s="50">
        <f t="shared" si="7"/>
        <v>7.9089202446557261</v>
      </c>
      <c r="I147" s="49">
        <f>VLOOKUP($A147,'Data shares'!$C:$FB,66)</f>
        <v>12907875</v>
      </c>
      <c r="J147" s="49">
        <f>VLOOKUP($A147,'Data shares'!$C:$FB,67)</f>
        <v>3685875</v>
      </c>
      <c r="K147" s="50">
        <f t="shared" si="8"/>
        <v>71.444757560791373</v>
      </c>
      <c r="L147" s="50">
        <f>VLOOKUP($A147,'Data shares'!$C:$FB,118)</f>
        <v>0.5</v>
      </c>
      <c r="M147" s="50">
        <f>VLOOKUP($A147,'Data shares'!$C:$FB,119)</f>
        <v>0.46</v>
      </c>
      <c r="N147" s="50">
        <f>VLOOKUP($A147,'Data shares'!$C:$FB,121)*100</f>
        <v>8.6999999999999993</v>
      </c>
      <c r="O147" s="50">
        <f>VLOOKUP($A147,'Data shares'!$C:$FB,124)</f>
        <v>0.79</v>
      </c>
      <c r="P147" s="50">
        <f>VLOOKUP($A147,'Data shares'!$C:$FB,125)</f>
        <v>0.41</v>
      </c>
      <c r="Q147" s="50">
        <f>VLOOKUP($A147,'Data shares'!$C:$FB,127)*100</f>
        <v>92.679999999999993</v>
      </c>
    </row>
    <row r="148" spans="1:17" x14ac:dyDescent="0.25">
      <c r="A148" s="97" t="str">
        <f>'Snapshot (Value)'!A152</f>
        <v>NBCC</v>
      </c>
      <c r="B148" s="140">
        <f>VLOOKUP($A148,'Data shares'!$C:$FB,7)</f>
        <v>87.83</v>
      </c>
      <c r="C148" s="140">
        <f>VLOOKUP($A148,'Data shares'!$C:$FB,3)</f>
        <v>88.25</v>
      </c>
      <c r="D148" s="140">
        <f>VLOOKUP($A148,'Data shares'!$C:$FB,4)</f>
        <v>89.18</v>
      </c>
      <c r="E148" s="50">
        <f t="shared" si="6"/>
        <v>-1.0428347163041116</v>
      </c>
      <c r="F148" s="49">
        <f>VLOOKUP($A148,'Data shares'!$C:$FB,98)</f>
        <v>106353000</v>
      </c>
      <c r="G148" s="49">
        <f>VLOOKUP($A148,'Data shares'!$C:$FB,99)</f>
        <v>104643500</v>
      </c>
      <c r="H148" s="50">
        <f t="shared" si="7"/>
        <v>1.6336418411081435</v>
      </c>
      <c r="I148" s="49">
        <f>VLOOKUP($A148,'Data shares'!$C:$FB,66)</f>
        <v>26136500</v>
      </c>
      <c r="J148" s="49">
        <f>VLOOKUP($A148,'Data shares'!$C:$FB,67)</f>
        <v>44746000</v>
      </c>
      <c r="K148" s="50">
        <f t="shared" si="8"/>
        <v>-71.201193732902269</v>
      </c>
      <c r="L148" s="50">
        <f>VLOOKUP($A148,'Data shares'!$C:$FB,118)</f>
        <v>0.83</v>
      </c>
      <c r="M148" s="50">
        <f>VLOOKUP($A148,'Data shares'!$C:$FB,119)</f>
        <v>0.89</v>
      </c>
      <c r="N148" s="50">
        <f>VLOOKUP($A148,'Data shares'!$C:$FB,121)*100</f>
        <v>-6.74</v>
      </c>
      <c r="O148" s="50">
        <f>VLOOKUP($A148,'Data shares'!$C:$FB,124)</f>
        <v>0.46</v>
      </c>
      <c r="P148" s="50">
        <f>VLOOKUP($A148,'Data shares'!$C:$FB,125)</f>
        <v>0.45</v>
      </c>
      <c r="Q148" s="50">
        <f>VLOOKUP($A148,'Data shares'!$C:$FB,127)*100</f>
        <v>2.2200000000000002</v>
      </c>
    </row>
    <row r="149" spans="1:17" x14ac:dyDescent="0.25">
      <c r="A149" s="97" t="str">
        <f>'Snapshot (Value)'!A153</f>
        <v>NESTLEIND</v>
      </c>
      <c r="B149" s="140">
        <f>VLOOKUP($A149,'Data shares'!$C:$FB,7)</f>
        <v>1228.7</v>
      </c>
      <c r="C149" s="140">
        <f>VLOOKUP($A149,'Data shares'!$C:$FB,3)</f>
        <v>1231.0999999999999</v>
      </c>
      <c r="D149" s="140">
        <f>VLOOKUP($A149,'Data shares'!$C:$FB,4)</f>
        <v>1217.3</v>
      </c>
      <c r="E149" s="50">
        <f t="shared" si="6"/>
        <v>1.1336564528053852</v>
      </c>
      <c r="F149" s="49">
        <f>VLOOKUP($A149,'Data shares'!$C:$FB,98)</f>
        <v>22165000</v>
      </c>
      <c r="G149" s="49">
        <f>VLOOKUP($A149,'Data shares'!$C:$FB,99)</f>
        <v>22412500</v>
      </c>
      <c r="H149" s="50">
        <f t="shared" si="7"/>
        <v>-1.1042944785276074</v>
      </c>
      <c r="I149" s="49">
        <f>VLOOKUP($A149,'Data shares'!$C:$FB,66)</f>
        <v>4834000</v>
      </c>
      <c r="J149" s="49">
        <f>VLOOKUP($A149,'Data shares'!$C:$FB,67)</f>
        <v>7835000</v>
      </c>
      <c r="K149" s="50">
        <f t="shared" si="8"/>
        <v>-62.081092263136114</v>
      </c>
      <c r="L149" s="50">
        <f>VLOOKUP($A149,'Data shares'!$C:$FB,118)</f>
        <v>0.73</v>
      </c>
      <c r="M149" s="50">
        <f>VLOOKUP($A149,'Data shares'!$C:$FB,119)</f>
        <v>0.71</v>
      </c>
      <c r="N149" s="50">
        <f>VLOOKUP($A149,'Data shares'!$C:$FB,121)*100</f>
        <v>2.82</v>
      </c>
      <c r="O149" s="50">
        <f>VLOOKUP($A149,'Data shares'!$C:$FB,124)</f>
        <v>0.56000000000000005</v>
      </c>
      <c r="P149" s="50">
        <f>VLOOKUP($A149,'Data shares'!$C:$FB,125)</f>
        <v>0.56000000000000005</v>
      </c>
      <c r="Q149" s="50">
        <f>VLOOKUP($A149,'Data shares'!$C:$FB,127)*100</f>
        <v>0</v>
      </c>
    </row>
    <row r="150" spans="1:17" x14ac:dyDescent="0.25">
      <c r="A150" s="97" t="str">
        <f>'Snapshot (Value)'!A154</f>
        <v>NHPC</v>
      </c>
      <c r="B150" s="140">
        <f>VLOOKUP($A150,'Data shares'!$C:$FB,7)</f>
        <v>77.11</v>
      </c>
      <c r="C150" s="140">
        <f>VLOOKUP($A150,'Data shares'!$C:$FB,3)</f>
        <v>77.25</v>
      </c>
      <c r="D150" s="140">
        <f>VLOOKUP($A150,'Data shares'!$C:$FB,4)</f>
        <v>77.13</v>
      </c>
      <c r="E150" s="50">
        <f t="shared" si="6"/>
        <v>0.15558148580319531</v>
      </c>
      <c r="F150" s="49">
        <f>VLOOKUP($A150,'Data shares'!$C:$FB,98)</f>
        <v>139008000</v>
      </c>
      <c r="G150" s="49">
        <f>VLOOKUP($A150,'Data shares'!$C:$FB,99)</f>
        <v>118246400</v>
      </c>
      <c r="H150" s="50">
        <f t="shared" si="7"/>
        <v>17.557912968174929</v>
      </c>
      <c r="I150" s="49">
        <f>VLOOKUP($A150,'Data shares'!$C:$FB,66)</f>
        <v>106118400</v>
      </c>
      <c r="J150" s="49">
        <f>VLOOKUP($A150,'Data shares'!$C:$FB,67)</f>
        <v>52032000</v>
      </c>
      <c r="K150" s="50">
        <f t="shared" si="8"/>
        <v>50.9679753935227</v>
      </c>
      <c r="L150" s="50">
        <f>VLOOKUP($A150,'Data shares'!$C:$FB,118)</f>
        <v>0.59</v>
      </c>
      <c r="M150" s="50">
        <f>VLOOKUP($A150,'Data shares'!$C:$FB,119)</f>
        <v>0.67</v>
      </c>
      <c r="N150" s="50">
        <f>VLOOKUP($A150,'Data shares'!$C:$FB,121)*100</f>
        <v>-11.940000000000001</v>
      </c>
      <c r="O150" s="50">
        <f>VLOOKUP($A150,'Data shares'!$C:$FB,124)</f>
        <v>0.27</v>
      </c>
      <c r="P150" s="50">
        <f>VLOOKUP($A150,'Data shares'!$C:$FB,125)</f>
        <v>0.45</v>
      </c>
      <c r="Q150" s="50">
        <f>VLOOKUP($A150,'Data shares'!$C:$FB,127)*100</f>
        <v>-40</v>
      </c>
    </row>
    <row r="151" spans="1:17" x14ac:dyDescent="0.25">
      <c r="A151" s="97" t="str">
        <f>'Snapshot (Value)'!A155</f>
        <v>NIFTY</v>
      </c>
      <c r="B151" s="140">
        <f>VLOOKUP($A151,'Data shares'!$C:$FB,7)</f>
        <v>23775.1</v>
      </c>
      <c r="C151" s="140">
        <f>VLOOKUP($A151,'Data shares'!$C:$FB,3)</f>
        <v>23861.3</v>
      </c>
      <c r="D151" s="140">
        <f>VLOOKUP($A151,'Data shares'!$C:$FB,4)</f>
        <v>24057.8</v>
      </c>
      <c r="E151" s="50">
        <f t="shared" si="6"/>
        <v>-0.81678291448095841</v>
      </c>
      <c r="F151" s="49">
        <f>VLOOKUP($A151,'Data shares'!$C:$FB,98)</f>
        <v>444262440</v>
      </c>
      <c r="G151" s="49">
        <f>VLOOKUP($A151,'Data shares'!$C:$FB,99)</f>
        <v>385914435</v>
      </c>
      <c r="H151" s="50">
        <f t="shared" si="7"/>
        <v>15.119415007111614</v>
      </c>
      <c r="I151" s="49">
        <f>VLOOKUP($A151,'Data shares'!$C:$FB,66)</f>
        <v>3160507610</v>
      </c>
      <c r="J151" s="49">
        <f>VLOOKUP($A151,'Data shares'!$C:$FB,67)</f>
        <v>3109985190</v>
      </c>
      <c r="K151" s="50">
        <f t="shared" si="8"/>
        <v>1.5985539740560852</v>
      </c>
      <c r="L151" s="50">
        <f>VLOOKUP($A151,'Data shares'!$C:$FB,118)</f>
        <v>0.97</v>
      </c>
      <c r="M151" s="50">
        <f>VLOOKUP($A151,'Data shares'!$C:$FB,119)</f>
        <v>1.1299999999999999</v>
      </c>
      <c r="N151" s="50">
        <f>VLOOKUP($A151,'Data shares'!$C:$FB,121)*100</f>
        <v>-14.16</v>
      </c>
      <c r="O151" s="50">
        <f>VLOOKUP($A151,'Data shares'!$C:$FB,124)</f>
        <v>1.04</v>
      </c>
      <c r="P151" s="50">
        <f>VLOOKUP($A151,'Data shares'!$C:$FB,125)</f>
        <v>0.9</v>
      </c>
      <c r="Q151" s="50">
        <f>VLOOKUP($A151,'Data shares'!$C:$FB,127)*100</f>
        <v>15.559999999999999</v>
      </c>
    </row>
    <row r="152" spans="1:17" x14ac:dyDescent="0.25">
      <c r="A152" s="97" t="str">
        <f>'Snapshot (Value)'!A156</f>
        <v>NIFTYNXT50</v>
      </c>
      <c r="B152" s="140">
        <f>VLOOKUP($A152,'Data shares'!$C:$FB,7)</f>
        <v>66268.649999999994</v>
      </c>
      <c r="C152" s="140">
        <f>VLOOKUP($A152,'Data shares'!$C:$FB,3)</f>
        <v>66395.399999999994</v>
      </c>
      <c r="D152" s="140">
        <f>VLOOKUP($A152,'Data shares'!$C:$FB,4)</f>
        <v>66403.8</v>
      </c>
      <c r="E152" s="50">
        <f t="shared" si="6"/>
        <v>-1.2649878470823555E-2</v>
      </c>
      <c r="F152" s="49">
        <f>VLOOKUP($A152,'Data shares'!$C:$FB,98)</f>
        <v>23750</v>
      </c>
      <c r="G152" s="49">
        <f>VLOOKUP($A152,'Data shares'!$C:$FB,99)</f>
        <v>23075</v>
      </c>
      <c r="H152" s="50">
        <f t="shared" si="7"/>
        <v>2.9252437703141929</v>
      </c>
      <c r="I152" s="49">
        <f>VLOOKUP($A152,'Data shares'!$C:$FB,66)</f>
        <v>12425</v>
      </c>
      <c r="J152" s="49">
        <f>VLOOKUP($A152,'Data shares'!$C:$FB,67)</f>
        <v>12025</v>
      </c>
      <c r="K152" s="50">
        <f t="shared" si="8"/>
        <v>3.2193158953722336</v>
      </c>
      <c r="L152" s="50">
        <f>VLOOKUP($A152,'Data shares'!$C:$FB,118)</f>
        <v>1.1499999999999999</v>
      </c>
      <c r="M152" s="50">
        <f>VLOOKUP($A152,'Data shares'!$C:$FB,119)</f>
        <v>1.0900000000000001</v>
      </c>
      <c r="N152" s="50">
        <f>VLOOKUP($A152,'Data shares'!$C:$FB,121)*100</f>
        <v>5.5</v>
      </c>
      <c r="O152" s="50">
        <f>VLOOKUP($A152,'Data shares'!$C:$FB,124)</f>
        <v>0.75</v>
      </c>
      <c r="P152" s="50">
        <f>VLOOKUP($A152,'Data shares'!$C:$FB,125)</f>
        <v>0.77</v>
      </c>
      <c r="Q152" s="50">
        <f>VLOOKUP($A152,'Data shares'!$C:$FB,127)*100</f>
        <v>-2.6</v>
      </c>
    </row>
    <row r="153" spans="1:17" x14ac:dyDescent="0.25">
      <c r="A153" s="97" t="str">
        <f>'Snapshot (Value)'!A157</f>
        <v>NMDC</v>
      </c>
      <c r="B153" s="140">
        <f>VLOOKUP($A153,'Data shares'!$C:$FB,7)</f>
        <v>84.44</v>
      </c>
      <c r="C153" s="140">
        <f>VLOOKUP($A153,'Data shares'!$C:$FB,3)</f>
        <v>84.96</v>
      </c>
      <c r="D153" s="140">
        <f>VLOOKUP($A153,'Data shares'!$C:$FB,4)</f>
        <v>83.36</v>
      </c>
      <c r="E153" s="50">
        <f t="shared" si="6"/>
        <v>1.9193857965450989</v>
      </c>
      <c r="F153" s="49">
        <f>VLOOKUP($A153,'Data shares'!$C:$FB,98)</f>
        <v>439803000</v>
      </c>
      <c r="G153" s="49">
        <f>VLOOKUP($A153,'Data shares'!$C:$FB,99)</f>
        <v>428517000</v>
      </c>
      <c r="H153" s="50">
        <f t="shared" si="7"/>
        <v>2.6337344842795032</v>
      </c>
      <c r="I153" s="49">
        <f>VLOOKUP($A153,'Data shares'!$C:$FB,66)</f>
        <v>168284250</v>
      </c>
      <c r="J153" s="49">
        <f>VLOOKUP($A153,'Data shares'!$C:$FB,67)</f>
        <v>123855750</v>
      </c>
      <c r="K153" s="50">
        <f t="shared" si="8"/>
        <v>26.400866391239823</v>
      </c>
      <c r="L153" s="50">
        <f>VLOOKUP($A153,'Data shares'!$C:$FB,118)</f>
        <v>0.61</v>
      </c>
      <c r="M153" s="50">
        <f>VLOOKUP($A153,'Data shares'!$C:$FB,119)</f>
        <v>0.6</v>
      </c>
      <c r="N153" s="50">
        <f>VLOOKUP($A153,'Data shares'!$C:$FB,121)*100</f>
        <v>1.67</v>
      </c>
      <c r="O153" s="50">
        <f>VLOOKUP($A153,'Data shares'!$C:$FB,124)</f>
        <v>0.37</v>
      </c>
      <c r="P153" s="50">
        <f>VLOOKUP($A153,'Data shares'!$C:$FB,125)</f>
        <v>0.48</v>
      </c>
      <c r="Q153" s="50">
        <f>VLOOKUP($A153,'Data shares'!$C:$FB,127)*100</f>
        <v>-22.919999999999998</v>
      </c>
    </row>
    <row r="154" spans="1:17" x14ac:dyDescent="0.25">
      <c r="A154" s="97" t="str">
        <f>'Snapshot (Value)'!A158</f>
        <v>NTPC</v>
      </c>
      <c r="B154" s="140">
        <f>VLOOKUP($A154,'Data shares'!$C:$FB,7)</f>
        <v>378.65</v>
      </c>
      <c r="C154" s="140">
        <f>VLOOKUP($A154,'Data shares'!$C:$FB,3)</f>
        <v>380.05</v>
      </c>
      <c r="D154" s="140">
        <f>VLOOKUP($A154,'Data shares'!$C:$FB,4)</f>
        <v>375.9</v>
      </c>
      <c r="E154" s="50">
        <f t="shared" si="6"/>
        <v>1.1040170258047444</v>
      </c>
      <c r="F154" s="49">
        <f>VLOOKUP($A154,'Data shares'!$C:$FB,98)</f>
        <v>141190500</v>
      </c>
      <c r="G154" s="49">
        <f>VLOOKUP($A154,'Data shares'!$C:$FB,99)</f>
        <v>132231000</v>
      </c>
      <c r="H154" s="50">
        <f t="shared" si="7"/>
        <v>6.7756426254055393</v>
      </c>
      <c r="I154" s="49">
        <f>VLOOKUP($A154,'Data shares'!$C:$FB,66)</f>
        <v>147732000</v>
      </c>
      <c r="J154" s="49">
        <f>VLOOKUP($A154,'Data shares'!$C:$FB,67)</f>
        <v>82828500</v>
      </c>
      <c r="K154" s="50">
        <f t="shared" si="8"/>
        <v>43.933271058403058</v>
      </c>
      <c r="L154" s="50">
        <f>VLOOKUP($A154,'Data shares'!$C:$FB,118)</f>
        <v>0.49</v>
      </c>
      <c r="M154" s="50">
        <f>VLOOKUP($A154,'Data shares'!$C:$FB,119)</f>
        <v>0.53</v>
      </c>
      <c r="N154" s="50">
        <f>VLOOKUP($A154,'Data shares'!$C:$FB,121)*100</f>
        <v>-7.55</v>
      </c>
      <c r="O154" s="50">
        <f>VLOOKUP($A154,'Data shares'!$C:$FB,124)</f>
        <v>0.31</v>
      </c>
      <c r="P154" s="50">
        <f>VLOOKUP($A154,'Data shares'!$C:$FB,125)</f>
        <v>0.36</v>
      </c>
      <c r="Q154" s="50">
        <f>VLOOKUP($A154,'Data shares'!$C:$FB,127)*100</f>
        <v>-13.889999999999999</v>
      </c>
    </row>
    <row r="155" spans="1:17" x14ac:dyDescent="0.25">
      <c r="A155" s="97" t="str">
        <f>'Snapshot (Value)'!A159</f>
        <v>NUVAMA</v>
      </c>
      <c r="B155" s="140">
        <f>VLOOKUP($A155,'Data shares'!$C:$FB,7)</f>
        <v>1294.8</v>
      </c>
      <c r="C155" s="140">
        <f>VLOOKUP($A155,'Data shares'!$C:$FB,3)</f>
        <v>1301.0999999999999</v>
      </c>
      <c r="D155" s="140">
        <f>VLOOKUP($A155,'Data shares'!$C:$FB,4)</f>
        <v>1286.3</v>
      </c>
      <c r="E155" s="50">
        <f t="shared" si="6"/>
        <v>1.1505869548316843</v>
      </c>
      <c r="F155" s="49">
        <f>VLOOKUP($A155,'Data shares'!$C:$FB,98)</f>
        <v>3305000</v>
      </c>
      <c r="G155" s="49">
        <f>VLOOKUP($A155,'Data shares'!$C:$FB,99)</f>
        <v>3129500</v>
      </c>
      <c r="H155" s="50">
        <f t="shared" si="7"/>
        <v>5.6079245885924269</v>
      </c>
      <c r="I155" s="49">
        <f>VLOOKUP($A155,'Data shares'!$C:$FB,66)</f>
        <v>1999500</v>
      </c>
      <c r="J155" s="49">
        <f>VLOOKUP($A155,'Data shares'!$C:$FB,67)</f>
        <v>3166500</v>
      </c>
      <c r="K155" s="50">
        <f t="shared" si="8"/>
        <v>-58.364591147786946</v>
      </c>
      <c r="L155" s="50">
        <f>VLOOKUP($A155,'Data shares'!$C:$FB,118)</f>
        <v>0.74</v>
      </c>
      <c r="M155" s="50">
        <f>VLOOKUP($A155,'Data shares'!$C:$FB,119)</f>
        <v>0.84</v>
      </c>
      <c r="N155" s="50">
        <f>VLOOKUP($A155,'Data shares'!$C:$FB,121)*100</f>
        <v>-11.899999999999999</v>
      </c>
      <c r="O155" s="50">
        <f>VLOOKUP($A155,'Data shares'!$C:$FB,124)</f>
        <v>0.65</v>
      </c>
      <c r="P155" s="50">
        <f>VLOOKUP($A155,'Data shares'!$C:$FB,125)</f>
        <v>0.3</v>
      </c>
      <c r="Q155" s="50">
        <f>VLOOKUP($A155,'Data shares'!$C:$FB,127)*100</f>
        <v>116.67</v>
      </c>
    </row>
    <row r="156" spans="1:17" x14ac:dyDescent="0.25">
      <c r="A156" s="97" t="str">
        <f>'Snapshot (Value)'!A160</f>
        <v>NYKAA</v>
      </c>
      <c r="B156" s="140">
        <f>VLOOKUP($A156,'Data shares'!$C:$FB,7)</f>
        <v>254.93</v>
      </c>
      <c r="C156" s="140">
        <f>VLOOKUP($A156,'Data shares'!$C:$FB,3)</f>
        <v>255.82</v>
      </c>
      <c r="D156" s="140">
        <f>VLOOKUP($A156,'Data shares'!$C:$FB,4)</f>
        <v>255.43</v>
      </c>
      <c r="E156" s="50">
        <f t="shared" si="6"/>
        <v>0.15268370982264665</v>
      </c>
      <c r="F156" s="49">
        <f>VLOOKUP($A156,'Data shares'!$C:$FB,98)</f>
        <v>57984375</v>
      </c>
      <c r="G156" s="49">
        <f>VLOOKUP($A156,'Data shares'!$C:$FB,99)</f>
        <v>58015625</v>
      </c>
      <c r="H156" s="50">
        <f t="shared" si="7"/>
        <v>-5.3864799353622407E-2</v>
      </c>
      <c r="I156" s="49">
        <f>VLOOKUP($A156,'Data shares'!$C:$FB,66)</f>
        <v>19553125</v>
      </c>
      <c r="J156" s="49">
        <f>VLOOKUP($A156,'Data shares'!$C:$FB,67)</f>
        <v>25034375</v>
      </c>
      <c r="K156" s="50">
        <f t="shared" si="8"/>
        <v>-28.032603484097812</v>
      </c>
      <c r="L156" s="50">
        <f>VLOOKUP($A156,'Data shares'!$C:$FB,118)</f>
        <v>0.59</v>
      </c>
      <c r="M156" s="50">
        <f>VLOOKUP($A156,'Data shares'!$C:$FB,119)</f>
        <v>0.62</v>
      </c>
      <c r="N156" s="50">
        <f>VLOOKUP($A156,'Data shares'!$C:$FB,121)*100</f>
        <v>-4.84</v>
      </c>
      <c r="O156" s="50">
        <f>VLOOKUP($A156,'Data shares'!$C:$FB,124)</f>
        <v>0.36</v>
      </c>
      <c r="P156" s="50">
        <f>VLOOKUP($A156,'Data shares'!$C:$FB,125)</f>
        <v>0.32</v>
      </c>
      <c r="Q156" s="50">
        <f>VLOOKUP($A156,'Data shares'!$C:$FB,127)*100</f>
        <v>12.5</v>
      </c>
    </row>
    <row r="157" spans="1:17" x14ac:dyDescent="0.25">
      <c r="A157" s="97" t="str">
        <f>'Snapshot (Value)'!A161</f>
        <v>OBEROIRLTY</v>
      </c>
      <c r="B157" s="140">
        <f>VLOOKUP($A157,'Data shares'!$C:$FB,7)</f>
        <v>1653.5</v>
      </c>
      <c r="C157" s="140">
        <f>VLOOKUP($A157,'Data shares'!$C:$FB,3)</f>
        <v>1620.7</v>
      </c>
      <c r="D157" s="140">
        <f>VLOOKUP($A157,'Data shares'!$C:$FB,4)</f>
        <v>1610.6</v>
      </c>
      <c r="E157" s="50">
        <f t="shared" si="6"/>
        <v>0.62709549236310302</v>
      </c>
      <c r="F157" s="49">
        <f>VLOOKUP($A157,'Data shares'!$C:$FB,98)</f>
        <v>10997350</v>
      </c>
      <c r="G157" s="49">
        <f>VLOOKUP($A157,'Data shares'!$C:$FB,99)</f>
        <v>10127250</v>
      </c>
      <c r="H157" s="50">
        <f t="shared" si="7"/>
        <v>8.5916709866943144</v>
      </c>
      <c r="I157" s="49">
        <f>VLOOKUP($A157,'Data shares'!$C:$FB,66)</f>
        <v>3052000</v>
      </c>
      <c r="J157" s="49">
        <f>VLOOKUP($A157,'Data shares'!$C:$FB,67)</f>
        <v>2888200</v>
      </c>
      <c r="K157" s="50">
        <f t="shared" si="8"/>
        <v>5.3669724770642206</v>
      </c>
      <c r="L157" s="50">
        <f>VLOOKUP($A157,'Data shares'!$C:$FB,118)</f>
        <v>0.9</v>
      </c>
      <c r="M157" s="50">
        <f>VLOOKUP($A157,'Data shares'!$C:$FB,119)</f>
        <v>0.91</v>
      </c>
      <c r="N157" s="50">
        <f>VLOOKUP($A157,'Data shares'!$C:$FB,121)*100</f>
        <v>-1.0999999999999999</v>
      </c>
      <c r="O157" s="50">
        <f>VLOOKUP($A157,'Data shares'!$C:$FB,124)</f>
        <v>0.74</v>
      </c>
      <c r="P157" s="50">
        <f>VLOOKUP($A157,'Data shares'!$C:$FB,125)</f>
        <v>0.42</v>
      </c>
      <c r="Q157" s="50">
        <f>VLOOKUP($A157,'Data shares'!$C:$FB,127)*100</f>
        <v>76.19</v>
      </c>
    </row>
    <row r="158" spans="1:17" x14ac:dyDescent="0.25">
      <c r="A158" s="97" t="str">
        <f>'Snapshot (Value)'!A162</f>
        <v>OFSS</v>
      </c>
      <c r="B158" s="140">
        <f>VLOOKUP($A158,'Data shares'!$C:$FB,7)</f>
        <v>7217.5</v>
      </c>
      <c r="C158" s="140">
        <f>VLOOKUP($A158,'Data shares'!$C:$FB,3)</f>
        <v>7245</v>
      </c>
      <c r="D158" s="140">
        <f>VLOOKUP($A158,'Data shares'!$C:$FB,4)</f>
        <v>7163.5</v>
      </c>
      <c r="E158" s="50">
        <f t="shared" si="6"/>
        <v>1.1377120122844979</v>
      </c>
      <c r="F158" s="49">
        <f>VLOOKUP($A158,'Data shares'!$C:$FB,98)</f>
        <v>2295750</v>
      </c>
      <c r="G158" s="49">
        <f>VLOOKUP($A158,'Data shares'!$C:$FB,99)</f>
        <v>2263200</v>
      </c>
      <c r="H158" s="50">
        <f t="shared" si="7"/>
        <v>1.4382290562036055</v>
      </c>
      <c r="I158" s="49">
        <f>VLOOKUP($A158,'Data shares'!$C:$FB,66)</f>
        <v>1227300</v>
      </c>
      <c r="J158" s="49">
        <f>VLOOKUP($A158,'Data shares'!$C:$FB,67)</f>
        <v>1926600</v>
      </c>
      <c r="K158" s="50">
        <f t="shared" si="8"/>
        <v>-56.978733805915425</v>
      </c>
      <c r="L158" s="50">
        <f>VLOOKUP($A158,'Data shares'!$C:$FB,118)</f>
        <v>0.88</v>
      </c>
      <c r="M158" s="50">
        <f>VLOOKUP($A158,'Data shares'!$C:$FB,119)</f>
        <v>0.71</v>
      </c>
      <c r="N158" s="50">
        <f>VLOOKUP($A158,'Data shares'!$C:$FB,121)*100</f>
        <v>23.94</v>
      </c>
      <c r="O158" s="50">
        <f>VLOOKUP($A158,'Data shares'!$C:$FB,124)</f>
        <v>0.76</v>
      </c>
      <c r="P158" s="50">
        <f>VLOOKUP($A158,'Data shares'!$C:$FB,125)</f>
        <v>0.57999999999999996</v>
      </c>
      <c r="Q158" s="50">
        <f>VLOOKUP($A158,'Data shares'!$C:$FB,127)*100</f>
        <v>31.03</v>
      </c>
    </row>
    <row r="159" spans="1:17" x14ac:dyDescent="0.25">
      <c r="A159" s="97" t="str">
        <f>'Snapshot (Value)'!A163</f>
        <v>OIL</v>
      </c>
      <c r="B159" s="140">
        <f>VLOOKUP($A159,'Data shares'!$C:$FB,7)</f>
        <v>470.75</v>
      </c>
      <c r="C159" s="140">
        <f>VLOOKUP($A159,'Data shares'!$C:$FB,3)</f>
        <v>472.8</v>
      </c>
      <c r="D159" s="140">
        <f>VLOOKUP($A159,'Data shares'!$C:$FB,4)</f>
        <v>461</v>
      </c>
      <c r="E159" s="50">
        <f t="shared" si="6"/>
        <v>2.5596529284164884</v>
      </c>
      <c r="F159" s="49">
        <f>VLOOKUP($A159,'Data shares'!$C:$FB,98)</f>
        <v>34903400</v>
      </c>
      <c r="G159" s="49">
        <f>VLOOKUP($A159,'Data shares'!$C:$FB,99)</f>
        <v>35910000</v>
      </c>
      <c r="H159" s="50">
        <f t="shared" si="7"/>
        <v>-2.8031189083820665</v>
      </c>
      <c r="I159" s="49">
        <f>VLOOKUP($A159,'Data shares'!$C:$FB,66)</f>
        <v>30727200</v>
      </c>
      <c r="J159" s="49">
        <f>VLOOKUP($A159,'Data shares'!$C:$FB,67)</f>
        <v>43022000</v>
      </c>
      <c r="K159" s="50">
        <f t="shared" si="8"/>
        <v>-40.012757426644797</v>
      </c>
      <c r="L159" s="50">
        <f>VLOOKUP($A159,'Data shares'!$C:$FB,118)</f>
        <v>0.47</v>
      </c>
      <c r="M159" s="50">
        <f>VLOOKUP($A159,'Data shares'!$C:$FB,119)</f>
        <v>0.43</v>
      </c>
      <c r="N159" s="50">
        <f>VLOOKUP($A159,'Data shares'!$C:$FB,121)*100</f>
        <v>9.3000000000000007</v>
      </c>
      <c r="O159" s="50">
        <f>VLOOKUP($A159,'Data shares'!$C:$FB,124)</f>
        <v>0.28000000000000003</v>
      </c>
      <c r="P159" s="50">
        <f>VLOOKUP($A159,'Data shares'!$C:$FB,125)</f>
        <v>0.59</v>
      </c>
      <c r="Q159" s="50">
        <f>VLOOKUP($A159,'Data shares'!$C:$FB,127)*100</f>
        <v>-52.54</v>
      </c>
    </row>
    <row r="160" spans="1:17" x14ac:dyDescent="0.25">
      <c r="A160" s="97" t="str">
        <f>'Snapshot (Value)'!A164</f>
        <v>ONGC</v>
      </c>
      <c r="B160" s="140">
        <f>VLOOKUP($A160,'Data shares'!$C:$FB,7)</f>
        <v>288.60000000000002</v>
      </c>
      <c r="C160" s="140">
        <f>VLOOKUP($A160,'Data shares'!$C:$FB,3)</f>
        <v>289.89999999999998</v>
      </c>
      <c r="D160" s="140">
        <f>VLOOKUP($A160,'Data shares'!$C:$FB,4)</f>
        <v>287.05</v>
      </c>
      <c r="E160" s="50">
        <f t="shared" si="6"/>
        <v>0.99285838704057328</v>
      </c>
      <c r="F160" s="49">
        <f>VLOOKUP($A160,'Data shares'!$C:$FB,98)</f>
        <v>199548000</v>
      </c>
      <c r="G160" s="49">
        <f>VLOOKUP($A160,'Data shares'!$C:$FB,99)</f>
        <v>198589500</v>
      </c>
      <c r="H160" s="50">
        <f t="shared" si="7"/>
        <v>0.48265391674786434</v>
      </c>
      <c r="I160" s="49">
        <f>VLOOKUP($A160,'Data shares'!$C:$FB,66)</f>
        <v>100840500</v>
      </c>
      <c r="J160" s="49">
        <f>VLOOKUP($A160,'Data shares'!$C:$FB,67)</f>
        <v>231846750</v>
      </c>
      <c r="K160" s="50">
        <f t="shared" si="8"/>
        <v>-129.91432013922977</v>
      </c>
      <c r="L160" s="50">
        <f>VLOOKUP($A160,'Data shares'!$C:$FB,118)</f>
        <v>0.54</v>
      </c>
      <c r="M160" s="50">
        <f>VLOOKUP($A160,'Data shares'!$C:$FB,119)</f>
        <v>0.51</v>
      </c>
      <c r="N160" s="50">
        <f>VLOOKUP($A160,'Data shares'!$C:$FB,121)*100</f>
        <v>5.88</v>
      </c>
      <c r="O160" s="50">
        <f>VLOOKUP($A160,'Data shares'!$C:$FB,124)</f>
        <v>0.36</v>
      </c>
      <c r="P160" s="50">
        <f>VLOOKUP($A160,'Data shares'!$C:$FB,125)</f>
        <v>0.63</v>
      </c>
      <c r="Q160" s="50">
        <f>VLOOKUP($A160,'Data shares'!$C:$FB,127)*100</f>
        <v>-42.86</v>
      </c>
    </row>
    <row r="161" spans="1:17" x14ac:dyDescent="0.25">
      <c r="A161" s="97" t="str">
        <f>'Snapshot (Value)'!A165</f>
        <v>PAGEIND</v>
      </c>
      <c r="B161" s="140">
        <f>VLOOKUP($A161,'Data shares'!$C:$FB,7)</f>
        <v>35950</v>
      </c>
      <c r="C161" s="140">
        <f>VLOOKUP($A161,'Data shares'!$C:$FB,3)</f>
        <v>35970</v>
      </c>
      <c r="D161" s="140">
        <f>VLOOKUP($A161,'Data shares'!$C:$FB,4)</f>
        <v>35485</v>
      </c>
      <c r="E161" s="50">
        <f t="shared" si="6"/>
        <v>1.3667746935324785</v>
      </c>
      <c r="F161" s="49">
        <f>VLOOKUP($A161,'Data shares'!$C:$FB,98)</f>
        <v>476760</v>
      </c>
      <c r="G161" s="49">
        <f>VLOOKUP($A161,'Data shares'!$C:$FB,99)</f>
        <v>464205</v>
      </c>
      <c r="H161" s="50">
        <f t="shared" si="7"/>
        <v>2.7046240346398682</v>
      </c>
      <c r="I161" s="49">
        <f>VLOOKUP($A161,'Data shares'!$C:$FB,66)</f>
        <v>155730</v>
      </c>
      <c r="J161" s="49">
        <f>VLOOKUP($A161,'Data shares'!$C:$FB,67)</f>
        <v>128385</v>
      </c>
      <c r="K161" s="50">
        <f t="shared" si="8"/>
        <v>17.559237141205934</v>
      </c>
      <c r="L161" s="50">
        <f>VLOOKUP($A161,'Data shares'!$C:$FB,118)</f>
        <v>0.89</v>
      </c>
      <c r="M161" s="50">
        <f>VLOOKUP($A161,'Data shares'!$C:$FB,119)</f>
        <v>0.82</v>
      </c>
      <c r="N161" s="50">
        <f>VLOOKUP($A161,'Data shares'!$C:$FB,121)*100</f>
        <v>8.5400000000000009</v>
      </c>
      <c r="O161" s="50">
        <f>VLOOKUP($A161,'Data shares'!$C:$FB,124)</f>
        <v>0.64</v>
      </c>
      <c r="P161" s="50">
        <f>VLOOKUP($A161,'Data shares'!$C:$FB,125)</f>
        <v>0.55000000000000004</v>
      </c>
      <c r="Q161" s="50">
        <f>VLOOKUP($A161,'Data shares'!$C:$FB,127)*100</f>
        <v>16.36</v>
      </c>
    </row>
    <row r="162" spans="1:17" x14ac:dyDescent="0.25">
      <c r="A162" s="97" t="str">
        <f>'Snapshot (Value)'!A166</f>
        <v>PATANJALI</v>
      </c>
      <c r="B162" s="140">
        <f>VLOOKUP($A162,'Data shares'!$C:$FB,7)</f>
        <v>459.7</v>
      </c>
      <c r="C162" s="140">
        <f>VLOOKUP($A162,'Data shares'!$C:$FB,3)</f>
        <v>459.75</v>
      </c>
      <c r="D162" s="140">
        <f>VLOOKUP($A162,'Data shares'!$C:$FB,4)</f>
        <v>470.45</v>
      </c>
      <c r="E162" s="50">
        <f t="shared" si="6"/>
        <v>-2.2744181103199042</v>
      </c>
      <c r="F162" s="49">
        <f>VLOOKUP($A162,'Data shares'!$C:$FB,98)</f>
        <v>39402900</v>
      </c>
      <c r="G162" s="49">
        <f>VLOOKUP($A162,'Data shares'!$C:$FB,99)</f>
        <v>38910600</v>
      </c>
      <c r="H162" s="50">
        <f t="shared" si="7"/>
        <v>1.2652079381967896</v>
      </c>
      <c r="I162" s="49">
        <f>VLOOKUP($A162,'Data shares'!$C:$FB,66)</f>
        <v>7526700</v>
      </c>
      <c r="J162" s="49">
        <f>VLOOKUP($A162,'Data shares'!$C:$FB,67)</f>
        <v>12959100</v>
      </c>
      <c r="K162" s="50">
        <f t="shared" si="8"/>
        <v>-72.175056797799826</v>
      </c>
      <c r="L162" s="50">
        <f>VLOOKUP($A162,'Data shares'!$C:$FB,118)</f>
        <v>0.74</v>
      </c>
      <c r="M162" s="50">
        <f>VLOOKUP($A162,'Data shares'!$C:$FB,119)</f>
        <v>0.79</v>
      </c>
      <c r="N162" s="50">
        <f>VLOOKUP($A162,'Data shares'!$C:$FB,121)*100</f>
        <v>-6.3299999999999992</v>
      </c>
      <c r="O162" s="50">
        <f>VLOOKUP($A162,'Data shares'!$C:$FB,124)</f>
        <v>0.64</v>
      </c>
      <c r="P162" s="50">
        <f>VLOOKUP($A162,'Data shares'!$C:$FB,125)</f>
        <v>0.52</v>
      </c>
      <c r="Q162" s="50">
        <f>VLOOKUP($A162,'Data shares'!$C:$FB,127)*100</f>
        <v>23.080000000000002</v>
      </c>
    </row>
    <row r="163" spans="1:17" x14ac:dyDescent="0.25">
      <c r="A163" s="97" t="str">
        <f>'Snapshot (Value)'!A167</f>
        <v>PAYTM</v>
      </c>
      <c r="B163" s="140">
        <f>VLOOKUP($A163,'Data shares'!$C:$FB,7)</f>
        <v>1097.95</v>
      </c>
      <c r="C163" s="140">
        <f>VLOOKUP($A163,'Data shares'!$C:$FB,3)</f>
        <v>1102.55</v>
      </c>
      <c r="D163" s="140">
        <f>VLOOKUP($A163,'Data shares'!$C:$FB,4)</f>
        <v>1115.3499999999999</v>
      </c>
      <c r="E163" s="50">
        <f t="shared" si="6"/>
        <v>-1.1476218227462192</v>
      </c>
      <c r="F163" s="49">
        <f>VLOOKUP($A163,'Data shares'!$C:$FB,98)</f>
        <v>27451400</v>
      </c>
      <c r="G163" s="49">
        <f>VLOOKUP($A163,'Data shares'!$C:$FB,99)</f>
        <v>25849150</v>
      </c>
      <c r="H163" s="50">
        <f t="shared" si="7"/>
        <v>6.198463005553374</v>
      </c>
      <c r="I163" s="49">
        <f>VLOOKUP($A163,'Data shares'!$C:$FB,66)</f>
        <v>22807775</v>
      </c>
      <c r="J163" s="49">
        <f>VLOOKUP($A163,'Data shares'!$C:$FB,67)</f>
        <v>26854725</v>
      </c>
      <c r="K163" s="50">
        <f t="shared" si="8"/>
        <v>-17.743729934200068</v>
      </c>
      <c r="L163" s="50">
        <f>VLOOKUP($A163,'Data shares'!$C:$FB,118)</f>
        <v>0.8</v>
      </c>
      <c r="M163" s="50">
        <f>VLOOKUP($A163,'Data shares'!$C:$FB,119)</f>
        <v>0.86</v>
      </c>
      <c r="N163" s="50">
        <f>VLOOKUP($A163,'Data shares'!$C:$FB,121)*100</f>
        <v>-6.98</v>
      </c>
      <c r="O163" s="50">
        <f>VLOOKUP($A163,'Data shares'!$C:$FB,124)</f>
        <v>0.63</v>
      </c>
      <c r="P163" s="50">
        <f>VLOOKUP($A163,'Data shares'!$C:$FB,125)</f>
        <v>0.54</v>
      </c>
      <c r="Q163" s="50">
        <f>VLOOKUP($A163,'Data shares'!$C:$FB,127)*100</f>
        <v>16.669999999999998</v>
      </c>
    </row>
    <row r="164" spans="1:17" x14ac:dyDescent="0.25">
      <c r="A164" s="97" t="str">
        <f>'Snapshot (Value)'!A168</f>
        <v>PERSISTENT</v>
      </c>
      <c r="B164" s="140">
        <f>VLOOKUP($A164,'Data shares'!$C:$FB,7)</f>
        <v>5471.1</v>
      </c>
      <c r="C164" s="140">
        <f>VLOOKUP($A164,'Data shares'!$C:$FB,3)</f>
        <v>5468.9</v>
      </c>
      <c r="D164" s="140">
        <f>VLOOKUP($A164,'Data shares'!$C:$FB,4)</f>
        <v>5363.2</v>
      </c>
      <c r="E164" s="50">
        <f t="shared" si="6"/>
        <v>1.9708383054892569</v>
      </c>
      <c r="F164" s="49">
        <f>VLOOKUP($A164,'Data shares'!$C:$FB,98)</f>
        <v>7325100</v>
      </c>
      <c r="G164" s="49">
        <f>VLOOKUP($A164,'Data shares'!$C:$FB,99)</f>
        <v>7214600</v>
      </c>
      <c r="H164" s="50">
        <f t="shared" si="7"/>
        <v>1.5316164444321239</v>
      </c>
      <c r="I164" s="49">
        <f>VLOOKUP($A164,'Data shares'!$C:$FB,66)</f>
        <v>3461300</v>
      </c>
      <c r="J164" s="49">
        <f>VLOOKUP($A164,'Data shares'!$C:$FB,67)</f>
        <v>4064400</v>
      </c>
      <c r="K164" s="50">
        <f t="shared" si="8"/>
        <v>-17.424089215034812</v>
      </c>
      <c r="L164" s="50">
        <f>VLOOKUP($A164,'Data shares'!$C:$FB,118)</f>
        <v>0.95</v>
      </c>
      <c r="M164" s="50">
        <f>VLOOKUP($A164,'Data shares'!$C:$FB,119)</f>
        <v>0.91</v>
      </c>
      <c r="N164" s="50">
        <f>VLOOKUP($A164,'Data shares'!$C:$FB,121)*100</f>
        <v>4.3999999999999995</v>
      </c>
      <c r="O164" s="50">
        <f>VLOOKUP($A164,'Data shares'!$C:$FB,124)</f>
        <v>0.6</v>
      </c>
      <c r="P164" s="50">
        <f>VLOOKUP($A164,'Data shares'!$C:$FB,125)</f>
        <v>0.48</v>
      </c>
      <c r="Q164" s="50">
        <f>VLOOKUP($A164,'Data shares'!$C:$FB,127)*100</f>
        <v>25</v>
      </c>
    </row>
    <row r="165" spans="1:17" x14ac:dyDescent="0.25">
      <c r="A165" s="97" t="str">
        <f>'Snapshot (Value)'!A169</f>
        <v>PETRONET</v>
      </c>
      <c r="B165" s="140">
        <f>VLOOKUP($A165,'Data shares'!$C:$FB,7)</f>
        <v>271.37</v>
      </c>
      <c r="C165" s="140">
        <f>VLOOKUP($A165,'Data shares'!$C:$FB,3)</f>
        <v>272.05</v>
      </c>
      <c r="D165" s="140">
        <f>VLOOKUP($A165,'Data shares'!$C:$FB,4)</f>
        <v>270.72000000000003</v>
      </c>
      <c r="E165" s="50">
        <f t="shared" si="6"/>
        <v>0.49128250591015954</v>
      </c>
      <c r="F165" s="49">
        <f>VLOOKUP($A165,'Data shares'!$C:$FB,98)</f>
        <v>59823400</v>
      </c>
      <c r="G165" s="49">
        <f>VLOOKUP($A165,'Data shares'!$C:$FB,99)</f>
        <v>54737100</v>
      </c>
      <c r="H165" s="50">
        <f t="shared" si="7"/>
        <v>9.2922350654309405</v>
      </c>
      <c r="I165" s="49">
        <f>VLOOKUP($A165,'Data shares'!$C:$FB,66)</f>
        <v>48571600</v>
      </c>
      <c r="J165" s="49">
        <f>VLOOKUP($A165,'Data shares'!$C:$FB,67)</f>
        <v>38777100</v>
      </c>
      <c r="K165" s="50">
        <f t="shared" si="8"/>
        <v>20.165075887967454</v>
      </c>
      <c r="L165" s="50">
        <f>VLOOKUP($A165,'Data shares'!$C:$FB,118)</f>
        <v>0.62</v>
      </c>
      <c r="M165" s="50">
        <f>VLOOKUP($A165,'Data shares'!$C:$FB,119)</f>
        <v>0.75</v>
      </c>
      <c r="N165" s="50">
        <f>VLOOKUP($A165,'Data shares'!$C:$FB,121)*100</f>
        <v>-17.330000000000002</v>
      </c>
      <c r="O165" s="50">
        <f>VLOOKUP($A165,'Data shares'!$C:$FB,124)</f>
        <v>0.25</v>
      </c>
      <c r="P165" s="50">
        <f>VLOOKUP($A165,'Data shares'!$C:$FB,125)</f>
        <v>0.54</v>
      </c>
      <c r="Q165" s="50">
        <f>VLOOKUP($A165,'Data shares'!$C:$FB,127)*100</f>
        <v>-53.7</v>
      </c>
    </row>
    <row r="166" spans="1:17" x14ac:dyDescent="0.25">
      <c r="A166" s="97" t="str">
        <f>'Snapshot (Value)'!A170</f>
        <v>PFC</v>
      </c>
      <c r="B166" s="140">
        <f>VLOOKUP($A166,'Data shares'!$C:$FB,7)</f>
        <v>428.05</v>
      </c>
      <c r="C166" s="140">
        <f>VLOOKUP($A166,'Data shares'!$C:$FB,3)</f>
        <v>429.8</v>
      </c>
      <c r="D166" s="140">
        <f>VLOOKUP($A166,'Data shares'!$C:$FB,4)</f>
        <v>419.7</v>
      </c>
      <c r="E166" s="50">
        <f t="shared" si="6"/>
        <v>2.4064808196330767</v>
      </c>
      <c r="F166" s="49">
        <f>VLOOKUP($A166,'Data shares'!$C:$FB,98)</f>
        <v>89512800</v>
      </c>
      <c r="G166" s="49">
        <f>VLOOKUP($A166,'Data shares'!$C:$FB,99)</f>
        <v>82369300</v>
      </c>
      <c r="H166" s="50">
        <f t="shared" si="7"/>
        <v>8.6725272644055487</v>
      </c>
      <c r="I166" s="49">
        <f>VLOOKUP($A166,'Data shares'!$C:$FB,66)</f>
        <v>90002900</v>
      </c>
      <c r="J166" s="49">
        <f>VLOOKUP($A166,'Data shares'!$C:$FB,67)</f>
        <v>53469000</v>
      </c>
      <c r="K166" s="50">
        <f t="shared" si="8"/>
        <v>40.591914260540499</v>
      </c>
      <c r="L166" s="50">
        <f>VLOOKUP($A166,'Data shares'!$C:$FB,118)</f>
        <v>0.75</v>
      </c>
      <c r="M166" s="50">
        <f>VLOOKUP($A166,'Data shares'!$C:$FB,119)</f>
        <v>0.75</v>
      </c>
      <c r="N166" s="50">
        <f>VLOOKUP($A166,'Data shares'!$C:$FB,121)*100</f>
        <v>0</v>
      </c>
      <c r="O166" s="50">
        <f>VLOOKUP($A166,'Data shares'!$C:$FB,124)</f>
        <v>0.48</v>
      </c>
      <c r="P166" s="50">
        <f>VLOOKUP($A166,'Data shares'!$C:$FB,125)</f>
        <v>0.59</v>
      </c>
      <c r="Q166" s="50">
        <f>VLOOKUP($A166,'Data shares'!$C:$FB,127)*100</f>
        <v>-18.64</v>
      </c>
    </row>
    <row r="167" spans="1:17" x14ac:dyDescent="0.25">
      <c r="A167" s="97" t="str">
        <f>'Snapshot (Value)'!A171</f>
        <v>PGEL</v>
      </c>
      <c r="B167" s="140">
        <f>VLOOKUP($A167,'Data shares'!$C:$FB,7)</f>
        <v>479.8</v>
      </c>
      <c r="C167" s="140">
        <f>VLOOKUP($A167,'Data shares'!$C:$FB,3)</f>
        <v>479.85</v>
      </c>
      <c r="D167" s="140">
        <f>VLOOKUP($A167,'Data shares'!$C:$FB,4)</f>
        <v>482.3</v>
      </c>
      <c r="E167" s="50">
        <f t="shared" si="6"/>
        <v>-0.50798258345427927</v>
      </c>
      <c r="F167" s="49">
        <f>VLOOKUP($A167,'Data shares'!$C:$FB,98)</f>
        <v>32376950</v>
      </c>
      <c r="G167" s="49">
        <f>VLOOKUP($A167,'Data shares'!$C:$FB,99)</f>
        <v>32468150</v>
      </c>
      <c r="H167" s="50">
        <f t="shared" si="7"/>
        <v>-0.2808906574596951</v>
      </c>
      <c r="I167" s="49">
        <f>VLOOKUP($A167,'Data shares'!$C:$FB,66)</f>
        <v>29019650</v>
      </c>
      <c r="J167" s="49">
        <f>VLOOKUP($A167,'Data shares'!$C:$FB,67)</f>
        <v>42906750</v>
      </c>
      <c r="K167" s="50">
        <f t="shared" si="8"/>
        <v>-47.854126428127145</v>
      </c>
      <c r="L167" s="50">
        <f>VLOOKUP($A167,'Data shares'!$C:$FB,118)</f>
        <v>0.62</v>
      </c>
      <c r="M167" s="50">
        <f>VLOOKUP($A167,'Data shares'!$C:$FB,119)</f>
        <v>0.56000000000000005</v>
      </c>
      <c r="N167" s="50">
        <f>VLOOKUP($A167,'Data shares'!$C:$FB,121)*100</f>
        <v>10.71</v>
      </c>
      <c r="O167" s="50">
        <f>VLOOKUP($A167,'Data shares'!$C:$FB,124)</f>
        <v>0.61</v>
      </c>
      <c r="P167" s="50">
        <f>VLOOKUP($A167,'Data shares'!$C:$FB,125)</f>
        <v>0.36</v>
      </c>
      <c r="Q167" s="50">
        <f>VLOOKUP($A167,'Data shares'!$C:$FB,127)*100</f>
        <v>69.44</v>
      </c>
    </row>
    <row r="168" spans="1:17" x14ac:dyDescent="0.25">
      <c r="A168" s="97" t="str">
        <f>'Snapshot (Value)'!A172</f>
        <v>PHOENIXLTD</v>
      </c>
      <c r="B168" s="140">
        <f>VLOOKUP($A168,'Data shares'!$C:$FB,7)</f>
        <v>1709.9</v>
      </c>
      <c r="C168" s="140">
        <f>VLOOKUP($A168,'Data shares'!$C:$FB,3)</f>
        <v>1710.3</v>
      </c>
      <c r="D168" s="140">
        <f>VLOOKUP($A168,'Data shares'!$C:$FB,4)</f>
        <v>1715.5</v>
      </c>
      <c r="E168" s="50">
        <f t="shared" si="6"/>
        <v>-0.30311862430778463</v>
      </c>
      <c r="F168" s="49">
        <f>VLOOKUP($A168,'Data shares'!$C:$FB,98)</f>
        <v>4811800</v>
      </c>
      <c r="G168" s="49">
        <f>VLOOKUP($A168,'Data shares'!$C:$FB,99)</f>
        <v>4875850</v>
      </c>
      <c r="H168" s="50">
        <f t="shared" si="7"/>
        <v>-1.3136171129136458</v>
      </c>
      <c r="I168" s="49">
        <f>VLOOKUP($A168,'Data shares'!$C:$FB,66)</f>
        <v>1199100</v>
      </c>
      <c r="J168" s="49">
        <f>VLOOKUP($A168,'Data shares'!$C:$FB,67)</f>
        <v>3362450</v>
      </c>
      <c r="K168" s="50">
        <f t="shared" si="8"/>
        <v>-180.41447752481028</v>
      </c>
      <c r="L168" s="50">
        <f>VLOOKUP($A168,'Data shares'!$C:$FB,118)</f>
        <v>1.29</v>
      </c>
      <c r="M168" s="50">
        <f>VLOOKUP($A168,'Data shares'!$C:$FB,119)</f>
        <v>1.33</v>
      </c>
      <c r="N168" s="50">
        <f>VLOOKUP($A168,'Data shares'!$C:$FB,121)*100</f>
        <v>-3.01</v>
      </c>
      <c r="O168" s="50">
        <f>VLOOKUP($A168,'Data shares'!$C:$FB,124)</f>
        <v>1.18</v>
      </c>
      <c r="P168" s="50">
        <f>VLOOKUP($A168,'Data shares'!$C:$FB,125)</f>
        <v>0.63</v>
      </c>
      <c r="Q168" s="50">
        <f>VLOOKUP($A168,'Data shares'!$C:$FB,127)*100</f>
        <v>87.3</v>
      </c>
    </row>
    <row r="169" spans="1:17" x14ac:dyDescent="0.25">
      <c r="A169" s="97" t="str">
        <f>'Snapshot (Value)'!A173</f>
        <v>PIDILITIND</v>
      </c>
      <c r="B169" s="140">
        <f>VLOOKUP($A169,'Data shares'!$C:$FB,7)</f>
        <v>1347.4</v>
      </c>
      <c r="C169" s="140">
        <f>VLOOKUP($A169,'Data shares'!$C:$FB,3)</f>
        <v>1350.4</v>
      </c>
      <c r="D169" s="140">
        <f>VLOOKUP($A169,'Data shares'!$C:$FB,4)</f>
        <v>1357</v>
      </c>
      <c r="E169" s="50">
        <f t="shared" si="6"/>
        <v>-0.48636698599851941</v>
      </c>
      <c r="F169" s="49">
        <f>VLOOKUP($A169,'Data shares'!$C:$FB,98)</f>
        <v>9602500</v>
      </c>
      <c r="G169" s="49">
        <f>VLOOKUP($A169,'Data shares'!$C:$FB,99)</f>
        <v>9596500</v>
      </c>
      <c r="H169" s="50">
        <f t="shared" si="7"/>
        <v>6.2522794768926165E-2</v>
      </c>
      <c r="I169" s="49">
        <f>VLOOKUP($A169,'Data shares'!$C:$FB,66)</f>
        <v>2295000</v>
      </c>
      <c r="J169" s="49">
        <f>VLOOKUP($A169,'Data shares'!$C:$FB,67)</f>
        <v>4869500</v>
      </c>
      <c r="K169" s="50">
        <f t="shared" si="8"/>
        <v>-112.17864923747275</v>
      </c>
      <c r="L169" s="50">
        <f>VLOOKUP($A169,'Data shares'!$C:$FB,118)</f>
        <v>0.84</v>
      </c>
      <c r="M169" s="50">
        <f>VLOOKUP($A169,'Data shares'!$C:$FB,119)</f>
        <v>0.86</v>
      </c>
      <c r="N169" s="50">
        <f>VLOOKUP($A169,'Data shares'!$C:$FB,121)*100</f>
        <v>-2.33</v>
      </c>
      <c r="O169" s="50">
        <f>VLOOKUP($A169,'Data shares'!$C:$FB,124)</f>
        <v>1.04</v>
      </c>
      <c r="P169" s="50">
        <f>VLOOKUP($A169,'Data shares'!$C:$FB,125)</f>
        <v>0.44</v>
      </c>
      <c r="Q169" s="50">
        <f>VLOOKUP($A169,'Data shares'!$C:$FB,127)*100</f>
        <v>136.35999999999999</v>
      </c>
    </row>
    <row r="170" spans="1:17" x14ac:dyDescent="0.25">
      <c r="A170" s="97" t="str">
        <f>'Snapshot (Value)'!A174</f>
        <v>PIIND</v>
      </c>
      <c r="B170" s="140">
        <f>VLOOKUP($A170,'Data shares'!$C:$FB,7)</f>
        <v>2880.7</v>
      </c>
      <c r="C170" s="140">
        <f>VLOOKUP($A170,'Data shares'!$C:$FB,3)</f>
        <v>2893.3</v>
      </c>
      <c r="D170" s="140">
        <f>VLOOKUP($A170,'Data shares'!$C:$FB,4)</f>
        <v>2885.3</v>
      </c>
      <c r="E170" s="50">
        <f t="shared" si="6"/>
        <v>0.27726752850656777</v>
      </c>
      <c r="F170" s="49">
        <f>VLOOKUP($A170,'Data shares'!$C:$FB,98)</f>
        <v>3580150</v>
      </c>
      <c r="G170" s="49">
        <f>VLOOKUP($A170,'Data shares'!$C:$FB,99)</f>
        <v>3475675</v>
      </c>
      <c r="H170" s="50">
        <f t="shared" si="7"/>
        <v>3.0058909420472282</v>
      </c>
      <c r="I170" s="49">
        <f>VLOOKUP($A170,'Data shares'!$C:$FB,66)</f>
        <v>1276275</v>
      </c>
      <c r="J170" s="49">
        <f>VLOOKUP($A170,'Data shares'!$C:$FB,67)</f>
        <v>933800</v>
      </c>
      <c r="K170" s="50">
        <f t="shared" si="8"/>
        <v>26.833950363362131</v>
      </c>
      <c r="L170" s="50">
        <f>VLOOKUP($A170,'Data shares'!$C:$FB,118)</f>
        <v>0.97</v>
      </c>
      <c r="M170" s="50">
        <f>VLOOKUP($A170,'Data shares'!$C:$FB,119)</f>
        <v>0.89</v>
      </c>
      <c r="N170" s="50">
        <f>VLOOKUP($A170,'Data shares'!$C:$FB,121)*100</f>
        <v>8.99</v>
      </c>
      <c r="O170" s="50">
        <f>VLOOKUP($A170,'Data shares'!$C:$FB,124)</f>
        <v>0.88</v>
      </c>
      <c r="P170" s="50">
        <f>VLOOKUP($A170,'Data shares'!$C:$FB,125)</f>
        <v>0.57999999999999996</v>
      </c>
      <c r="Q170" s="50">
        <f>VLOOKUP($A170,'Data shares'!$C:$FB,127)*100</f>
        <v>51.72</v>
      </c>
    </row>
    <row r="171" spans="1:17" x14ac:dyDescent="0.25">
      <c r="A171" s="97" t="str">
        <f>'Snapshot (Value)'!A175</f>
        <v>PNB</v>
      </c>
      <c r="B171" s="140">
        <f>VLOOKUP($A171,'Data shares'!$C:$FB,7)</f>
        <v>109.59</v>
      </c>
      <c r="C171" s="140">
        <f>VLOOKUP($A171,'Data shares'!$C:$FB,3)</f>
        <v>109.84</v>
      </c>
      <c r="D171" s="140">
        <f>VLOOKUP($A171,'Data shares'!$C:$FB,4)</f>
        <v>111.73</v>
      </c>
      <c r="E171" s="50">
        <f t="shared" si="6"/>
        <v>-1.6915779110355325</v>
      </c>
      <c r="F171" s="49">
        <f>VLOOKUP($A171,'Data shares'!$C:$FB,98)</f>
        <v>431936000</v>
      </c>
      <c r="G171" s="49">
        <f>VLOOKUP($A171,'Data shares'!$C:$FB,99)</f>
        <v>416264000</v>
      </c>
      <c r="H171" s="50">
        <f t="shared" si="7"/>
        <v>3.7649184171583414</v>
      </c>
      <c r="I171" s="49">
        <f>VLOOKUP($A171,'Data shares'!$C:$FB,66)</f>
        <v>185000000</v>
      </c>
      <c r="J171" s="49">
        <f>VLOOKUP($A171,'Data shares'!$C:$FB,67)</f>
        <v>253312000</v>
      </c>
      <c r="K171" s="50">
        <f t="shared" si="8"/>
        <v>-36.925405405405407</v>
      </c>
      <c r="L171" s="50">
        <f>VLOOKUP($A171,'Data shares'!$C:$FB,118)</f>
        <v>0.76</v>
      </c>
      <c r="M171" s="50">
        <f>VLOOKUP($A171,'Data shares'!$C:$FB,119)</f>
        <v>0.79</v>
      </c>
      <c r="N171" s="50">
        <f>VLOOKUP($A171,'Data shares'!$C:$FB,121)*100</f>
        <v>-3.8</v>
      </c>
      <c r="O171" s="50">
        <f>VLOOKUP($A171,'Data shares'!$C:$FB,124)</f>
        <v>0.64</v>
      </c>
      <c r="P171" s="50">
        <f>VLOOKUP($A171,'Data shares'!$C:$FB,125)</f>
        <v>0.51</v>
      </c>
      <c r="Q171" s="50">
        <f>VLOOKUP($A171,'Data shares'!$C:$FB,127)*100</f>
        <v>25.490000000000002</v>
      </c>
    </row>
    <row r="172" spans="1:17" x14ac:dyDescent="0.25">
      <c r="A172" s="97" t="str">
        <f>'Snapshot (Value)'!A176</f>
        <v>PNBHOUSING</v>
      </c>
      <c r="B172" s="140">
        <f>VLOOKUP($A172,'Data shares'!$C:$FB,7)</f>
        <v>862.95</v>
      </c>
      <c r="C172" s="140">
        <f>VLOOKUP($A172,'Data shares'!$C:$FB,3)</f>
        <v>867.55</v>
      </c>
      <c r="D172" s="140">
        <f>VLOOKUP($A172,'Data shares'!$C:$FB,4)</f>
        <v>877.1</v>
      </c>
      <c r="E172" s="50">
        <f t="shared" si="6"/>
        <v>-1.0888154144339377</v>
      </c>
      <c r="F172" s="49">
        <f>VLOOKUP($A172,'Data shares'!$C:$FB,98)</f>
        <v>15793700</v>
      </c>
      <c r="G172" s="49">
        <f>VLOOKUP($A172,'Data shares'!$C:$FB,99)</f>
        <v>15846350</v>
      </c>
      <c r="H172" s="50">
        <f t="shared" si="7"/>
        <v>-0.33225316871077565</v>
      </c>
      <c r="I172" s="49">
        <f>VLOOKUP($A172,'Data shares'!$C:$FB,66)</f>
        <v>4529850</v>
      </c>
      <c r="J172" s="49">
        <f>VLOOKUP($A172,'Data shares'!$C:$FB,67)</f>
        <v>7419100</v>
      </c>
      <c r="K172" s="50">
        <f t="shared" si="8"/>
        <v>-63.782465203042037</v>
      </c>
      <c r="L172" s="50">
        <f>VLOOKUP($A172,'Data shares'!$C:$FB,118)</f>
        <v>0.87</v>
      </c>
      <c r="M172" s="50">
        <f>VLOOKUP($A172,'Data shares'!$C:$FB,119)</f>
        <v>0.78</v>
      </c>
      <c r="N172" s="50">
        <f>VLOOKUP($A172,'Data shares'!$C:$FB,121)*100</f>
        <v>11.540000000000001</v>
      </c>
      <c r="O172" s="50">
        <f>VLOOKUP($A172,'Data shares'!$C:$FB,124)</f>
        <v>3.6</v>
      </c>
      <c r="P172" s="50">
        <f>VLOOKUP($A172,'Data shares'!$C:$FB,125)</f>
        <v>0.42</v>
      </c>
      <c r="Q172" s="50">
        <f>VLOOKUP($A172,'Data shares'!$C:$FB,127)*100</f>
        <v>757.14</v>
      </c>
    </row>
    <row r="173" spans="1:17" x14ac:dyDescent="0.25">
      <c r="A173" s="97" t="str">
        <f>'Snapshot (Value)'!A177</f>
        <v>POLICYBZR</v>
      </c>
      <c r="B173" s="140">
        <f>VLOOKUP($A173,'Data shares'!$C:$FB,7)</f>
        <v>1493.3</v>
      </c>
      <c r="C173" s="140">
        <f>VLOOKUP($A173,'Data shares'!$C:$FB,3)</f>
        <v>1500</v>
      </c>
      <c r="D173" s="140">
        <f>VLOOKUP($A173,'Data shares'!$C:$FB,4)</f>
        <v>1505.6</v>
      </c>
      <c r="E173" s="50">
        <f t="shared" ref="E173:E182" si="9">(C173-D173)/D173*100</f>
        <v>-0.37194473963867625</v>
      </c>
      <c r="F173" s="49">
        <f>VLOOKUP($A173,'Data shares'!$C:$FB,98)</f>
        <v>9786000</v>
      </c>
      <c r="G173" s="49">
        <f>VLOOKUP($A173,'Data shares'!$C:$FB,99)</f>
        <v>9546250</v>
      </c>
      <c r="H173" s="50">
        <f t="shared" ref="H173:H182" si="10">(F173-G173)/G173*100</f>
        <v>2.5114573785517873</v>
      </c>
      <c r="I173" s="49">
        <f>VLOOKUP($A173,'Data shares'!$C:$FB,66)</f>
        <v>2069200</v>
      </c>
      <c r="J173" s="49">
        <f>VLOOKUP($A173,'Data shares'!$C:$FB,67)</f>
        <v>2278500</v>
      </c>
      <c r="K173" s="50">
        <f t="shared" ref="K173:K182" si="11">(I173-J173)/I173*100</f>
        <v>-10.115020297699594</v>
      </c>
      <c r="L173" s="50">
        <f>VLOOKUP($A173,'Data shares'!$C:$FB,118)</f>
        <v>0.91</v>
      </c>
      <c r="M173" s="50">
        <f>VLOOKUP($A173,'Data shares'!$C:$FB,119)</f>
        <v>0.9</v>
      </c>
      <c r="N173" s="50">
        <f>VLOOKUP($A173,'Data shares'!$C:$FB,121)*100</f>
        <v>1.1100000000000001</v>
      </c>
      <c r="O173" s="50">
        <f>VLOOKUP($A173,'Data shares'!$C:$FB,124)</f>
        <v>0.43</v>
      </c>
      <c r="P173" s="50">
        <f>VLOOKUP($A173,'Data shares'!$C:$FB,125)</f>
        <v>0.49</v>
      </c>
      <c r="Q173" s="50">
        <f>VLOOKUP($A173,'Data shares'!$C:$FB,127)*100</f>
        <v>-12.24</v>
      </c>
    </row>
    <row r="174" spans="1:17" x14ac:dyDescent="0.25">
      <c r="A174" s="97" t="str">
        <f>'Snapshot (Value)'!A178</f>
        <v>POLYCAB</v>
      </c>
      <c r="B174" s="140">
        <f>VLOOKUP($A174,'Data shares'!$C:$FB,7)</f>
        <v>7607</v>
      </c>
      <c r="C174" s="140">
        <f>VLOOKUP($A174,'Data shares'!$C:$FB,3)</f>
        <v>7595</v>
      </c>
      <c r="D174" s="140">
        <f>VLOOKUP($A174,'Data shares'!$C:$FB,4)</f>
        <v>7617.5</v>
      </c>
      <c r="E174" s="50">
        <f t="shared" si="9"/>
        <v>-0.29537249753856254</v>
      </c>
      <c r="F174" s="49">
        <f>VLOOKUP($A174,'Data shares'!$C:$FB,98)</f>
        <v>3645875</v>
      </c>
      <c r="G174" s="49">
        <f>VLOOKUP($A174,'Data shares'!$C:$FB,99)</f>
        <v>3535750</v>
      </c>
      <c r="H174" s="50">
        <f t="shared" si="10"/>
        <v>3.1146150038888498</v>
      </c>
      <c r="I174" s="49">
        <f>VLOOKUP($A174,'Data shares'!$C:$FB,66)</f>
        <v>1854250</v>
      </c>
      <c r="J174" s="49">
        <f>VLOOKUP($A174,'Data shares'!$C:$FB,67)</f>
        <v>3826750</v>
      </c>
      <c r="K174" s="50">
        <f t="shared" si="11"/>
        <v>-106.37724147229338</v>
      </c>
      <c r="L174" s="50">
        <f>VLOOKUP($A174,'Data shares'!$C:$FB,118)</f>
        <v>0.97</v>
      </c>
      <c r="M174" s="50">
        <f>VLOOKUP($A174,'Data shares'!$C:$FB,119)</f>
        <v>0.99</v>
      </c>
      <c r="N174" s="50">
        <f>VLOOKUP($A174,'Data shares'!$C:$FB,121)*100</f>
        <v>-2.02</v>
      </c>
      <c r="O174" s="50">
        <f>VLOOKUP($A174,'Data shares'!$C:$FB,124)</f>
        <v>0.86</v>
      </c>
      <c r="P174" s="50">
        <f>VLOOKUP($A174,'Data shares'!$C:$FB,125)</f>
        <v>0.88</v>
      </c>
      <c r="Q174" s="50">
        <f>VLOOKUP($A174,'Data shares'!$C:$FB,127)*100</f>
        <v>-2.27</v>
      </c>
    </row>
    <row r="175" spans="1:17" x14ac:dyDescent="0.25">
      <c r="A175" s="97" t="str">
        <f>'Snapshot (Value)'!A179</f>
        <v>POWERGRID</v>
      </c>
      <c r="B175" s="140">
        <f>VLOOKUP($A175,'Data shares'!$C:$FB,7)</f>
        <v>298.10000000000002</v>
      </c>
      <c r="C175" s="140">
        <f>VLOOKUP($A175,'Data shares'!$C:$FB,3)</f>
        <v>299.45</v>
      </c>
      <c r="D175" s="140">
        <f>VLOOKUP($A175,'Data shares'!$C:$FB,4)</f>
        <v>295.8</v>
      </c>
      <c r="E175" s="50">
        <f t="shared" si="9"/>
        <v>1.2339418526031025</v>
      </c>
      <c r="F175" s="49">
        <f>VLOOKUP($A175,'Data shares'!$C:$FB,98)</f>
        <v>124248600</v>
      </c>
      <c r="G175" s="49">
        <f>VLOOKUP($A175,'Data shares'!$C:$FB,99)</f>
        <v>125044700</v>
      </c>
      <c r="H175" s="50">
        <f t="shared" si="10"/>
        <v>-0.63665233312567426</v>
      </c>
      <c r="I175" s="49">
        <f>VLOOKUP($A175,'Data shares'!$C:$FB,66)</f>
        <v>64687400</v>
      </c>
      <c r="J175" s="49">
        <f>VLOOKUP($A175,'Data shares'!$C:$FB,67)</f>
        <v>53927700</v>
      </c>
      <c r="K175" s="50">
        <f t="shared" si="11"/>
        <v>16.633378370439996</v>
      </c>
      <c r="L175" s="50">
        <f>VLOOKUP($A175,'Data shares'!$C:$FB,118)</f>
        <v>0.51</v>
      </c>
      <c r="M175" s="50">
        <f>VLOOKUP($A175,'Data shares'!$C:$FB,119)</f>
        <v>0.47</v>
      </c>
      <c r="N175" s="50">
        <f>VLOOKUP($A175,'Data shares'!$C:$FB,121)*100</f>
        <v>8.51</v>
      </c>
      <c r="O175" s="50">
        <f>VLOOKUP($A175,'Data shares'!$C:$FB,124)</f>
        <v>0.26</v>
      </c>
      <c r="P175" s="50">
        <f>VLOOKUP($A175,'Data shares'!$C:$FB,125)</f>
        <v>0.38</v>
      </c>
      <c r="Q175" s="50">
        <f>VLOOKUP($A175,'Data shares'!$C:$FB,127)*100</f>
        <v>-31.580000000000002</v>
      </c>
    </row>
    <row r="176" spans="1:17" x14ac:dyDescent="0.25">
      <c r="A176" s="97" t="str">
        <f>'Snapshot (Value)'!A180</f>
        <v>POWERINDIA</v>
      </c>
      <c r="B176" s="140">
        <f>VLOOKUP($A176,'Data shares'!$C:$FB,7)</f>
        <v>27315</v>
      </c>
      <c r="C176" s="140">
        <f>VLOOKUP($A176,'Data shares'!$C:$FB,3)</f>
        <v>27435</v>
      </c>
      <c r="D176" s="140">
        <f>VLOOKUP($A176,'Data shares'!$C:$FB,4)</f>
        <v>26040</v>
      </c>
      <c r="E176" s="50">
        <f t="shared" si="9"/>
        <v>5.3571428571428568</v>
      </c>
      <c r="F176" s="49">
        <f>VLOOKUP($A176,'Data shares'!$C:$FB,98)</f>
        <v>675250</v>
      </c>
      <c r="G176" s="49">
        <f>VLOOKUP($A176,'Data shares'!$C:$FB,99)</f>
        <v>534950</v>
      </c>
      <c r="H176" s="50">
        <f t="shared" si="10"/>
        <v>26.226750163566688</v>
      </c>
      <c r="I176" s="49">
        <f>VLOOKUP($A176,'Data shares'!$C:$FB,66)</f>
        <v>1545500</v>
      </c>
      <c r="J176" s="49">
        <f>VLOOKUP($A176,'Data shares'!$C:$FB,67)</f>
        <v>553800</v>
      </c>
      <c r="K176" s="50">
        <f t="shared" si="11"/>
        <v>64.166936266580393</v>
      </c>
      <c r="L176" s="50">
        <f>VLOOKUP($A176,'Data shares'!$C:$FB,118)</f>
        <v>0.96</v>
      </c>
      <c r="M176" s="50">
        <f>VLOOKUP($A176,'Data shares'!$C:$FB,119)</f>
        <v>0.85</v>
      </c>
      <c r="N176" s="50">
        <f>VLOOKUP($A176,'Data shares'!$C:$FB,121)*100</f>
        <v>12.94</v>
      </c>
      <c r="O176" s="50">
        <f>VLOOKUP($A176,'Data shares'!$C:$FB,124)</f>
        <v>0.37</v>
      </c>
      <c r="P176" s="50">
        <f>VLOOKUP($A176,'Data shares'!$C:$FB,125)</f>
        <v>0.47</v>
      </c>
      <c r="Q176" s="50">
        <f>VLOOKUP($A176,'Data shares'!$C:$FB,127)*100</f>
        <v>-21.279999999999998</v>
      </c>
    </row>
    <row r="177" spans="1:17" x14ac:dyDescent="0.25">
      <c r="A177" s="97" t="str">
        <f>'Snapshot (Value)'!A181</f>
        <v>PPLPHARMA</v>
      </c>
      <c r="B177" s="140">
        <f>VLOOKUP($A177,'Data shares'!$C:$FB,7)</f>
        <v>142.94999999999999</v>
      </c>
      <c r="C177" s="140">
        <f>VLOOKUP($A177,'Data shares'!$C:$FB,3)</f>
        <v>142.44999999999999</v>
      </c>
      <c r="D177" s="140">
        <f>VLOOKUP($A177,'Data shares'!$C:$FB,4)</f>
        <v>143.94999999999999</v>
      </c>
      <c r="E177" s="50">
        <f t="shared" si="9"/>
        <v>-1.0420284821118444</v>
      </c>
      <c r="F177" s="49">
        <f>VLOOKUP($A177,'Data shares'!$C:$FB,98)</f>
        <v>19936875</v>
      </c>
      <c r="G177" s="49">
        <f>VLOOKUP($A177,'Data shares'!$C:$FB,99)</f>
        <v>18645375</v>
      </c>
      <c r="H177" s="50">
        <f t="shared" si="10"/>
        <v>6.9266507109671966</v>
      </c>
      <c r="I177" s="49">
        <f>VLOOKUP($A177,'Data shares'!$C:$FB,66)</f>
        <v>8079750</v>
      </c>
      <c r="J177" s="49">
        <f>VLOOKUP($A177,'Data shares'!$C:$FB,67)</f>
        <v>9723000</v>
      </c>
      <c r="K177" s="50">
        <f t="shared" si="11"/>
        <v>-20.337881741390511</v>
      </c>
      <c r="L177" s="50">
        <f>VLOOKUP($A177,'Data shares'!$C:$FB,118)</f>
        <v>0.6</v>
      </c>
      <c r="M177" s="50">
        <f>VLOOKUP($A177,'Data shares'!$C:$FB,119)</f>
        <v>0.7</v>
      </c>
      <c r="N177" s="50">
        <f>VLOOKUP($A177,'Data shares'!$C:$FB,121)*100</f>
        <v>-14.29</v>
      </c>
      <c r="O177" s="50">
        <f>VLOOKUP($A177,'Data shares'!$C:$FB,124)</f>
        <v>0.28999999999999998</v>
      </c>
      <c r="P177" s="50">
        <f>VLOOKUP($A177,'Data shares'!$C:$FB,125)</f>
        <v>0.33</v>
      </c>
      <c r="Q177" s="50">
        <f>VLOOKUP($A177,'Data shares'!$C:$FB,127)*100</f>
        <v>-12.120000000000001</v>
      </c>
    </row>
    <row r="178" spans="1:17" x14ac:dyDescent="0.25">
      <c r="A178" s="97" t="str">
        <f>'Snapshot (Value)'!A182</f>
        <v>PREMIERENE</v>
      </c>
      <c r="B178" s="140">
        <f>VLOOKUP($A178,'Data shares'!$C:$FB,7)</f>
        <v>956.45</v>
      </c>
      <c r="C178" s="140">
        <f>VLOOKUP($A178,'Data shares'!$C:$FB,3)</f>
        <v>960.5</v>
      </c>
      <c r="D178" s="140">
        <f>VLOOKUP($A178,'Data shares'!$C:$FB,4)</f>
        <v>963.85</v>
      </c>
      <c r="E178" s="50">
        <f t="shared" si="9"/>
        <v>-0.347564455050062</v>
      </c>
      <c r="F178" s="49">
        <f>VLOOKUP($A178,'Data shares'!$C:$FB,98)</f>
        <v>14394550</v>
      </c>
      <c r="G178" s="49">
        <f>VLOOKUP($A178,'Data shares'!$C:$FB,99)</f>
        <v>13875900</v>
      </c>
      <c r="H178" s="50">
        <f t="shared" si="10"/>
        <v>3.7377755677109237</v>
      </c>
      <c r="I178" s="49">
        <f>VLOOKUP($A178,'Data shares'!$C:$FB,66)</f>
        <v>6519350</v>
      </c>
      <c r="J178" s="49">
        <f>VLOOKUP($A178,'Data shares'!$C:$FB,67)</f>
        <v>9330525</v>
      </c>
      <c r="K178" s="50">
        <f t="shared" si="11"/>
        <v>-43.120479802434289</v>
      </c>
      <c r="L178" s="50">
        <f>VLOOKUP($A178,'Data shares'!$C:$FB,118)</f>
        <v>0.84</v>
      </c>
      <c r="M178" s="50">
        <f>VLOOKUP($A178,'Data shares'!$C:$FB,119)</f>
        <v>0.9</v>
      </c>
      <c r="N178" s="50">
        <f>VLOOKUP($A178,'Data shares'!$C:$FB,121)*100</f>
        <v>-6.67</v>
      </c>
      <c r="O178" s="50">
        <f>VLOOKUP($A178,'Data shares'!$C:$FB,124)</f>
        <v>0.36</v>
      </c>
      <c r="P178" s="50">
        <f>VLOOKUP($A178,'Data shares'!$C:$FB,125)</f>
        <v>0.52</v>
      </c>
      <c r="Q178" s="50">
        <f>VLOOKUP($A178,'Data shares'!$C:$FB,127)*100</f>
        <v>-30.769999999999996</v>
      </c>
    </row>
    <row r="179" spans="1:17" x14ac:dyDescent="0.25">
      <c r="A179" s="97" t="str">
        <f>'Snapshot (Value)'!A183</f>
        <v>PRESTIGE</v>
      </c>
      <c r="B179" s="140">
        <f>VLOOKUP($A179,'Data shares'!$C:$FB,7)</f>
        <v>1319.4</v>
      </c>
      <c r="C179" s="140">
        <f>VLOOKUP($A179,'Data shares'!$C:$FB,3)</f>
        <v>1326.5</v>
      </c>
      <c r="D179" s="140">
        <f>VLOOKUP($A179,'Data shares'!$C:$FB,4)</f>
        <v>1323.8</v>
      </c>
      <c r="E179" s="50">
        <f t="shared" si="9"/>
        <v>0.2039583018582902</v>
      </c>
      <c r="F179" s="49">
        <f>VLOOKUP($A179,'Data shares'!$C:$FB,98)</f>
        <v>9586800</v>
      </c>
      <c r="G179" s="49">
        <f>VLOOKUP($A179,'Data shares'!$C:$FB,99)</f>
        <v>9157500</v>
      </c>
      <c r="H179" s="50">
        <f t="shared" si="10"/>
        <v>4.6879606879606879</v>
      </c>
      <c r="I179" s="49">
        <f>VLOOKUP($A179,'Data shares'!$C:$FB,66)</f>
        <v>4132350</v>
      </c>
      <c r="J179" s="49">
        <f>VLOOKUP($A179,'Data shares'!$C:$FB,67)</f>
        <v>10018800</v>
      </c>
      <c r="K179" s="50">
        <f t="shared" si="11"/>
        <v>-142.44800174234999</v>
      </c>
      <c r="L179" s="50">
        <f>VLOOKUP($A179,'Data shares'!$C:$FB,118)</f>
        <v>0.61</v>
      </c>
      <c r="M179" s="50">
        <f>VLOOKUP($A179,'Data shares'!$C:$FB,119)</f>
        <v>0.65</v>
      </c>
      <c r="N179" s="50">
        <f>VLOOKUP($A179,'Data shares'!$C:$FB,121)*100</f>
        <v>-6.15</v>
      </c>
      <c r="O179" s="50">
        <f>VLOOKUP($A179,'Data shares'!$C:$FB,124)</f>
        <v>0.57999999999999996</v>
      </c>
      <c r="P179" s="50">
        <f>VLOOKUP($A179,'Data shares'!$C:$FB,125)</f>
        <v>0.42</v>
      </c>
      <c r="Q179" s="50">
        <f>VLOOKUP($A179,'Data shares'!$C:$FB,127)*100</f>
        <v>38.1</v>
      </c>
    </row>
    <row r="180" spans="1:17" x14ac:dyDescent="0.25">
      <c r="A180" s="97" t="str">
        <f>'Snapshot (Value)'!A184</f>
        <v>RBLBANK</v>
      </c>
      <c r="B180" s="140">
        <f>VLOOKUP($A180,'Data shares'!$C:$FB,7)</f>
        <v>317.7</v>
      </c>
      <c r="C180" s="140">
        <f>VLOOKUP($A180,'Data shares'!$C:$FB,3)</f>
        <v>318.45</v>
      </c>
      <c r="D180" s="140">
        <f>VLOOKUP($A180,'Data shares'!$C:$FB,4)</f>
        <v>324.14999999999998</v>
      </c>
      <c r="E180" s="50">
        <f t="shared" si="9"/>
        <v>-1.7584451642757948</v>
      </c>
      <c r="F180" s="49">
        <f>VLOOKUP($A180,'Data shares'!$C:$FB,98)</f>
        <v>121231025</v>
      </c>
      <c r="G180" s="49">
        <f>VLOOKUP($A180,'Data shares'!$C:$FB,99)</f>
        <v>121881900</v>
      </c>
      <c r="H180" s="50">
        <f t="shared" si="10"/>
        <v>-0.5340210482442429</v>
      </c>
      <c r="I180" s="49">
        <f>VLOOKUP($A180,'Data shares'!$C:$FB,66)</f>
        <v>47640875</v>
      </c>
      <c r="J180" s="49">
        <f>VLOOKUP($A180,'Data shares'!$C:$FB,67)</f>
        <v>96869250</v>
      </c>
      <c r="K180" s="50">
        <f t="shared" si="11"/>
        <v>-103.33222259246917</v>
      </c>
      <c r="L180" s="50">
        <f>VLOOKUP($A180,'Data shares'!$C:$FB,118)</f>
        <v>1.05</v>
      </c>
      <c r="M180" s="50">
        <f>VLOOKUP($A180,'Data shares'!$C:$FB,119)</f>
        <v>1.07</v>
      </c>
      <c r="N180" s="50">
        <f>VLOOKUP($A180,'Data shares'!$C:$FB,121)*100</f>
        <v>-1.87</v>
      </c>
      <c r="O180" s="50">
        <f>VLOOKUP($A180,'Data shares'!$C:$FB,124)</f>
        <v>0.75</v>
      </c>
      <c r="P180" s="50">
        <f>VLOOKUP($A180,'Data shares'!$C:$FB,125)</f>
        <v>0.54</v>
      </c>
      <c r="Q180" s="50">
        <f>VLOOKUP($A180,'Data shares'!$C:$FB,127)*100</f>
        <v>38.89</v>
      </c>
    </row>
    <row r="181" spans="1:17" x14ac:dyDescent="0.25">
      <c r="A181" s="97" t="str">
        <f>'Snapshot (Value)'!A185</f>
        <v>RECLTD</v>
      </c>
      <c r="B181" s="140">
        <f>VLOOKUP($A181,'Data shares'!$C:$FB,7)</f>
        <v>346.8</v>
      </c>
      <c r="C181" s="140">
        <f>VLOOKUP($A181,'Data shares'!$C:$FB,3)</f>
        <v>348.15</v>
      </c>
      <c r="D181" s="140">
        <f>VLOOKUP($A181,'Data shares'!$C:$FB,4)</f>
        <v>343.55</v>
      </c>
      <c r="E181" s="50">
        <f t="shared" si="9"/>
        <v>1.3389608499490513</v>
      </c>
      <c r="F181" s="49">
        <f>VLOOKUP($A181,'Data shares'!$C:$FB,98)</f>
        <v>109282600</v>
      </c>
      <c r="G181" s="49">
        <f>VLOOKUP($A181,'Data shares'!$C:$FB,99)</f>
        <v>107284800</v>
      </c>
      <c r="H181" s="50">
        <f t="shared" si="10"/>
        <v>1.8621463618331768</v>
      </c>
      <c r="I181" s="49">
        <f>VLOOKUP($A181,'Data shares'!$C:$FB,66)</f>
        <v>54192600</v>
      </c>
      <c r="J181" s="49">
        <f>VLOOKUP($A181,'Data shares'!$C:$FB,67)</f>
        <v>46377800</v>
      </c>
      <c r="K181" s="50">
        <f t="shared" si="11"/>
        <v>14.420419023999587</v>
      </c>
      <c r="L181" s="50">
        <f>VLOOKUP($A181,'Data shares'!$C:$FB,118)</f>
        <v>0.89</v>
      </c>
      <c r="M181" s="50">
        <f>VLOOKUP($A181,'Data shares'!$C:$FB,119)</f>
        <v>0.9</v>
      </c>
      <c r="N181" s="50">
        <f>VLOOKUP($A181,'Data shares'!$C:$FB,121)*100</f>
        <v>-1.1100000000000001</v>
      </c>
      <c r="O181" s="50">
        <f>VLOOKUP($A181,'Data shares'!$C:$FB,124)</f>
        <v>0.51</v>
      </c>
      <c r="P181" s="50">
        <f>VLOOKUP($A181,'Data shares'!$C:$FB,125)</f>
        <v>0.63</v>
      </c>
      <c r="Q181" s="50">
        <f>VLOOKUP($A181,'Data shares'!$C:$FB,127)*100</f>
        <v>-19.05</v>
      </c>
    </row>
    <row r="182" spans="1:17" x14ac:dyDescent="0.25">
      <c r="A182" s="97" t="str">
        <f>'Snapshot (Value)'!A186</f>
        <v>RELIANCE</v>
      </c>
      <c r="B182" s="140">
        <f>VLOOKUP($A182,'Data shares'!$C:$FB,7)</f>
        <v>1330</v>
      </c>
      <c r="C182" s="140">
        <f>VLOOKUP($A182,'Data shares'!$C:$FB,3)</f>
        <v>1335.7</v>
      </c>
      <c r="D182" s="140">
        <f>VLOOKUP($A182,'Data shares'!$C:$FB,4)</f>
        <v>1351</v>
      </c>
      <c r="E182" s="50">
        <f t="shared" si="9"/>
        <v>-1.1324944485566213</v>
      </c>
      <c r="F182" s="49">
        <f>VLOOKUP($A182,'Data shares'!$C:$FB,98)</f>
        <v>208974500</v>
      </c>
      <c r="G182" s="49">
        <f>VLOOKUP($A182,'Data shares'!$C:$FB,99)</f>
        <v>206427500</v>
      </c>
      <c r="H182" s="50">
        <f t="shared" si="10"/>
        <v>1.233847234501217</v>
      </c>
      <c r="I182" s="49">
        <f>VLOOKUP($A182,'Data shares'!$C:$FB,66)</f>
        <v>105907500</v>
      </c>
      <c r="J182" s="49">
        <f>VLOOKUP($A182,'Data shares'!$C:$FB,67)</f>
        <v>216901000</v>
      </c>
      <c r="K182" s="50">
        <f t="shared" si="11"/>
        <v>-104.80230389726883</v>
      </c>
      <c r="L182" s="50">
        <f>VLOOKUP($A182,'Data shares'!$C:$FB,118)</f>
        <v>0.44</v>
      </c>
      <c r="M182" s="50">
        <f>VLOOKUP($A182,'Data shares'!$C:$FB,119)</f>
        <v>0.43</v>
      </c>
      <c r="N182" s="50">
        <f>VLOOKUP($A182,'Data shares'!$C:$FB,121)*100</f>
        <v>2.33</v>
      </c>
      <c r="O182" s="50">
        <f>VLOOKUP($A182,'Data shares'!$C:$FB,124)</f>
        <v>0.61</v>
      </c>
      <c r="P182" s="50">
        <f>VLOOKUP($A182,'Data shares'!$C:$FB,125)</f>
        <v>0.38</v>
      </c>
      <c r="Q182" s="50">
        <f>VLOOKUP($A182,'Data shares'!$C:$FB,127)*100</f>
        <v>60.529999999999994</v>
      </c>
    </row>
    <row r="183" spans="1:17" x14ac:dyDescent="0.25">
      <c r="A183" s="97" t="str">
        <f>'Snapshot (Value)'!A187</f>
        <v>RVNL</v>
      </c>
      <c r="B183" s="140">
        <f>VLOOKUP($A183,'Data shares'!$C:$FB,7)</f>
        <v>272.83</v>
      </c>
      <c r="C183" s="140">
        <f>VLOOKUP($A183,'Data shares'!$C:$FB,3)</f>
        <v>271.77999999999997</v>
      </c>
      <c r="D183" s="140">
        <f>VLOOKUP($A183,'Data shares'!$C:$FB,4)</f>
        <v>272.68</v>
      </c>
      <c r="E183" s="50">
        <f>(C183-D183)/D183*100</f>
        <v>-0.33005720991639798</v>
      </c>
      <c r="F183" s="49">
        <f>VLOOKUP($A183,'Data shares'!$C:$FB,98)</f>
        <v>76178325</v>
      </c>
      <c r="G183" s="49">
        <f>VLOOKUP($A183,'Data shares'!$C:$FB,99)</f>
        <v>74688400</v>
      </c>
      <c r="H183" s="50">
        <f>(F183-G183)/G183*100</f>
        <v>1.9948546226723294</v>
      </c>
      <c r="I183" s="49">
        <f>VLOOKUP($A183,'Data shares'!$C:$FB,66)</f>
        <v>26902525</v>
      </c>
      <c r="J183" s="49">
        <f>VLOOKUP($A183,'Data shares'!$C:$FB,67)</f>
        <v>36445975</v>
      </c>
      <c r="K183" s="50">
        <f>(I183-J183)/I183*100</f>
        <v>-35.474179468284113</v>
      </c>
      <c r="L183" s="50">
        <f>VLOOKUP($A183,'Data shares'!$C:$FB,118)</f>
        <v>0.71</v>
      </c>
      <c r="M183" s="50">
        <f>VLOOKUP($A183,'Data shares'!$C:$FB,119)</f>
        <v>0.73</v>
      </c>
      <c r="N183" s="50">
        <f>VLOOKUP($A183,'Data shares'!$C:$FB,121)*100</f>
        <v>-2.74</v>
      </c>
      <c r="O183" s="50">
        <f>VLOOKUP($A183,'Data shares'!$C:$FB,124)</f>
        <v>0.31</v>
      </c>
      <c r="P183" s="50">
        <f>VLOOKUP($A183,'Data shares'!$C:$FB,125)</f>
        <v>0.38</v>
      </c>
      <c r="Q183" s="50">
        <f>VLOOKUP($A183,'Data shares'!$C:$FB,127)*100</f>
        <v>-18.420000000000002</v>
      </c>
    </row>
    <row r="184" spans="1:17" x14ac:dyDescent="0.25">
      <c r="A184" s="97" t="str">
        <f>'Snapshot (Value)'!A188</f>
        <v>SAIL</v>
      </c>
      <c r="B184" s="140">
        <f>VLOOKUP($A184,'Data shares'!$C:$FB,7)</f>
        <v>163.35</v>
      </c>
      <c r="C184" s="140">
        <f>VLOOKUP($A184,'Data shares'!$C:$FB,3)</f>
        <v>166.73</v>
      </c>
      <c r="D184" s="140">
        <f>VLOOKUP($A184,'Data shares'!$C:$FB,4)</f>
        <v>165.45</v>
      </c>
      <c r="E184" s="50">
        <f t="shared" ref="E184:E188" si="12">(C184-D184)/D184*100</f>
        <v>0.77364762768207984</v>
      </c>
      <c r="F184" s="49">
        <f>VLOOKUP($A184,'Data shares'!$C:$FB,98)</f>
        <v>228730200</v>
      </c>
      <c r="G184" s="49">
        <f>VLOOKUP($A184,'Data shares'!$C:$FB,99)</f>
        <v>233514800</v>
      </c>
      <c r="H184" s="50">
        <f t="shared" ref="H184:H188" si="13">(F184-G184)/G184*100</f>
        <v>-2.0489493599549151</v>
      </c>
      <c r="I184" s="49">
        <f>VLOOKUP($A184,'Data shares'!$C:$FB,66)</f>
        <v>7082900</v>
      </c>
      <c r="J184" s="49">
        <f>VLOOKUP($A184,'Data shares'!$C:$FB,67)</f>
        <v>80219600</v>
      </c>
      <c r="K184" s="50">
        <f t="shared" ref="K184:K188" si="14">(I184-J184)/I184*100</f>
        <v>-1032.5812873258128</v>
      </c>
      <c r="L184" s="50">
        <f>VLOOKUP($A184,'Data shares'!$C:$FB,118)</f>
        <v>0.71</v>
      </c>
      <c r="M184" s="50">
        <f>VLOOKUP($A184,'Data shares'!$C:$FB,119)</f>
        <v>0.68</v>
      </c>
      <c r="N184" s="50">
        <f>VLOOKUP($A184,'Data shares'!$C:$FB,121)*100</f>
        <v>4.41</v>
      </c>
      <c r="O184" s="50">
        <f>VLOOKUP($A184,'Data shares'!$C:$FB,124)</f>
        <v>0.35</v>
      </c>
      <c r="P184" s="50">
        <f>VLOOKUP($A184,'Data shares'!$C:$FB,125)</f>
        <v>0.45</v>
      </c>
      <c r="Q184" s="50">
        <f>VLOOKUP($A184,'Data shares'!$C:$FB,127)*100</f>
        <v>-22.220000000000002</v>
      </c>
    </row>
    <row r="185" spans="1:17" x14ac:dyDescent="0.25">
      <c r="A185" s="97" t="str">
        <f>'Snapshot (Value)'!A189</f>
        <v>SAMMAANCAP</v>
      </c>
      <c r="B185" s="140">
        <f>VLOOKUP($A185,'Data shares'!$C:$FB,7)</f>
        <v>153.55000000000001</v>
      </c>
      <c r="C185" s="140">
        <f>VLOOKUP($A185,'Data shares'!$C:$FB,3)</f>
        <v>153.91</v>
      </c>
      <c r="D185" s="140">
        <f>VLOOKUP($A185,'Data shares'!$C:$FB,4)</f>
        <v>153.07</v>
      </c>
      <c r="E185" s="50">
        <f t="shared" si="12"/>
        <v>0.5487685372705321</v>
      </c>
      <c r="F185" s="49">
        <f>VLOOKUP($A185,'Data shares'!$C:$FB,98)</f>
        <v>147541600</v>
      </c>
      <c r="G185" s="49">
        <f>VLOOKUP($A185,'Data shares'!$C:$FB,99)</f>
        <v>149377700</v>
      </c>
      <c r="H185" s="50">
        <f t="shared" si="13"/>
        <v>-1.2291660669564466</v>
      </c>
      <c r="I185" s="49">
        <f>VLOOKUP($A185,'Data shares'!$C:$FB,66)</f>
        <v>2399400</v>
      </c>
      <c r="J185" s="49">
        <f>VLOOKUP($A185,'Data shares'!$C:$FB,67)</f>
        <v>16477600</v>
      </c>
      <c r="K185" s="50">
        <f t="shared" si="14"/>
        <v>-586.73835125448034</v>
      </c>
      <c r="L185" s="50">
        <f>VLOOKUP($A185,'Data shares'!$C:$FB,118)</f>
        <v>1.05</v>
      </c>
      <c r="M185" s="50">
        <f>VLOOKUP($A185,'Data shares'!$C:$FB,119)</f>
        <v>1.03</v>
      </c>
      <c r="N185" s="50">
        <f>VLOOKUP($A185,'Data shares'!$C:$FB,121)*100</f>
        <v>1.94</v>
      </c>
      <c r="O185" s="50">
        <f>VLOOKUP($A185,'Data shares'!$C:$FB,124)</f>
        <v>0.62</v>
      </c>
      <c r="P185" s="50">
        <f>VLOOKUP($A185,'Data shares'!$C:$FB,125)</f>
        <v>0.86</v>
      </c>
      <c r="Q185" s="50">
        <f>VLOOKUP($A185,'Data shares'!$C:$FB,127)*100</f>
        <v>-27.91</v>
      </c>
    </row>
    <row r="186" spans="1:17" x14ac:dyDescent="0.25">
      <c r="A186" s="97" t="str">
        <f>'Snapshot (Value)'!A190</f>
        <v>SBICARD</v>
      </c>
      <c r="B186" s="140">
        <f>VLOOKUP($A186,'Data shares'!$C:$FB,7)</f>
        <v>668.9</v>
      </c>
      <c r="C186" s="140">
        <f>VLOOKUP($A186,'Data shares'!$C:$FB,3)</f>
        <v>666.5</v>
      </c>
      <c r="D186" s="140">
        <f>VLOOKUP($A186,'Data shares'!$C:$FB,4)</f>
        <v>667.9</v>
      </c>
      <c r="E186" s="50">
        <f t="shared" si="12"/>
        <v>-0.20961221739781064</v>
      </c>
      <c r="F186" s="49">
        <f>VLOOKUP($A186,'Data shares'!$C:$FB,98)</f>
        <v>35560800</v>
      </c>
      <c r="G186" s="49">
        <f>VLOOKUP($A186,'Data shares'!$C:$FB,99)</f>
        <v>35149600</v>
      </c>
      <c r="H186" s="50">
        <f t="shared" si="13"/>
        <v>1.1698568404761363</v>
      </c>
      <c r="I186" s="49">
        <f>VLOOKUP($A186,'Data shares'!$C:$FB,66)</f>
        <v>8917600</v>
      </c>
      <c r="J186" s="49">
        <f>VLOOKUP($A186,'Data shares'!$C:$FB,67)</f>
        <v>18460000</v>
      </c>
      <c r="K186" s="50">
        <f t="shared" si="14"/>
        <v>-107.00636942675159</v>
      </c>
      <c r="L186" s="50">
        <f>VLOOKUP($A186,'Data shares'!$C:$FB,118)</f>
        <v>0.76</v>
      </c>
      <c r="M186" s="50">
        <f>VLOOKUP($A186,'Data shares'!$C:$FB,119)</f>
        <v>0.84</v>
      </c>
      <c r="N186" s="50">
        <f>VLOOKUP($A186,'Data shares'!$C:$FB,121)*100</f>
        <v>-9.5200000000000014</v>
      </c>
      <c r="O186" s="50">
        <f>VLOOKUP($A186,'Data shares'!$C:$FB,124)</f>
        <v>0.62</v>
      </c>
      <c r="P186" s="50">
        <f>VLOOKUP($A186,'Data shares'!$C:$FB,125)</f>
        <v>0.45</v>
      </c>
      <c r="Q186" s="50">
        <f>VLOOKUP($A186,'Data shares'!$C:$FB,127)*100</f>
        <v>37.78</v>
      </c>
    </row>
    <row r="187" spans="1:17" x14ac:dyDescent="0.25">
      <c r="A187" s="97" t="str">
        <f>'Snapshot (Value)'!A191</f>
        <v>SBILIFE</v>
      </c>
      <c r="B187" s="140">
        <f>VLOOKUP($A187,'Data shares'!$C:$FB,7)</f>
        <v>1904</v>
      </c>
      <c r="C187" s="140">
        <f>VLOOKUP($A187,'Data shares'!$C:$FB,3)</f>
        <v>1911.9</v>
      </c>
      <c r="D187" s="140">
        <f>VLOOKUP($A187,'Data shares'!$C:$FB,4)</f>
        <v>1917.6</v>
      </c>
      <c r="E187" s="50">
        <f t="shared" si="12"/>
        <v>-0.29724655819773771</v>
      </c>
      <c r="F187" s="49">
        <f>VLOOKUP($A187,'Data shares'!$C:$FB,98)</f>
        <v>12719250</v>
      </c>
      <c r="G187" s="49">
        <f>VLOOKUP($A187,'Data shares'!$C:$FB,99)</f>
        <v>12709875</v>
      </c>
      <c r="H187" s="50">
        <f t="shared" si="13"/>
        <v>7.3761543681586161E-2</v>
      </c>
      <c r="I187" s="49">
        <f>VLOOKUP($A187,'Data shares'!$C:$FB,66)</f>
        <v>2508750</v>
      </c>
      <c r="J187" s="49">
        <f>VLOOKUP($A187,'Data shares'!$C:$FB,67)</f>
        <v>4149375</v>
      </c>
      <c r="K187" s="50">
        <f t="shared" si="14"/>
        <v>-65.396113602391623</v>
      </c>
      <c r="L187" s="50">
        <f>VLOOKUP($A187,'Data shares'!$C:$FB,118)</f>
        <v>1.5</v>
      </c>
      <c r="M187" s="50">
        <f>VLOOKUP($A187,'Data shares'!$C:$FB,119)</f>
        <v>1.77</v>
      </c>
      <c r="N187" s="50">
        <f>VLOOKUP($A187,'Data shares'!$C:$FB,121)*100</f>
        <v>-15.25</v>
      </c>
      <c r="O187" s="50">
        <f>VLOOKUP($A187,'Data shares'!$C:$FB,124)</f>
        <v>0.84</v>
      </c>
      <c r="P187" s="50">
        <f>VLOOKUP($A187,'Data shares'!$C:$FB,125)</f>
        <v>1.02</v>
      </c>
      <c r="Q187" s="50">
        <f>VLOOKUP($A187,'Data shares'!$C:$FB,127)*100</f>
        <v>-17.649999999999999</v>
      </c>
    </row>
    <row r="188" spans="1:17" x14ac:dyDescent="0.25">
      <c r="A188" s="97" t="str">
        <f>'Snapshot (Value)'!A192</f>
        <v>SBIN</v>
      </c>
      <c r="B188" s="140">
        <f>VLOOKUP($A188,'Data shares'!$C:$FB,7)</f>
        <v>1040.95</v>
      </c>
      <c r="C188" s="140">
        <f>VLOOKUP($A188,'Data shares'!$C:$FB,3)</f>
        <v>1045.7</v>
      </c>
      <c r="D188" s="140">
        <f>VLOOKUP($A188,'Data shares'!$C:$FB,4)</f>
        <v>1067.2</v>
      </c>
      <c r="E188" s="50">
        <f t="shared" si="12"/>
        <v>-2.0146176911544229</v>
      </c>
      <c r="F188" s="49">
        <f>VLOOKUP($A188,'Data shares'!$C:$FB,98)</f>
        <v>151741500</v>
      </c>
      <c r="G188" s="49">
        <f>VLOOKUP($A188,'Data shares'!$C:$FB,99)</f>
        <v>143618250</v>
      </c>
      <c r="H188" s="50">
        <f t="shared" si="13"/>
        <v>5.6561404974646328</v>
      </c>
      <c r="I188" s="49">
        <f>VLOOKUP($A188,'Data shares'!$C:$FB,66)</f>
        <v>107336250</v>
      </c>
      <c r="J188" s="49">
        <f>VLOOKUP($A188,'Data shares'!$C:$FB,67)</f>
        <v>160591500</v>
      </c>
      <c r="K188" s="50">
        <f t="shared" si="14"/>
        <v>-49.615344303532119</v>
      </c>
      <c r="L188" s="50">
        <f>VLOOKUP($A188,'Data shares'!$C:$FB,118)</f>
        <v>0.65</v>
      </c>
      <c r="M188" s="50">
        <f>VLOOKUP($A188,'Data shares'!$C:$FB,119)</f>
        <v>0.71</v>
      </c>
      <c r="N188" s="50">
        <f>VLOOKUP($A188,'Data shares'!$C:$FB,121)*100</f>
        <v>-8.4500000000000011</v>
      </c>
      <c r="O188" s="50">
        <f>VLOOKUP($A188,'Data shares'!$C:$FB,124)</f>
        <v>0.69</v>
      </c>
      <c r="P188" s="50">
        <f>VLOOKUP($A188,'Data shares'!$C:$FB,125)</f>
        <v>0.56999999999999995</v>
      </c>
      <c r="Q188" s="50">
        <f>VLOOKUP($A188,'Data shares'!$C:$FB,127)*100</f>
        <v>21.05</v>
      </c>
    </row>
    <row r="189" spans="1:17" x14ac:dyDescent="0.25">
      <c r="A189" s="97" t="str">
        <f>'Snapshot (Value)'!A193</f>
        <v>SHREECEM</v>
      </c>
      <c r="B189" s="140">
        <f>VLOOKUP($A189,'Data shares'!$C:$FB,7)</f>
        <v>23990</v>
      </c>
      <c r="C189" s="140">
        <f>VLOOKUP($A189,'Data shares'!$C:$FB,3)</f>
        <v>23975</v>
      </c>
      <c r="D189" s="140">
        <f>VLOOKUP($A189,'Data shares'!$C:$FB,4)</f>
        <v>24375</v>
      </c>
      <c r="E189" s="50">
        <f t="shared" ref="E189:E209" si="15">(C189-D189)/D189*100</f>
        <v>-1.641025641025641</v>
      </c>
      <c r="F189" s="49">
        <f>VLOOKUP($A189,'Data shares'!$C:$FB,98)</f>
        <v>481900</v>
      </c>
      <c r="G189" s="49">
        <f>VLOOKUP($A189,'Data shares'!$C:$FB,99)</f>
        <v>458750</v>
      </c>
      <c r="H189" s="50">
        <f t="shared" ref="H189:H209" si="16">(F189-G189)/G189*100</f>
        <v>5.0463215258855589</v>
      </c>
      <c r="I189" s="49">
        <f>VLOOKUP($A189,'Data shares'!$C:$FB,66)</f>
        <v>128000</v>
      </c>
      <c r="J189" s="49">
        <f>VLOOKUP($A189,'Data shares'!$C:$FB,67)</f>
        <v>200375</v>
      </c>
      <c r="K189" s="50">
        <f t="shared" ref="K189:K209" si="17">(I189-J189)/I189*100</f>
        <v>-56.54296875</v>
      </c>
      <c r="L189" s="50">
        <f>VLOOKUP($A189,'Data shares'!$C:$FB,118)</f>
        <v>0.67</v>
      </c>
      <c r="M189" s="50">
        <f>VLOOKUP($A189,'Data shares'!$C:$FB,119)</f>
        <v>0.71</v>
      </c>
      <c r="N189" s="50">
        <f>VLOOKUP($A189,'Data shares'!$C:$FB,121)*100</f>
        <v>-5.63</v>
      </c>
      <c r="O189" s="50">
        <f>VLOOKUP($A189,'Data shares'!$C:$FB,124)</f>
        <v>0.3</v>
      </c>
      <c r="P189" s="50">
        <f>VLOOKUP($A189,'Data shares'!$C:$FB,125)</f>
        <v>0.4</v>
      </c>
      <c r="Q189" s="50">
        <f>VLOOKUP($A189,'Data shares'!$C:$FB,127)*100</f>
        <v>-25</v>
      </c>
    </row>
    <row r="190" spans="1:17" x14ac:dyDescent="0.25">
      <c r="A190" s="97" t="str">
        <f>'Snapshot (Value)'!A194</f>
        <v>SHRIRAMFIN</v>
      </c>
      <c r="B190" s="140">
        <f>VLOOKUP($A190,'Data shares'!$C:$FB,7)</f>
        <v>996.3</v>
      </c>
      <c r="C190" s="140">
        <f>VLOOKUP($A190,'Data shares'!$C:$FB,3)</f>
        <v>999.8</v>
      </c>
      <c r="D190" s="140">
        <f>VLOOKUP($A190,'Data shares'!$C:$FB,4)</f>
        <v>1026.1500000000001</v>
      </c>
      <c r="E190" s="50">
        <f t="shared" si="15"/>
        <v>-2.5678507040881096</v>
      </c>
      <c r="F190" s="49">
        <f>VLOOKUP($A190,'Data shares'!$C:$FB,98)</f>
        <v>62667825</v>
      </c>
      <c r="G190" s="49">
        <f>VLOOKUP($A190,'Data shares'!$C:$FB,99)</f>
        <v>62288325</v>
      </c>
      <c r="H190" s="50">
        <f t="shared" si="16"/>
        <v>0.60926345346419253</v>
      </c>
      <c r="I190" s="49">
        <f>VLOOKUP($A190,'Data shares'!$C:$FB,66)</f>
        <v>34175625</v>
      </c>
      <c r="J190" s="49">
        <f>VLOOKUP($A190,'Data shares'!$C:$FB,67)</f>
        <v>87033375</v>
      </c>
      <c r="K190" s="50">
        <f t="shared" si="17"/>
        <v>-154.66505733252868</v>
      </c>
      <c r="L190" s="50">
        <f>VLOOKUP($A190,'Data shares'!$C:$FB,118)</f>
        <v>0.7</v>
      </c>
      <c r="M190" s="50">
        <f>VLOOKUP($A190,'Data shares'!$C:$FB,119)</f>
        <v>0.75</v>
      </c>
      <c r="N190" s="50">
        <f>VLOOKUP($A190,'Data shares'!$C:$FB,121)*100</f>
        <v>-6.67</v>
      </c>
      <c r="O190" s="50">
        <f>VLOOKUP($A190,'Data shares'!$C:$FB,124)</f>
        <v>0.73</v>
      </c>
      <c r="P190" s="50">
        <f>VLOOKUP($A190,'Data shares'!$C:$FB,125)</f>
        <v>0.46</v>
      </c>
      <c r="Q190" s="50">
        <f>VLOOKUP($A190,'Data shares'!$C:$FB,127)*100</f>
        <v>58.699999999999996</v>
      </c>
    </row>
    <row r="191" spans="1:17" x14ac:dyDescent="0.25">
      <c r="A191" s="97" t="str">
        <f>'Snapshot (Value)'!A195</f>
        <v>SIEMENS</v>
      </c>
      <c r="B191" s="140">
        <f>VLOOKUP($A191,'Data shares'!$C:$FB,7)</f>
        <v>3222.5</v>
      </c>
      <c r="C191" s="140">
        <f>VLOOKUP($A191,'Data shares'!$C:$FB,3)</f>
        <v>3238.6</v>
      </c>
      <c r="D191" s="140">
        <f>VLOOKUP($A191,'Data shares'!$C:$FB,4)</f>
        <v>3242.9</v>
      </c>
      <c r="E191" s="50">
        <f t="shared" si="15"/>
        <v>-0.13259736655463264</v>
      </c>
      <c r="F191" s="49">
        <f>VLOOKUP($A191,'Data shares'!$C:$FB,98)</f>
        <v>3523975</v>
      </c>
      <c r="G191" s="49">
        <f>VLOOKUP($A191,'Data shares'!$C:$FB,99)</f>
        <v>3473225</v>
      </c>
      <c r="H191" s="50">
        <f t="shared" si="16"/>
        <v>1.4611780117901949</v>
      </c>
      <c r="I191" s="49">
        <f>VLOOKUP($A191,'Data shares'!$C:$FB,66)</f>
        <v>2223725</v>
      </c>
      <c r="J191" s="49">
        <f>VLOOKUP($A191,'Data shares'!$C:$FB,67)</f>
        <v>3816925</v>
      </c>
      <c r="K191" s="50">
        <f t="shared" si="17"/>
        <v>-71.645549697017401</v>
      </c>
      <c r="L191" s="50">
        <f>VLOOKUP($A191,'Data shares'!$C:$FB,118)</f>
        <v>0.69</v>
      </c>
      <c r="M191" s="50">
        <f>VLOOKUP($A191,'Data shares'!$C:$FB,119)</f>
        <v>0.66</v>
      </c>
      <c r="N191" s="50">
        <f>VLOOKUP($A191,'Data shares'!$C:$FB,121)*100</f>
        <v>4.55</v>
      </c>
      <c r="O191" s="50">
        <f>VLOOKUP($A191,'Data shares'!$C:$FB,124)</f>
        <v>0.47</v>
      </c>
      <c r="P191" s="50">
        <f>VLOOKUP($A191,'Data shares'!$C:$FB,125)</f>
        <v>0.33</v>
      </c>
      <c r="Q191" s="50">
        <f>VLOOKUP($A191,'Data shares'!$C:$FB,127)*100</f>
        <v>42.42</v>
      </c>
    </row>
    <row r="192" spans="1:17" x14ac:dyDescent="0.25">
      <c r="A192" s="97" t="str">
        <f>'Snapshot (Value)'!A196</f>
        <v>SOLARINDS</v>
      </c>
      <c r="B192" s="140">
        <f>VLOOKUP($A192,'Data shares'!$C:$FB,7)</f>
        <v>13928</v>
      </c>
      <c r="C192" s="140">
        <f>VLOOKUP($A192,'Data shares'!$C:$FB,3)</f>
        <v>13996</v>
      </c>
      <c r="D192" s="140">
        <f>VLOOKUP($A192,'Data shares'!$C:$FB,4)</f>
        <v>13689</v>
      </c>
      <c r="E192" s="50">
        <f t="shared" si="15"/>
        <v>2.2426766016509605</v>
      </c>
      <c r="F192" s="49">
        <f>VLOOKUP($A192,'Data shares'!$C:$FB,98)</f>
        <v>1174400</v>
      </c>
      <c r="G192" s="49">
        <f>VLOOKUP($A192,'Data shares'!$C:$FB,99)</f>
        <v>1106750</v>
      </c>
      <c r="H192" s="50">
        <f t="shared" si="16"/>
        <v>6.1124915292523152</v>
      </c>
      <c r="I192" s="49">
        <f>VLOOKUP($A192,'Data shares'!$C:$FB,66)</f>
        <v>823100</v>
      </c>
      <c r="J192" s="49">
        <f>VLOOKUP($A192,'Data shares'!$C:$FB,67)</f>
        <v>460550</v>
      </c>
      <c r="K192" s="50">
        <f t="shared" si="17"/>
        <v>44.046895881423886</v>
      </c>
      <c r="L192" s="50">
        <f>VLOOKUP($A192,'Data shares'!$C:$FB,118)</f>
        <v>0.82</v>
      </c>
      <c r="M192" s="50">
        <f>VLOOKUP($A192,'Data shares'!$C:$FB,119)</f>
        <v>0.84</v>
      </c>
      <c r="N192" s="50">
        <f>VLOOKUP($A192,'Data shares'!$C:$FB,121)*100</f>
        <v>-2.3800000000000003</v>
      </c>
      <c r="O192" s="50">
        <f>VLOOKUP($A192,'Data shares'!$C:$FB,124)</f>
        <v>0.34</v>
      </c>
      <c r="P192" s="50">
        <f>VLOOKUP($A192,'Data shares'!$C:$FB,125)</f>
        <v>0.45</v>
      </c>
      <c r="Q192" s="50">
        <f>VLOOKUP($A192,'Data shares'!$C:$FB,127)*100</f>
        <v>-24.44</v>
      </c>
    </row>
    <row r="193" spans="1:17" x14ac:dyDescent="0.25">
      <c r="A193" s="97" t="str">
        <f>'Snapshot (Value)'!A197</f>
        <v>SONACOMS</v>
      </c>
      <c r="B193" s="140">
        <f>VLOOKUP($A193,'Data shares'!$C:$FB,7)</f>
        <v>523.04999999999995</v>
      </c>
      <c r="C193" s="140">
        <f>VLOOKUP($A193,'Data shares'!$C:$FB,3)</f>
        <v>523.4</v>
      </c>
      <c r="D193" s="140">
        <f>VLOOKUP($A193,'Data shares'!$C:$FB,4)</f>
        <v>536.20000000000005</v>
      </c>
      <c r="E193" s="50">
        <f t="shared" si="15"/>
        <v>-2.3871689668034444</v>
      </c>
      <c r="F193" s="49">
        <f>VLOOKUP($A193,'Data shares'!$C:$FB,98)</f>
        <v>18367650</v>
      </c>
      <c r="G193" s="49">
        <f>VLOOKUP($A193,'Data shares'!$C:$FB,99)</f>
        <v>18062625</v>
      </c>
      <c r="H193" s="50">
        <f t="shared" si="16"/>
        <v>1.688708036622584</v>
      </c>
      <c r="I193" s="49">
        <f>VLOOKUP($A193,'Data shares'!$C:$FB,66)</f>
        <v>7301000</v>
      </c>
      <c r="J193" s="49">
        <f>VLOOKUP($A193,'Data shares'!$C:$FB,67)</f>
        <v>12205900</v>
      </c>
      <c r="K193" s="50">
        <f t="shared" si="17"/>
        <v>-67.181208053691279</v>
      </c>
      <c r="L193" s="50">
        <f>VLOOKUP($A193,'Data shares'!$C:$FB,118)</f>
        <v>0.69</v>
      </c>
      <c r="M193" s="50">
        <f>VLOOKUP($A193,'Data shares'!$C:$FB,119)</f>
        <v>0.76</v>
      </c>
      <c r="N193" s="50">
        <f>VLOOKUP($A193,'Data shares'!$C:$FB,121)*100</f>
        <v>-9.2100000000000009</v>
      </c>
      <c r="O193" s="50">
        <f>VLOOKUP($A193,'Data shares'!$C:$FB,124)</f>
        <v>0.45</v>
      </c>
      <c r="P193" s="50">
        <f>VLOOKUP($A193,'Data shares'!$C:$FB,125)</f>
        <v>0.4</v>
      </c>
      <c r="Q193" s="50">
        <f>VLOOKUP($A193,'Data shares'!$C:$FB,127)*100</f>
        <v>12.5</v>
      </c>
    </row>
    <row r="194" spans="1:17" x14ac:dyDescent="0.25">
      <c r="A194" s="97" t="str">
        <f>'Snapshot (Value)'!A198</f>
        <v>SRF</v>
      </c>
      <c r="B194" s="140">
        <f>VLOOKUP($A194,'Data shares'!$C:$FB,7)</f>
        <v>2399.8000000000002</v>
      </c>
      <c r="C194" s="140">
        <f>VLOOKUP($A194,'Data shares'!$C:$FB,3)</f>
        <v>2411.6999999999998</v>
      </c>
      <c r="D194" s="140">
        <f>VLOOKUP($A194,'Data shares'!$C:$FB,4)</f>
        <v>2448.1</v>
      </c>
      <c r="E194" s="50">
        <f t="shared" si="15"/>
        <v>-1.4868673665291487</v>
      </c>
      <c r="F194" s="49">
        <f>VLOOKUP($A194,'Data shares'!$C:$FB,98)</f>
        <v>6953200</v>
      </c>
      <c r="G194" s="49">
        <f>VLOOKUP($A194,'Data shares'!$C:$FB,99)</f>
        <v>6452400</v>
      </c>
      <c r="H194" s="50">
        <f t="shared" si="16"/>
        <v>7.7614531027214673</v>
      </c>
      <c r="I194" s="49">
        <f>VLOOKUP($A194,'Data shares'!$C:$FB,66)</f>
        <v>3378000</v>
      </c>
      <c r="J194" s="49">
        <f>VLOOKUP($A194,'Data shares'!$C:$FB,67)</f>
        <v>4981800</v>
      </c>
      <c r="K194" s="50">
        <f t="shared" si="17"/>
        <v>-47.477797513321491</v>
      </c>
      <c r="L194" s="50">
        <f>VLOOKUP($A194,'Data shares'!$C:$FB,118)</f>
        <v>0.67</v>
      </c>
      <c r="M194" s="50">
        <f>VLOOKUP($A194,'Data shares'!$C:$FB,119)</f>
        <v>0.72</v>
      </c>
      <c r="N194" s="50">
        <f>VLOOKUP($A194,'Data shares'!$C:$FB,121)*100</f>
        <v>-6.94</v>
      </c>
      <c r="O194" s="50">
        <f>VLOOKUP($A194,'Data shares'!$C:$FB,124)</f>
        <v>0.42</v>
      </c>
      <c r="P194" s="50">
        <f>VLOOKUP($A194,'Data shares'!$C:$FB,125)</f>
        <v>0.37</v>
      </c>
      <c r="Q194" s="50">
        <f>VLOOKUP($A194,'Data shares'!$C:$FB,127)*100</f>
        <v>13.51</v>
      </c>
    </row>
    <row r="195" spans="1:17" x14ac:dyDescent="0.25">
      <c r="A195" s="97" t="str">
        <f>'Snapshot (Value)'!A199</f>
        <v>SUNPHARMA</v>
      </c>
      <c r="B195" s="140">
        <f>VLOOKUP($A195,'Data shares'!$C:$FB,7)</f>
        <v>1717.1</v>
      </c>
      <c r="C195" s="140">
        <f>VLOOKUP($A195,'Data shares'!$C:$FB,3)</f>
        <v>1725</v>
      </c>
      <c r="D195" s="140">
        <f>VLOOKUP($A195,'Data shares'!$C:$FB,4)</f>
        <v>1722.5</v>
      </c>
      <c r="E195" s="50">
        <f t="shared" si="15"/>
        <v>0.14513788098693758</v>
      </c>
      <c r="F195" s="49">
        <f>VLOOKUP($A195,'Data shares'!$C:$FB,98)</f>
        <v>27810650</v>
      </c>
      <c r="G195" s="49">
        <f>VLOOKUP($A195,'Data shares'!$C:$FB,99)</f>
        <v>27681500</v>
      </c>
      <c r="H195" s="50">
        <f t="shared" si="16"/>
        <v>0.46655708686306741</v>
      </c>
      <c r="I195" s="49">
        <f>VLOOKUP($A195,'Data shares'!$C:$FB,66)</f>
        <v>11290300</v>
      </c>
      <c r="J195" s="49">
        <f>VLOOKUP($A195,'Data shares'!$C:$FB,67)</f>
        <v>22385650</v>
      </c>
      <c r="K195" s="50">
        <f t="shared" si="17"/>
        <v>-98.273296546593087</v>
      </c>
      <c r="L195" s="50">
        <f>VLOOKUP($A195,'Data shares'!$C:$FB,118)</f>
        <v>0.89</v>
      </c>
      <c r="M195" s="50">
        <f>VLOOKUP($A195,'Data shares'!$C:$FB,119)</f>
        <v>0.88</v>
      </c>
      <c r="N195" s="50">
        <f>VLOOKUP($A195,'Data shares'!$C:$FB,121)*100</f>
        <v>1.1400000000000001</v>
      </c>
      <c r="O195" s="50">
        <f>VLOOKUP($A195,'Data shares'!$C:$FB,124)</f>
        <v>0.62</v>
      </c>
      <c r="P195" s="50">
        <f>VLOOKUP($A195,'Data shares'!$C:$FB,125)</f>
        <v>0.67</v>
      </c>
      <c r="Q195" s="50">
        <f>VLOOKUP($A195,'Data shares'!$C:$FB,127)*100</f>
        <v>-7.46</v>
      </c>
    </row>
    <row r="196" spans="1:17" x14ac:dyDescent="0.25">
      <c r="A196" s="97" t="str">
        <f>'Snapshot (Value)'!A200</f>
        <v>SUPREMEIND</v>
      </c>
      <c r="B196" s="140">
        <f>VLOOKUP($A196,'Data shares'!$C:$FB,7)</f>
        <v>3771.9</v>
      </c>
      <c r="C196" s="140">
        <f>VLOOKUP($A196,'Data shares'!$C:$FB,3)</f>
        <v>3790</v>
      </c>
      <c r="D196" s="140">
        <f>VLOOKUP($A196,'Data shares'!$C:$FB,4)</f>
        <v>3804.4</v>
      </c>
      <c r="E196" s="50">
        <f t="shared" si="15"/>
        <v>-0.37850909473241751</v>
      </c>
      <c r="F196" s="49">
        <f>VLOOKUP($A196,'Data shares'!$C:$FB,98)</f>
        <v>2832200</v>
      </c>
      <c r="G196" s="49">
        <f>VLOOKUP($A196,'Data shares'!$C:$FB,99)</f>
        <v>2633050</v>
      </c>
      <c r="H196" s="50">
        <f t="shared" si="16"/>
        <v>7.5634720191413001</v>
      </c>
      <c r="I196" s="49">
        <f>VLOOKUP($A196,'Data shares'!$C:$FB,66)</f>
        <v>1053325</v>
      </c>
      <c r="J196" s="49">
        <f>VLOOKUP($A196,'Data shares'!$C:$FB,67)</f>
        <v>1347850</v>
      </c>
      <c r="K196" s="50">
        <f t="shared" si="17"/>
        <v>-27.961455391261008</v>
      </c>
      <c r="L196" s="50">
        <f>VLOOKUP($A196,'Data shares'!$C:$FB,118)</f>
        <v>0.64</v>
      </c>
      <c r="M196" s="50">
        <f>VLOOKUP($A196,'Data shares'!$C:$FB,119)</f>
        <v>0.79</v>
      </c>
      <c r="N196" s="50">
        <f>VLOOKUP($A196,'Data shares'!$C:$FB,121)*100</f>
        <v>-18.990000000000002</v>
      </c>
      <c r="O196" s="50">
        <f>VLOOKUP($A196,'Data shares'!$C:$FB,124)</f>
        <v>0.44</v>
      </c>
      <c r="P196" s="50">
        <f>VLOOKUP($A196,'Data shares'!$C:$FB,125)</f>
        <v>0.84</v>
      </c>
      <c r="Q196" s="50">
        <f>VLOOKUP($A196,'Data shares'!$C:$FB,127)*100</f>
        <v>-47.620000000000005</v>
      </c>
    </row>
    <row r="197" spans="1:17" x14ac:dyDescent="0.25">
      <c r="A197" s="97" t="str">
        <f>'Snapshot (Value)'!A201</f>
        <v>SUZLON</v>
      </c>
      <c r="B197" s="140">
        <f>VLOOKUP($A197,'Data shares'!$C:$FB,7)</f>
        <v>44.23</v>
      </c>
      <c r="C197" s="140">
        <f>VLOOKUP($A197,'Data shares'!$C:$FB,3)</f>
        <v>44.38</v>
      </c>
      <c r="D197" s="140">
        <f>VLOOKUP($A197,'Data shares'!$C:$FB,4)</f>
        <v>44.45</v>
      </c>
      <c r="E197" s="50">
        <f t="shared" si="15"/>
        <v>-0.15748031496063056</v>
      </c>
      <c r="F197" s="49">
        <f>VLOOKUP($A197,'Data shares'!$C:$FB,98)</f>
        <v>472558025</v>
      </c>
      <c r="G197" s="49">
        <f>VLOOKUP($A197,'Data shares'!$C:$FB,99)</f>
        <v>457576525</v>
      </c>
      <c r="H197" s="50">
        <f t="shared" si="16"/>
        <v>3.2740971578469855</v>
      </c>
      <c r="I197" s="49">
        <f>VLOOKUP($A197,'Data shares'!$C:$FB,66)</f>
        <v>209452200</v>
      </c>
      <c r="J197" s="49">
        <f>VLOOKUP($A197,'Data shares'!$C:$FB,67)</f>
        <v>334800425</v>
      </c>
      <c r="K197" s="50">
        <f t="shared" si="17"/>
        <v>-59.845742847294034</v>
      </c>
      <c r="L197" s="50">
        <f>VLOOKUP($A197,'Data shares'!$C:$FB,118)</f>
        <v>0.46</v>
      </c>
      <c r="M197" s="50">
        <f>VLOOKUP($A197,'Data shares'!$C:$FB,119)</f>
        <v>0.47</v>
      </c>
      <c r="N197" s="50">
        <f>VLOOKUP($A197,'Data shares'!$C:$FB,121)*100</f>
        <v>-2.13</v>
      </c>
      <c r="O197" s="50">
        <f>VLOOKUP($A197,'Data shares'!$C:$FB,124)</f>
        <v>0.41</v>
      </c>
      <c r="P197" s="50">
        <f>VLOOKUP($A197,'Data shares'!$C:$FB,125)</f>
        <v>0.31</v>
      </c>
      <c r="Q197" s="50">
        <f>VLOOKUP($A197,'Data shares'!$C:$FB,127)*100</f>
        <v>32.26</v>
      </c>
    </row>
    <row r="198" spans="1:17" x14ac:dyDescent="0.25">
      <c r="A198" s="97" t="str">
        <f>'Snapshot (Value)'!A202</f>
        <v>SWIGGY</v>
      </c>
      <c r="B198" s="140">
        <f>VLOOKUP($A198,'Data shares'!$C:$FB,7)</f>
        <v>271.89999999999998</v>
      </c>
      <c r="C198" s="140">
        <f>VLOOKUP($A198,'Data shares'!$C:$FB,3)</f>
        <v>272.64999999999998</v>
      </c>
      <c r="D198" s="140">
        <f>VLOOKUP($A198,'Data shares'!$C:$FB,4)</f>
        <v>279.10000000000002</v>
      </c>
      <c r="E198" s="50">
        <f t="shared" si="15"/>
        <v>-2.3109996417054983</v>
      </c>
      <c r="F198" s="49">
        <f>VLOOKUP($A198,'Data shares'!$C:$FB,98)</f>
        <v>62619700</v>
      </c>
      <c r="G198" s="49">
        <f>VLOOKUP($A198,'Data shares'!$C:$FB,99)</f>
        <v>61314500</v>
      </c>
      <c r="H198" s="50">
        <f t="shared" si="16"/>
        <v>2.1286971271069648</v>
      </c>
      <c r="I198" s="49">
        <f>VLOOKUP($A198,'Data shares'!$C:$FB,66)</f>
        <v>17299100</v>
      </c>
      <c r="J198" s="49">
        <f>VLOOKUP($A198,'Data shares'!$C:$FB,67)</f>
        <v>20382700</v>
      </c>
      <c r="K198" s="50">
        <f t="shared" si="17"/>
        <v>-17.825204779439392</v>
      </c>
      <c r="L198" s="50">
        <f>VLOOKUP($A198,'Data shares'!$C:$FB,118)</f>
        <v>0.65</v>
      </c>
      <c r="M198" s="50">
        <f>VLOOKUP($A198,'Data shares'!$C:$FB,119)</f>
        <v>0.7</v>
      </c>
      <c r="N198" s="50">
        <f>VLOOKUP($A198,'Data shares'!$C:$FB,121)*100</f>
        <v>-7.1400000000000006</v>
      </c>
      <c r="O198" s="50">
        <f>VLOOKUP($A198,'Data shares'!$C:$FB,124)</f>
        <v>0.46</v>
      </c>
      <c r="P198" s="50">
        <f>VLOOKUP($A198,'Data shares'!$C:$FB,125)</f>
        <v>0.42</v>
      </c>
      <c r="Q198" s="50">
        <f>VLOOKUP($A198,'Data shares'!$C:$FB,127)*100</f>
        <v>9.5200000000000014</v>
      </c>
    </row>
    <row r="199" spans="1:17" x14ac:dyDescent="0.25">
      <c r="A199" s="97" t="str">
        <f>'Snapshot (Value)'!A203</f>
        <v>TATACONSUM</v>
      </c>
      <c r="B199" s="140">
        <f>VLOOKUP($A199,'Data shares'!$C:$FB,7)</f>
        <v>1078</v>
      </c>
      <c r="C199" s="140">
        <f>VLOOKUP($A199,'Data shares'!$C:$FB,3)</f>
        <v>1082.5</v>
      </c>
      <c r="D199" s="140">
        <f>VLOOKUP($A199,'Data shares'!$C:$FB,4)</f>
        <v>1073.9000000000001</v>
      </c>
      <c r="E199" s="50">
        <f t="shared" si="15"/>
        <v>0.80081944315112297</v>
      </c>
      <c r="F199" s="49">
        <f>VLOOKUP($A199,'Data shares'!$C:$FB,98)</f>
        <v>17222700</v>
      </c>
      <c r="G199" s="49">
        <f>VLOOKUP($A199,'Data shares'!$C:$FB,99)</f>
        <v>16907000</v>
      </c>
      <c r="H199" s="50">
        <f t="shared" si="16"/>
        <v>1.8672739102147038</v>
      </c>
      <c r="I199" s="49">
        <f>VLOOKUP($A199,'Data shares'!$C:$FB,66)</f>
        <v>4441800</v>
      </c>
      <c r="J199" s="49">
        <f>VLOOKUP($A199,'Data shares'!$C:$FB,67)</f>
        <v>5566550</v>
      </c>
      <c r="K199" s="50">
        <f t="shared" si="17"/>
        <v>-25.321941555225358</v>
      </c>
      <c r="L199" s="50">
        <f>VLOOKUP($A199,'Data shares'!$C:$FB,118)</f>
        <v>1.56</v>
      </c>
      <c r="M199" s="50">
        <f>VLOOKUP($A199,'Data shares'!$C:$FB,119)</f>
        <v>1.52</v>
      </c>
      <c r="N199" s="50">
        <f>VLOOKUP($A199,'Data shares'!$C:$FB,121)*100</f>
        <v>2.63</v>
      </c>
      <c r="O199" s="50">
        <f>VLOOKUP($A199,'Data shares'!$C:$FB,124)</f>
        <v>0.37</v>
      </c>
      <c r="P199" s="50">
        <f>VLOOKUP($A199,'Data shares'!$C:$FB,125)</f>
        <v>0.4</v>
      </c>
      <c r="Q199" s="50">
        <f>VLOOKUP($A199,'Data shares'!$C:$FB,127)*100</f>
        <v>-7.5</v>
      </c>
    </row>
    <row r="200" spans="1:17" x14ac:dyDescent="0.25">
      <c r="A200" s="97" t="str">
        <f>'Snapshot (Value)'!A204</f>
        <v>TATAELXSI</v>
      </c>
      <c r="B200" s="140">
        <f>VLOOKUP($A200,'Data shares'!$C:$FB,7)</f>
        <v>4452</v>
      </c>
      <c r="C200" s="140">
        <f>VLOOKUP($A200,'Data shares'!$C:$FB,3)</f>
        <v>4460.2</v>
      </c>
      <c r="D200" s="140">
        <f>VLOOKUP($A200,'Data shares'!$C:$FB,4)</f>
        <v>4441.7</v>
      </c>
      <c r="E200" s="50">
        <f t="shared" si="15"/>
        <v>0.41650719319179597</v>
      </c>
      <c r="F200" s="49">
        <f>VLOOKUP($A200,'Data shares'!$C:$FB,98)</f>
        <v>2718400</v>
      </c>
      <c r="G200" s="49">
        <f>VLOOKUP($A200,'Data shares'!$C:$FB,99)</f>
        <v>2619400</v>
      </c>
      <c r="H200" s="50">
        <f t="shared" si="16"/>
        <v>3.7794914865999849</v>
      </c>
      <c r="I200" s="49">
        <f>VLOOKUP($A200,'Data shares'!$C:$FB,66)</f>
        <v>1534500</v>
      </c>
      <c r="J200" s="49">
        <f>VLOOKUP($A200,'Data shares'!$C:$FB,67)</f>
        <v>1964400</v>
      </c>
      <c r="K200" s="50">
        <f t="shared" si="17"/>
        <v>-28.01564027370479</v>
      </c>
      <c r="L200" s="50">
        <f>VLOOKUP($A200,'Data shares'!$C:$FB,118)</f>
        <v>0.74</v>
      </c>
      <c r="M200" s="50">
        <f>VLOOKUP($A200,'Data shares'!$C:$FB,119)</f>
        <v>0.66</v>
      </c>
      <c r="N200" s="50">
        <f>VLOOKUP($A200,'Data shares'!$C:$FB,121)*100</f>
        <v>12.120000000000001</v>
      </c>
      <c r="O200" s="50">
        <f>VLOOKUP($A200,'Data shares'!$C:$FB,124)</f>
        <v>0.59</v>
      </c>
      <c r="P200" s="50">
        <f>VLOOKUP($A200,'Data shares'!$C:$FB,125)</f>
        <v>0.48</v>
      </c>
      <c r="Q200" s="50">
        <f>VLOOKUP($A200,'Data shares'!$C:$FB,127)*100</f>
        <v>22.919999999999998</v>
      </c>
    </row>
    <row r="201" spans="1:17" x14ac:dyDescent="0.25">
      <c r="A201" s="97" t="str">
        <f>'Snapshot (Value)'!A205</f>
        <v>TATAPOWER</v>
      </c>
      <c r="B201" s="140">
        <f>VLOOKUP($A201,'Data shares'!$C:$FB,7)</f>
        <v>394.7</v>
      </c>
      <c r="C201" s="140">
        <f>VLOOKUP($A201,'Data shares'!$C:$FB,3)</f>
        <v>396.85</v>
      </c>
      <c r="D201" s="140">
        <f>VLOOKUP($A201,'Data shares'!$C:$FB,4)</f>
        <v>397.05</v>
      </c>
      <c r="E201" s="50">
        <f t="shared" si="15"/>
        <v>-5.0371489736806101E-2</v>
      </c>
      <c r="F201" s="49">
        <f>VLOOKUP($A201,'Data shares'!$C:$FB,98)</f>
        <v>106914300</v>
      </c>
      <c r="G201" s="49">
        <f>VLOOKUP($A201,'Data shares'!$C:$FB,99)</f>
        <v>102433800</v>
      </c>
      <c r="H201" s="50">
        <f t="shared" si="16"/>
        <v>4.3740445048411756</v>
      </c>
      <c r="I201" s="49">
        <f>VLOOKUP($A201,'Data shares'!$C:$FB,66)</f>
        <v>37251950</v>
      </c>
      <c r="J201" s="49">
        <f>VLOOKUP($A201,'Data shares'!$C:$FB,67)</f>
        <v>63201150</v>
      </c>
      <c r="K201" s="50">
        <f t="shared" si="17"/>
        <v>-69.658635319761785</v>
      </c>
      <c r="L201" s="50">
        <f>VLOOKUP($A201,'Data shares'!$C:$FB,118)</f>
        <v>0.7</v>
      </c>
      <c r="M201" s="50">
        <f>VLOOKUP($A201,'Data shares'!$C:$FB,119)</f>
        <v>0.69</v>
      </c>
      <c r="N201" s="50">
        <f>VLOOKUP($A201,'Data shares'!$C:$FB,121)*100</f>
        <v>1.4500000000000002</v>
      </c>
      <c r="O201" s="50">
        <f>VLOOKUP($A201,'Data shares'!$C:$FB,124)</f>
        <v>0.37</v>
      </c>
      <c r="P201" s="50">
        <f>VLOOKUP($A201,'Data shares'!$C:$FB,125)</f>
        <v>0.34</v>
      </c>
      <c r="Q201" s="50">
        <f>VLOOKUP($A201,'Data shares'!$C:$FB,127)*100</f>
        <v>8.82</v>
      </c>
    </row>
    <row r="202" spans="1:17" x14ac:dyDescent="0.25">
      <c r="A202" s="97" t="str">
        <f>'Snapshot (Value)'!A206</f>
        <v>TATASTEEL</v>
      </c>
      <c r="B202" s="140">
        <f>VLOOKUP($A202,'Data shares'!$C:$FB,7)</f>
        <v>205.2</v>
      </c>
      <c r="C202" s="140">
        <f>VLOOKUP($A202,'Data shares'!$C:$FB,3)</f>
        <v>206.19</v>
      </c>
      <c r="D202" s="140">
        <f>VLOOKUP($A202,'Data shares'!$C:$FB,4)</f>
        <v>205.23</v>
      </c>
      <c r="E202" s="50">
        <f t="shared" si="15"/>
        <v>0.4677678701944199</v>
      </c>
      <c r="F202" s="49">
        <f>VLOOKUP($A202,'Data shares'!$C:$FB,98)</f>
        <v>378735500</v>
      </c>
      <c r="G202" s="49">
        <f>VLOOKUP($A202,'Data shares'!$C:$FB,99)</f>
        <v>360613000</v>
      </c>
      <c r="H202" s="50">
        <f t="shared" si="16"/>
        <v>5.0254705182564132</v>
      </c>
      <c r="I202" s="49">
        <f>VLOOKUP($A202,'Data shares'!$C:$FB,66)</f>
        <v>241032000</v>
      </c>
      <c r="J202" s="49">
        <f>VLOOKUP($A202,'Data shares'!$C:$FB,67)</f>
        <v>282100500</v>
      </c>
      <c r="K202" s="50">
        <f t="shared" si="17"/>
        <v>-17.038608981380065</v>
      </c>
      <c r="L202" s="50">
        <f>VLOOKUP($A202,'Data shares'!$C:$FB,118)</f>
        <v>0.78</v>
      </c>
      <c r="M202" s="50">
        <f>VLOOKUP($A202,'Data shares'!$C:$FB,119)</f>
        <v>0.75</v>
      </c>
      <c r="N202" s="50">
        <f>VLOOKUP($A202,'Data shares'!$C:$FB,121)*100</f>
        <v>4</v>
      </c>
      <c r="O202" s="50">
        <f>VLOOKUP($A202,'Data shares'!$C:$FB,124)</f>
        <v>0.68</v>
      </c>
      <c r="P202" s="50">
        <f>VLOOKUP($A202,'Data shares'!$C:$FB,125)</f>
        <v>0.76</v>
      </c>
      <c r="Q202" s="50">
        <f>VLOOKUP($A202,'Data shares'!$C:$FB,127)*100</f>
        <v>-10.530000000000001</v>
      </c>
    </row>
    <row r="203" spans="1:17" x14ac:dyDescent="0.25">
      <c r="A203" s="97" t="str">
        <f>'Snapshot (Value)'!A207</f>
        <v>TATATECH</v>
      </c>
      <c r="B203" s="140">
        <f>VLOOKUP($A203,'Data shares'!$C:$FB,7)</f>
        <v>558.9</v>
      </c>
      <c r="C203" s="140">
        <f>VLOOKUP($A203,'Data shares'!$C:$FB,3)</f>
        <v>562.65</v>
      </c>
      <c r="D203" s="140">
        <f>VLOOKUP($A203,'Data shares'!$C:$FB,4)</f>
        <v>563</v>
      </c>
      <c r="E203" s="50">
        <f t="shared" si="15"/>
        <v>-6.2166962699826425E-2</v>
      </c>
      <c r="F203" s="49">
        <f>VLOOKUP($A203,'Data shares'!$C:$FB,98)</f>
        <v>10568000</v>
      </c>
      <c r="G203" s="49">
        <f>VLOOKUP($A203,'Data shares'!$C:$FB,99)</f>
        <v>10871200</v>
      </c>
      <c r="H203" s="50">
        <f t="shared" si="16"/>
        <v>-2.7890205313120906</v>
      </c>
      <c r="I203" s="49">
        <f>VLOOKUP($A203,'Data shares'!$C:$FB,66)</f>
        <v>2374400</v>
      </c>
      <c r="J203" s="49">
        <f>VLOOKUP($A203,'Data shares'!$C:$FB,67)</f>
        <v>3632000</v>
      </c>
      <c r="K203" s="50">
        <f t="shared" si="17"/>
        <v>-52.96495956873315</v>
      </c>
      <c r="L203" s="50">
        <f>VLOOKUP($A203,'Data shares'!$C:$FB,118)</f>
        <v>0.86</v>
      </c>
      <c r="M203" s="50">
        <f>VLOOKUP($A203,'Data shares'!$C:$FB,119)</f>
        <v>0.77</v>
      </c>
      <c r="N203" s="50">
        <f>VLOOKUP($A203,'Data shares'!$C:$FB,121)*100</f>
        <v>11.690000000000001</v>
      </c>
      <c r="O203" s="50">
        <f>VLOOKUP($A203,'Data shares'!$C:$FB,124)</f>
        <v>0.22</v>
      </c>
      <c r="P203" s="50">
        <f>VLOOKUP($A203,'Data shares'!$C:$FB,125)</f>
        <v>0.36</v>
      </c>
      <c r="Q203" s="50">
        <f>VLOOKUP($A203,'Data shares'!$C:$FB,127)*100</f>
        <v>-38.89</v>
      </c>
    </row>
    <row r="204" spans="1:17" x14ac:dyDescent="0.25">
      <c r="A204" s="97" t="str">
        <f>'Snapshot (Value)'!A208</f>
        <v>TCS</v>
      </c>
      <c r="B204" s="140">
        <f>VLOOKUP($A204,'Data shares'!$C:$FB,7)</f>
        <v>2589</v>
      </c>
      <c r="C204" s="140">
        <f>VLOOKUP($A204,'Data shares'!$C:$FB,3)</f>
        <v>2588</v>
      </c>
      <c r="D204" s="140">
        <f>VLOOKUP($A204,'Data shares'!$C:$FB,4)</f>
        <v>2563.4</v>
      </c>
      <c r="E204" s="50">
        <f t="shared" si="15"/>
        <v>0.95966294764765181</v>
      </c>
      <c r="F204" s="49">
        <f>VLOOKUP($A204,'Data shares'!$C:$FB,98)</f>
        <v>60107425</v>
      </c>
      <c r="G204" s="49">
        <f>VLOOKUP($A204,'Data shares'!$C:$FB,99)</f>
        <v>51363375</v>
      </c>
      <c r="H204" s="50">
        <f t="shared" si="16"/>
        <v>17.023900785335854</v>
      </c>
      <c r="I204" s="49">
        <f>VLOOKUP($A204,'Data shares'!$C:$FB,66)</f>
        <v>66449425</v>
      </c>
      <c r="J204" s="49">
        <f>VLOOKUP($A204,'Data shares'!$C:$FB,67)</f>
        <v>31362450</v>
      </c>
      <c r="K204" s="50">
        <f t="shared" si="17"/>
        <v>52.802526131715965</v>
      </c>
      <c r="L204" s="50">
        <f>VLOOKUP($A204,'Data shares'!$C:$FB,118)</f>
        <v>0.72</v>
      </c>
      <c r="M204" s="50">
        <f>VLOOKUP($A204,'Data shares'!$C:$FB,119)</f>
        <v>0.94</v>
      </c>
      <c r="N204" s="50">
        <f>VLOOKUP($A204,'Data shares'!$C:$FB,121)*100</f>
        <v>-23.400000000000002</v>
      </c>
      <c r="O204" s="50">
        <f>VLOOKUP($A204,'Data shares'!$C:$FB,124)</f>
        <v>0.51</v>
      </c>
      <c r="P204" s="50">
        <f>VLOOKUP($A204,'Data shares'!$C:$FB,125)</f>
        <v>0.52</v>
      </c>
      <c r="Q204" s="50">
        <f>VLOOKUP($A204,'Data shares'!$C:$FB,127)*100</f>
        <v>-1.92</v>
      </c>
    </row>
    <row r="205" spans="1:17" x14ac:dyDescent="0.25">
      <c r="A205" s="97" t="str">
        <f>'Snapshot (Value)'!A209</f>
        <v>TECHM</v>
      </c>
      <c r="B205" s="140">
        <f>VLOOKUP($A205,'Data shares'!$C:$FB,7)</f>
        <v>1461.6</v>
      </c>
      <c r="C205" s="140">
        <f>VLOOKUP($A205,'Data shares'!$C:$FB,3)</f>
        <v>1464.6</v>
      </c>
      <c r="D205" s="140">
        <f>VLOOKUP($A205,'Data shares'!$C:$FB,4)</f>
        <v>1456</v>
      </c>
      <c r="E205" s="50">
        <f t="shared" si="15"/>
        <v>0.59065934065933434</v>
      </c>
      <c r="F205" s="49">
        <f>VLOOKUP($A205,'Data shares'!$C:$FB,98)</f>
        <v>27400800</v>
      </c>
      <c r="G205" s="49">
        <f>VLOOKUP($A205,'Data shares'!$C:$FB,99)</f>
        <v>27846600</v>
      </c>
      <c r="H205" s="50">
        <f t="shared" si="16"/>
        <v>-1.6009135765228073</v>
      </c>
      <c r="I205" s="49">
        <f>VLOOKUP($A205,'Data shares'!$C:$FB,66)</f>
        <v>14609400</v>
      </c>
      <c r="J205" s="49">
        <f>VLOOKUP($A205,'Data shares'!$C:$FB,67)</f>
        <v>18532200</v>
      </c>
      <c r="K205" s="50">
        <f t="shared" si="17"/>
        <v>-26.851205388311634</v>
      </c>
      <c r="L205" s="50">
        <f>VLOOKUP($A205,'Data shares'!$C:$FB,118)</f>
        <v>0.79</v>
      </c>
      <c r="M205" s="50">
        <f>VLOOKUP($A205,'Data shares'!$C:$FB,119)</f>
        <v>0.81</v>
      </c>
      <c r="N205" s="50">
        <f>VLOOKUP($A205,'Data shares'!$C:$FB,121)*100</f>
        <v>-2.4699999999999998</v>
      </c>
      <c r="O205" s="50">
        <f>VLOOKUP($A205,'Data shares'!$C:$FB,124)</f>
        <v>0.59</v>
      </c>
      <c r="P205" s="50">
        <f>VLOOKUP($A205,'Data shares'!$C:$FB,125)</f>
        <v>0.68</v>
      </c>
      <c r="Q205" s="50">
        <f>VLOOKUP($A205,'Data shares'!$C:$FB,127)*100</f>
        <v>-13.239999999999998</v>
      </c>
    </row>
    <row r="206" spans="1:17" x14ac:dyDescent="0.25">
      <c r="A206" s="97" t="str">
        <f>'Snapshot (Value)'!A210</f>
        <v>TIINDIA</v>
      </c>
      <c r="B206" s="140">
        <f>VLOOKUP($A206,'Data shares'!$C:$FB,7)</f>
        <v>2743.3</v>
      </c>
      <c r="C206" s="140">
        <f>VLOOKUP($A206,'Data shares'!$C:$FB,3)</f>
        <v>2752.1</v>
      </c>
      <c r="D206" s="140">
        <f>VLOOKUP($A206,'Data shares'!$C:$FB,4)</f>
        <v>2742</v>
      </c>
      <c r="E206" s="50">
        <f t="shared" si="15"/>
        <v>0.36834427425236721</v>
      </c>
      <c r="F206" s="49">
        <f>VLOOKUP($A206,'Data shares'!$C:$FB,98)</f>
        <v>3072000</v>
      </c>
      <c r="G206" s="49">
        <f>VLOOKUP($A206,'Data shares'!$C:$FB,99)</f>
        <v>3004400</v>
      </c>
      <c r="H206" s="50">
        <f t="shared" si="16"/>
        <v>2.2500332845160433</v>
      </c>
      <c r="I206" s="49">
        <f>VLOOKUP($A206,'Data shares'!$C:$FB,66)</f>
        <v>455000</v>
      </c>
      <c r="J206" s="49">
        <f>VLOOKUP($A206,'Data shares'!$C:$FB,67)</f>
        <v>992400</v>
      </c>
      <c r="K206" s="50">
        <f t="shared" si="17"/>
        <v>-118.1098901098901</v>
      </c>
      <c r="L206" s="50">
        <f>VLOOKUP($A206,'Data shares'!$C:$FB,118)</f>
        <v>0.55000000000000004</v>
      </c>
      <c r="M206" s="50">
        <f>VLOOKUP($A206,'Data shares'!$C:$FB,119)</f>
        <v>0.54</v>
      </c>
      <c r="N206" s="50">
        <f>VLOOKUP($A206,'Data shares'!$C:$FB,121)*100</f>
        <v>1.8499999999999999</v>
      </c>
      <c r="O206" s="50">
        <f>VLOOKUP($A206,'Data shares'!$C:$FB,124)</f>
        <v>0.22</v>
      </c>
      <c r="P206" s="50">
        <f>VLOOKUP($A206,'Data shares'!$C:$FB,125)</f>
        <v>0.23</v>
      </c>
      <c r="Q206" s="50">
        <f>VLOOKUP($A206,'Data shares'!$C:$FB,127)*100</f>
        <v>-4.3499999999999996</v>
      </c>
    </row>
    <row r="207" spans="1:17" x14ac:dyDescent="0.25">
      <c r="A207" s="97" t="str">
        <f>'Snapshot (Value)'!A211</f>
        <v>TITAN</v>
      </c>
      <c r="B207" s="140">
        <f>VLOOKUP($A207,'Data shares'!$C:$FB,7)</f>
        <v>4439.8</v>
      </c>
      <c r="C207" s="140">
        <f>VLOOKUP($A207,'Data shares'!$C:$FB,3)</f>
        <v>4449.7</v>
      </c>
      <c r="D207" s="140">
        <f>VLOOKUP($A207,'Data shares'!$C:$FB,4)</f>
        <v>4501.8999999999996</v>
      </c>
      <c r="E207" s="50">
        <f t="shared" si="15"/>
        <v>-1.1595104289300033</v>
      </c>
      <c r="F207" s="49">
        <f>VLOOKUP($A207,'Data shares'!$C:$FB,98)</f>
        <v>15528625</v>
      </c>
      <c r="G207" s="49">
        <f>VLOOKUP($A207,'Data shares'!$C:$FB,99)</f>
        <v>15695225</v>
      </c>
      <c r="H207" s="50">
        <f t="shared" si="16"/>
        <v>-1.0614693322332109</v>
      </c>
      <c r="I207" s="49">
        <f>VLOOKUP($A207,'Data shares'!$C:$FB,66)</f>
        <v>7105175</v>
      </c>
      <c r="J207" s="49">
        <f>VLOOKUP($A207,'Data shares'!$C:$FB,67)</f>
        <v>23913050</v>
      </c>
      <c r="K207" s="50">
        <f t="shared" si="17"/>
        <v>-236.55821285190021</v>
      </c>
      <c r="L207" s="50">
        <f>VLOOKUP($A207,'Data shares'!$C:$FB,118)</f>
        <v>0.74</v>
      </c>
      <c r="M207" s="50">
        <f>VLOOKUP($A207,'Data shares'!$C:$FB,119)</f>
        <v>0.78</v>
      </c>
      <c r="N207" s="50">
        <f>VLOOKUP($A207,'Data shares'!$C:$FB,121)*100</f>
        <v>-5.13</v>
      </c>
      <c r="O207" s="50">
        <f>VLOOKUP($A207,'Data shares'!$C:$FB,124)</f>
        <v>0.83</v>
      </c>
      <c r="P207" s="50">
        <f>VLOOKUP($A207,'Data shares'!$C:$FB,125)</f>
        <v>0.54</v>
      </c>
      <c r="Q207" s="50">
        <f>VLOOKUP($A207,'Data shares'!$C:$FB,127)*100</f>
        <v>53.7</v>
      </c>
    </row>
    <row r="208" spans="1:17" x14ac:dyDescent="0.25">
      <c r="A208" s="97" t="str">
        <f>'Snapshot (Value)'!A212</f>
        <v>TMPV</v>
      </c>
      <c r="B208" s="140">
        <f>VLOOKUP($A208,'Data shares'!$C:$FB,7)</f>
        <v>333.25</v>
      </c>
      <c r="C208" s="140">
        <f>VLOOKUP($A208,'Data shares'!$C:$FB,3)</f>
        <v>333.9</v>
      </c>
      <c r="D208" s="140">
        <f>VLOOKUP($A208,'Data shares'!$C:$FB,4)</f>
        <v>336.3</v>
      </c>
      <c r="E208" s="50">
        <f t="shared" si="15"/>
        <v>-0.71364852809992085</v>
      </c>
      <c r="F208" s="49">
        <f>VLOOKUP($A208,'Data shares'!$C:$FB,98)</f>
        <v>108948000</v>
      </c>
      <c r="G208" s="49">
        <f>VLOOKUP($A208,'Data shares'!$C:$FB,99)</f>
        <v>106857600</v>
      </c>
      <c r="H208" s="50">
        <f t="shared" si="16"/>
        <v>1.9562483155152279</v>
      </c>
      <c r="I208" s="49">
        <f>VLOOKUP($A208,'Data shares'!$C:$FB,66)</f>
        <v>65358400</v>
      </c>
      <c r="J208" s="49">
        <f>VLOOKUP($A208,'Data shares'!$C:$FB,67)</f>
        <v>132606400</v>
      </c>
      <c r="K208" s="50">
        <f t="shared" si="17"/>
        <v>-102.89113564591545</v>
      </c>
      <c r="L208" s="50">
        <f>VLOOKUP($A208,'Data shares'!$C:$FB,118)</f>
        <v>0.81</v>
      </c>
      <c r="M208" s="50">
        <f>VLOOKUP($A208,'Data shares'!$C:$FB,119)</f>
        <v>0.89</v>
      </c>
      <c r="N208" s="50">
        <f>VLOOKUP($A208,'Data shares'!$C:$FB,121)*100</f>
        <v>-8.99</v>
      </c>
      <c r="O208" s="50">
        <f>VLOOKUP($A208,'Data shares'!$C:$FB,124)</f>
        <v>0.64</v>
      </c>
      <c r="P208" s="50">
        <f>VLOOKUP($A208,'Data shares'!$C:$FB,125)</f>
        <v>0.55000000000000004</v>
      </c>
      <c r="Q208" s="50">
        <f>VLOOKUP($A208,'Data shares'!$C:$FB,127)*100</f>
        <v>16.36</v>
      </c>
    </row>
    <row r="209" spans="1:17" x14ac:dyDescent="0.25">
      <c r="A209" s="97" t="str">
        <f>'Snapshot (Value)'!A213</f>
        <v>TORNTPHARM</v>
      </c>
      <c r="B209" s="140">
        <f>VLOOKUP($A209,'Data shares'!$C:$FB,7)</f>
        <v>4094.5</v>
      </c>
      <c r="C209" s="140">
        <f>VLOOKUP($A209,'Data shares'!$C:$FB,3)</f>
        <v>4104.7</v>
      </c>
      <c r="D209" s="140">
        <f>VLOOKUP($A209,'Data shares'!$C:$FB,4)</f>
        <v>4046.1</v>
      </c>
      <c r="E209" s="50">
        <f t="shared" si="15"/>
        <v>1.4483082474481577</v>
      </c>
      <c r="F209" s="49">
        <f>VLOOKUP($A209,'Data shares'!$C:$FB,98)</f>
        <v>4262000</v>
      </c>
      <c r="G209" s="49">
        <f>VLOOKUP($A209,'Data shares'!$C:$FB,99)</f>
        <v>4128250</v>
      </c>
      <c r="H209" s="50">
        <f t="shared" si="16"/>
        <v>3.2398716163023074</v>
      </c>
      <c r="I209" s="49">
        <f>VLOOKUP($A209,'Data shares'!$C:$FB,66)</f>
        <v>2355750</v>
      </c>
      <c r="J209" s="49">
        <f>VLOOKUP($A209,'Data shares'!$C:$FB,67)</f>
        <v>1672250</v>
      </c>
      <c r="K209" s="50">
        <f t="shared" si="17"/>
        <v>29.014114400933881</v>
      </c>
      <c r="L209" s="50">
        <f>VLOOKUP($A209,'Data shares'!$C:$FB,118)</f>
        <v>0.68</v>
      </c>
      <c r="M209" s="50">
        <f>VLOOKUP($A209,'Data shares'!$C:$FB,119)</f>
        <v>0.83</v>
      </c>
      <c r="N209" s="50">
        <f>VLOOKUP($A209,'Data shares'!$C:$FB,121)*100</f>
        <v>-18.07</v>
      </c>
      <c r="O209" s="50">
        <f>VLOOKUP($A209,'Data shares'!$C:$FB,124)</f>
        <v>0.23</v>
      </c>
      <c r="P209" s="50">
        <f>VLOOKUP($A209,'Data shares'!$C:$FB,125)</f>
        <v>0.45</v>
      </c>
      <c r="Q209" s="50">
        <f>VLOOKUP($A209,'Data shares'!$C:$FB,127)*100</f>
        <v>-48.89</v>
      </c>
    </row>
    <row r="210" spans="1:17" x14ac:dyDescent="0.25">
      <c r="A210" s="97" t="str">
        <f>'Snapshot (Value)'!A214</f>
        <v>TORNTPOWER</v>
      </c>
      <c r="B210" s="140">
        <f>VLOOKUP($A210,'Data shares'!$C:$FB,7)</f>
        <v>1446</v>
      </c>
      <c r="C210" s="140">
        <f>VLOOKUP($A210,'Data shares'!$C:$FB,3)</f>
        <v>1454.1</v>
      </c>
      <c r="D210" s="140">
        <f>VLOOKUP($A210,'Data shares'!$C:$FB,4)</f>
        <v>1453.6</v>
      </c>
      <c r="E210" s="50">
        <f t="shared" ref="E210:E217" si="18">(C210-D210)/D210*100</f>
        <v>3.4397358282883879E-2</v>
      </c>
      <c r="F210" s="49">
        <f>VLOOKUP($A210,'Data shares'!$C:$FB,98)</f>
        <v>4855200</v>
      </c>
      <c r="G210" s="49">
        <f>VLOOKUP($A210,'Data shares'!$C:$FB,99)</f>
        <v>4685625</v>
      </c>
      <c r="H210" s="50">
        <f t="shared" ref="H210:H217" si="19">(F210-G210)/G210*100</f>
        <v>3.6190476190476191</v>
      </c>
      <c r="I210" s="49">
        <f>VLOOKUP($A210,'Data shares'!$C:$FB,66)</f>
        <v>1413550</v>
      </c>
      <c r="J210" s="49">
        <f>VLOOKUP($A210,'Data shares'!$C:$FB,67)</f>
        <v>2086325</v>
      </c>
      <c r="K210" s="50">
        <f t="shared" ref="K210:K217" si="20">(I210-J210)/I210*100</f>
        <v>-47.594708358388452</v>
      </c>
      <c r="L210" s="50">
        <f>VLOOKUP($A210,'Data shares'!$C:$FB,118)</f>
        <v>0.91</v>
      </c>
      <c r="M210" s="50">
        <f>VLOOKUP($A210,'Data shares'!$C:$FB,119)</f>
        <v>0.95</v>
      </c>
      <c r="N210" s="50">
        <f>VLOOKUP($A210,'Data shares'!$C:$FB,121)*100</f>
        <v>-4.21</v>
      </c>
      <c r="O210" s="50">
        <f>VLOOKUP($A210,'Data shares'!$C:$FB,124)</f>
        <v>0.55000000000000004</v>
      </c>
      <c r="P210" s="50">
        <f>VLOOKUP($A210,'Data shares'!$C:$FB,125)</f>
        <v>0.71</v>
      </c>
      <c r="Q210" s="50">
        <f>VLOOKUP($A210,'Data shares'!$C:$FB,127)*100</f>
        <v>-22.54</v>
      </c>
    </row>
    <row r="211" spans="1:17" x14ac:dyDescent="0.25">
      <c r="A211" s="97" t="str">
        <f>'Snapshot (Value)'!A215</f>
        <v>TRENT</v>
      </c>
      <c r="B211" s="140">
        <f>VLOOKUP($A211,'Data shares'!$C:$FB,7)</f>
        <v>3850.7</v>
      </c>
      <c r="C211" s="140">
        <f>VLOOKUP($A211,'Data shares'!$C:$FB,3)</f>
        <v>3853.6</v>
      </c>
      <c r="D211" s="140">
        <f>VLOOKUP($A211,'Data shares'!$C:$FB,4)</f>
        <v>3894.6</v>
      </c>
      <c r="E211" s="50">
        <f t="shared" si="18"/>
        <v>-1.052739690854003</v>
      </c>
      <c r="F211" s="49">
        <f>VLOOKUP($A211,'Data shares'!$C:$FB,98)</f>
        <v>12374300</v>
      </c>
      <c r="G211" s="49">
        <f>VLOOKUP($A211,'Data shares'!$C:$FB,99)</f>
        <v>11905400</v>
      </c>
      <c r="H211" s="50">
        <f t="shared" si="19"/>
        <v>3.9385488937792936</v>
      </c>
      <c r="I211" s="49">
        <f>VLOOKUP($A211,'Data shares'!$C:$FB,66)</f>
        <v>5469000</v>
      </c>
      <c r="J211" s="49">
        <f>VLOOKUP($A211,'Data shares'!$C:$FB,67)</f>
        <v>11720300</v>
      </c>
      <c r="K211" s="50">
        <f t="shared" si="20"/>
        <v>-114.30426037666849</v>
      </c>
      <c r="L211" s="50">
        <f>VLOOKUP($A211,'Data shares'!$C:$FB,118)</f>
        <v>0.89</v>
      </c>
      <c r="M211" s="50">
        <f>VLOOKUP($A211,'Data shares'!$C:$FB,119)</f>
        <v>0.88</v>
      </c>
      <c r="N211" s="50">
        <f>VLOOKUP($A211,'Data shares'!$C:$FB,121)*100</f>
        <v>1.1400000000000001</v>
      </c>
      <c r="O211" s="50">
        <f>VLOOKUP($A211,'Data shares'!$C:$FB,124)</f>
        <v>0.74</v>
      </c>
      <c r="P211" s="50">
        <f>VLOOKUP($A211,'Data shares'!$C:$FB,125)</f>
        <v>0.47</v>
      </c>
      <c r="Q211" s="50">
        <f>VLOOKUP($A211,'Data shares'!$C:$FB,127)*100</f>
        <v>57.45</v>
      </c>
    </row>
    <row r="212" spans="1:17" x14ac:dyDescent="0.25">
      <c r="A212" s="97" t="str">
        <f>'Snapshot (Value)'!A216</f>
        <v>TVSMOTOR</v>
      </c>
      <c r="B212" s="140">
        <f>VLOOKUP($A212,'Data shares'!$C:$FB,7)</f>
        <v>3727.1</v>
      </c>
      <c r="C212" s="140">
        <f>VLOOKUP($A212,'Data shares'!$C:$FB,3)</f>
        <v>3738.4</v>
      </c>
      <c r="D212" s="140">
        <f>VLOOKUP($A212,'Data shares'!$C:$FB,4)</f>
        <v>3714.5</v>
      </c>
      <c r="E212" s="50">
        <f t="shared" si="18"/>
        <v>0.64342441782205118</v>
      </c>
      <c r="F212" s="49">
        <f>VLOOKUP($A212,'Data shares'!$C:$FB,98)</f>
        <v>10592225</v>
      </c>
      <c r="G212" s="49">
        <f>VLOOKUP($A212,'Data shares'!$C:$FB,99)</f>
        <v>10386600</v>
      </c>
      <c r="H212" s="50">
        <f t="shared" si="19"/>
        <v>1.9797142472031273</v>
      </c>
      <c r="I212" s="49">
        <f>VLOOKUP($A212,'Data shares'!$C:$FB,66)</f>
        <v>3079300</v>
      </c>
      <c r="J212" s="49">
        <f>VLOOKUP($A212,'Data shares'!$C:$FB,67)</f>
        <v>5566050</v>
      </c>
      <c r="K212" s="50">
        <f t="shared" si="20"/>
        <v>-80.756990225051155</v>
      </c>
      <c r="L212" s="50">
        <f>VLOOKUP($A212,'Data shares'!$C:$FB,118)</f>
        <v>0.77</v>
      </c>
      <c r="M212" s="50">
        <f>VLOOKUP($A212,'Data shares'!$C:$FB,119)</f>
        <v>0.77</v>
      </c>
      <c r="N212" s="50">
        <f>VLOOKUP($A212,'Data shares'!$C:$FB,121)*100</f>
        <v>0</v>
      </c>
      <c r="O212" s="50">
        <f>VLOOKUP($A212,'Data shares'!$C:$FB,124)</f>
        <v>0.5</v>
      </c>
      <c r="P212" s="50">
        <f>VLOOKUP($A212,'Data shares'!$C:$FB,125)</f>
        <v>0.4</v>
      </c>
      <c r="Q212" s="50">
        <f>VLOOKUP($A212,'Data shares'!$C:$FB,127)*100</f>
        <v>25</v>
      </c>
    </row>
    <row r="213" spans="1:17" x14ac:dyDescent="0.25">
      <c r="A213" s="97" t="str">
        <f>'Snapshot (Value)'!A217</f>
        <v>ULTRACEMCO</v>
      </c>
      <c r="B213" s="140">
        <f>VLOOKUP($A213,'Data shares'!$C:$FB,7)</f>
        <v>11448</v>
      </c>
      <c r="C213" s="140">
        <f>VLOOKUP($A213,'Data shares'!$C:$FB,3)</f>
        <v>11468</v>
      </c>
      <c r="D213" s="140">
        <f>VLOOKUP($A213,'Data shares'!$C:$FB,4)</f>
        <v>11625</v>
      </c>
      <c r="E213" s="50">
        <f t="shared" si="18"/>
        <v>-1.3505376344086022</v>
      </c>
      <c r="F213" s="49">
        <f>VLOOKUP($A213,'Data shares'!$C:$FB,98)</f>
        <v>3258950</v>
      </c>
      <c r="G213" s="49">
        <f>VLOOKUP($A213,'Data shares'!$C:$FB,99)</f>
        <v>3178350</v>
      </c>
      <c r="H213" s="50">
        <f t="shared" si="19"/>
        <v>2.5359069957682445</v>
      </c>
      <c r="I213" s="49">
        <f>VLOOKUP($A213,'Data shares'!$C:$FB,66)</f>
        <v>1182900</v>
      </c>
      <c r="J213" s="49">
        <f>VLOOKUP($A213,'Data shares'!$C:$FB,67)</f>
        <v>2565200</v>
      </c>
      <c r="K213" s="50">
        <f t="shared" si="20"/>
        <v>-116.85687716628625</v>
      </c>
      <c r="L213" s="50">
        <f>VLOOKUP($A213,'Data shares'!$C:$FB,118)</f>
        <v>0.73</v>
      </c>
      <c r="M213" s="50">
        <f>VLOOKUP($A213,'Data shares'!$C:$FB,119)</f>
        <v>0.79</v>
      </c>
      <c r="N213" s="50">
        <f>VLOOKUP($A213,'Data shares'!$C:$FB,121)*100</f>
        <v>-7.59</v>
      </c>
      <c r="O213" s="50">
        <f>VLOOKUP($A213,'Data shares'!$C:$FB,124)</f>
        <v>0.73</v>
      </c>
      <c r="P213" s="50">
        <f>VLOOKUP($A213,'Data shares'!$C:$FB,125)</f>
        <v>0.65</v>
      </c>
      <c r="Q213" s="50">
        <f>VLOOKUP($A213,'Data shares'!$C:$FB,127)*100</f>
        <v>12.31</v>
      </c>
    </row>
    <row r="214" spans="1:17" x14ac:dyDescent="0.25">
      <c r="A214" s="97" t="str">
        <f>'Snapshot (Value)'!A218</f>
        <v>UNIONBANK</v>
      </c>
      <c r="B214" s="140">
        <f>VLOOKUP($A214,'Data shares'!$C:$FB,7)</f>
        <v>184.69</v>
      </c>
      <c r="C214" s="140">
        <f>VLOOKUP($A214,'Data shares'!$C:$FB,3)</f>
        <v>184.46</v>
      </c>
      <c r="D214" s="140">
        <f>VLOOKUP($A214,'Data shares'!$C:$FB,4)</f>
        <v>186.18</v>
      </c>
      <c r="E214" s="50">
        <f t="shared" si="18"/>
        <v>-0.92383714684713647</v>
      </c>
      <c r="F214" s="49">
        <f>VLOOKUP($A214,'Data shares'!$C:$FB,98)</f>
        <v>145980750</v>
      </c>
      <c r="G214" s="49">
        <f>VLOOKUP($A214,'Data shares'!$C:$FB,99)</f>
        <v>138728175</v>
      </c>
      <c r="H214" s="50">
        <f t="shared" si="19"/>
        <v>5.2279034161589744</v>
      </c>
      <c r="I214" s="49">
        <f>VLOOKUP($A214,'Data shares'!$C:$FB,66)</f>
        <v>80450925</v>
      </c>
      <c r="J214" s="49">
        <f>VLOOKUP($A214,'Data shares'!$C:$FB,67)</f>
        <v>112133925</v>
      </c>
      <c r="K214" s="50">
        <f t="shared" si="20"/>
        <v>-39.38177217974809</v>
      </c>
      <c r="L214" s="50">
        <f>VLOOKUP($A214,'Data shares'!$C:$FB,118)</f>
        <v>0.82</v>
      </c>
      <c r="M214" s="50">
        <f>VLOOKUP($A214,'Data shares'!$C:$FB,119)</f>
        <v>0.87</v>
      </c>
      <c r="N214" s="50">
        <f>VLOOKUP($A214,'Data shares'!$C:$FB,121)*100</f>
        <v>-5.75</v>
      </c>
      <c r="O214" s="50">
        <f>VLOOKUP($A214,'Data shares'!$C:$FB,124)</f>
        <v>0.47</v>
      </c>
      <c r="P214" s="50">
        <f>VLOOKUP($A214,'Data shares'!$C:$FB,125)</f>
        <v>0.51</v>
      </c>
      <c r="Q214" s="50">
        <f>VLOOKUP($A214,'Data shares'!$C:$FB,127)*100</f>
        <v>-7.84</v>
      </c>
    </row>
    <row r="215" spans="1:17" x14ac:dyDescent="0.25">
      <c r="A215" s="97" t="str">
        <f>'Snapshot (Value)'!A219</f>
        <v>UNITDSPR</v>
      </c>
      <c r="B215" s="140">
        <f>VLOOKUP($A215,'Data shares'!$C:$FB,7)</f>
        <v>1249.7</v>
      </c>
      <c r="C215" s="140">
        <f>VLOOKUP($A215,'Data shares'!$C:$FB,3)</f>
        <v>1255.9000000000001</v>
      </c>
      <c r="D215" s="140">
        <f>VLOOKUP($A215,'Data shares'!$C:$FB,4)</f>
        <v>1252.9000000000001</v>
      </c>
      <c r="E215" s="50">
        <f t="shared" si="18"/>
        <v>0.23944448878601643</v>
      </c>
      <c r="F215" s="49">
        <f>VLOOKUP($A215,'Data shares'!$C:$FB,98)</f>
        <v>18650000</v>
      </c>
      <c r="G215" s="49">
        <f>VLOOKUP($A215,'Data shares'!$C:$FB,99)</f>
        <v>18000400</v>
      </c>
      <c r="H215" s="50">
        <f t="shared" si="19"/>
        <v>3.6088086931401522</v>
      </c>
      <c r="I215" s="49">
        <f>VLOOKUP($A215,'Data shares'!$C:$FB,66)</f>
        <v>3104400</v>
      </c>
      <c r="J215" s="49">
        <f>VLOOKUP($A215,'Data shares'!$C:$FB,67)</f>
        <v>4490800</v>
      </c>
      <c r="K215" s="50">
        <f t="shared" si="20"/>
        <v>-44.659193402911995</v>
      </c>
      <c r="L215" s="50">
        <f>VLOOKUP($A215,'Data shares'!$C:$FB,118)</f>
        <v>0.61</v>
      </c>
      <c r="M215" s="50">
        <f>VLOOKUP($A215,'Data shares'!$C:$FB,119)</f>
        <v>0.65</v>
      </c>
      <c r="N215" s="50">
        <f>VLOOKUP($A215,'Data shares'!$C:$FB,121)*100</f>
        <v>-6.15</v>
      </c>
      <c r="O215" s="50">
        <f>VLOOKUP($A215,'Data shares'!$C:$FB,124)</f>
        <v>0.28000000000000003</v>
      </c>
      <c r="P215" s="50">
        <f>VLOOKUP($A215,'Data shares'!$C:$FB,125)</f>
        <v>0.45</v>
      </c>
      <c r="Q215" s="50">
        <f>VLOOKUP($A215,'Data shares'!$C:$FB,127)*100</f>
        <v>-37.78</v>
      </c>
    </row>
    <row r="216" spans="1:17" x14ac:dyDescent="0.25">
      <c r="A216" s="97" t="str">
        <f>'Snapshot (Value)'!A220</f>
        <v>UNOMINDA</v>
      </c>
      <c r="B216" s="140">
        <f>VLOOKUP($A216,'Data shares'!$C:$FB,7)</f>
        <v>1054.5999999999999</v>
      </c>
      <c r="C216" s="140">
        <f>VLOOKUP($A216,'Data shares'!$C:$FB,3)</f>
        <v>1056.4000000000001</v>
      </c>
      <c r="D216" s="140">
        <f>VLOOKUP($A216,'Data shares'!$C:$FB,4)</f>
        <v>1096.2</v>
      </c>
      <c r="E216" s="50">
        <f t="shared" si="18"/>
        <v>-3.6307243203794886</v>
      </c>
      <c r="F216" s="49">
        <f>VLOOKUP($A216,'Data shares'!$C:$FB,98)</f>
        <v>6881600</v>
      </c>
      <c r="G216" s="49">
        <f>VLOOKUP($A216,'Data shares'!$C:$FB,99)</f>
        <v>6680850</v>
      </c>
      <c r="H216" s="50">
        <f t="shared" si="19"/>
        <v>3.0048571663785295</v>
      </c>
      <c r="I216" s="49">
        <f>VLOOKUP($A216,'Data shares'!$C:$FB,66)</f>
        <v>2681800</v>
      </c>
      <c r="J216" s="49">
        <f>VLOOKUP($A216,'Data shares'!$C:$FB,67)</f>
        <v>3262600</v>
      </c>
      <c r="K216" s="50">
        <f t="shared" si="20"/>
        <v>-21.65709598031173</v>
      </c>
      <c r="L216" s="50">
        <f>VLOOKUP($A216,'Data shares'!$C:$FB,118)</f>
        <v>0.5</v>
      </c>
      <c r="M216" s="50">
        <f>VLOOKUP($A216,'Data shares'!$C:$FB,119)</f>
        <v>0.5</v>
      </c>
      <c r="N216" s="50">
        <f>VLOOKUP($A216,'Data shares'!$C:$FB,121)*100</f>
        <v>0</v>
      </c>
      <c r="O216" s="50">
        <f>VLOOKUP($A216,'Data shares'!$C:$FB,124)</f>
        <v>0.56000000000000005</v>
      </c>
      <c r="P216" s="50">
        <f>VLOOKUP($A216,'Data shares'!$C:$FB,125)</f>
        <v>0.3</v>
      </c>
      <c r="Q216" s="50">
        <f>VLOOKUP($A216,'Data shares'!$C:$FB,127)*100</f>
        <v>86.67</v>
      </c>
    </row>
    <row r="217" spans="1:17" x14ac:dyDescent="0.25">
      <c r="A217" s="97" t="str">
        <f>'Snapshot (Value)'!A221</f>
        <v>ZYDUSLIFE</v>
      </c>
      <c r="B217" s="140">
        <f>VLOOKUP($A217,'Data shares'!$C:$FB,7)</f>
        <v>902.25</v>
      </c>
      <c r="C217" s="140">
        <f>VLOOKUP($A217,'Data shares'!$C:$FB,3)</f>
        <v>905.7</v>
      </c>
      <c r="D217" s="140">
        <f>VLOOKUP($A217,'Data shares'!$C:$FB,4)</f>
        <v>893.45</v>
      </c>
      <c r="E217" s="50">
        <f t="shared" si="18"/>
        <v>1.3710895965079188</v>
      </c>
      <c r="F217" s="49">
        <f>VLOOKUP($A217,'Data shares'!$C:$FB,98)</f>
        <v>13689900</v>
      </c>
      <c r="G217" s="49">
        <f>VLOOKUP($A217,'Data shares'!$C:$FB,99)</f>
        <v>13503600</v>
      </c>
      <c r="H217" s="50">
        <f t="shared" si="19"/>
        <v>1.3796320981071715</v>
      </c>
      <c r="I217" s="49">
        <f>VLOOKUP($A217,'Data shares'!$C:$FB,66)</f>
        <v>8385300</v>
      </c>
      <c r="J217" s="49">
        <f>VLOOKUP($A217,'Data shares'!$C:$FB,67)</f>
        <v>4683600</v>
      </c>
      <c r="K217" s="50">
        <f t="shared" si="20"/>
        <v>44.145111087259849</v>
      </c>
      <c r="L217" s="50">
        <f>VLOOKUP($A217,'Data shares'!$C:$FB,118)</f>
        <v>0.78</v>
      </c>
      <c r="M217" s="50">
        <f>VLOOKUP($A217,'Data shares'!$C:$FB,119)</f>
        <v>0.86</v>
      </c>
      <c r="N217" s="50">
        <f>VLOOKUP($A217,'Data shares'!$C:$FB,121)*100</f>
        <v>-9.3000000000000007</v>
      </c>
      <c r="O217" s="50">
        <f>VLOOKUP($A217,'Data shares'!$C:$FB,124)</f>
        <v>0.31</v>
      </c>
      <c r="P217" s="50">
        <f>VLOOKUP($A217,'Data shares'!$C:$FB,125)</f>
        <v>0.44</v>
      </c>
      <c r="Q217" s="50">
        <f>VLOOKUP($A217,'Data shares'!$C:$FB,127)*100</f>
        <v>-29.549999999999997</v>
      </c>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9" t="s">
        <v>391</v>
      </c>
      <c r="B231" s="259"/>
      <c r="C231" s="259"/>
      <c r="D231" s="259"/>
      <c r="E231" s="259"/>
      <c r="F231" s="113">
        <f>SUM(F7:F221)</f>
        <v>22305681171</v>
      </c>
      <c r="G231" s="113">
        <f>SUM(G7:G223)</f>
        <v>21844855520</v>
      </c>
      <c r="H231" s="114">
        <f>(F231-G231)/G231*100</f>
        <v>2.1095385619652749</v>
      </c>
      <c r="I231" s="113">
        <f>SUM(I7:I222)</f>
        <v>10825748937</v>
      </c>
      <c r="J231" s="113">
        <f>SUM(J7:J223)</f>
        <v>15066718066</v>
      </c>
      <c r="K231" s="114">
        <f>(I231-J231)/J231*100</f>
        <v>-28.147929166938457</v>
      </c>
      <c r="L231" s="113"/>
      <c r="M231" s="113"/>
      <c r="N231" s="113"/>
      <c r="O231" s="113"/>
      <c r="P231" s="259"/>
      <c r="Q231" s="259"/>
    </row>
    <row r="232" spans="1:17" s="64" customFormat="1" x14ac:dyDescent="0.25">
      <c r="A232" s="259" t="s">
        <v>398</v>
      </c>
      <c r="B232" s="259"/>
      <c r="C232" s="259"/>
      <c r="D232" s="259"/>
      <c r="E232" s="259"/>
      <c r="F232" s="113">
        <f>F231/10000000</f>
        <v>2230.5681171000001</v>
      </c>
      <c r="G232" s="113">
        <f>G231/10000000</f>
        <v>2184.4855520000001</v>
      </c>
      <c r="H232" s="114">
        <f>(F232-G232)/G232*100</f>
        <v>2.1095385619652753</v>
      </c>
      <c r="I232" s="113">
        <f>I231/10000000</f>
        <v>1082.5748937000001</v>
      </c>
      <c r="J232" s="113">
        <f>J231/10000000</f>
        <v>1506.6718066000001</v>
      </c>
      <c r="K232" s="114">
        <f>(I232-J232)/J232*100</f>
        <v>-28.147929166938457</v>
      </c>
      <c r="L232" s="113"/>
      <c r="M232" s="113"/>
      <c r="N232" s="113"/>
      <c r="O232" s="113"/>
      <c r="P232" s="259"/>
      <c r="Q232" s="259"/>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M19" sqref="M19"/>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(Value)'!H155</f>
        <v>1060068</v>
      </c>
      <c r="C3" s="159">
        <f>'OI(Volume)'!G151</f>
        <v>-1.2200000000000001E-2</v>
      </c>
      <c r="D3" s="153">
        <f>'Snapshot (Value)'!P151</f>
        <v>0.5</v>
      </c>
      <c r="E3" s="153">
        <f>'Snapshot (Value)'!R151</f>
        <v>0.79</v>
      </c>
      <c r="F3" s="153">
        <f>IV!E151</f>
        <v>17.66</v>
      </c>
      <c r="G3" s="153">
        <f>IV!B151</f>
        <v>20.25</v>
      </c>
      <c r="H3" s="153">
        <f>'Snapshot (Value)'!C155</f>
        <v>23775.1</v>
      </c>
      <c r="I3" s="153">
        <f>'Snapshot (Value)'!D155</f>
        <v>23861.3</v>
      </c>
      <c r="J3" s="153">
        <f>'Snapshot (Value)'!E155</f>
        <v>24057.8</v>
      </c>
      <c r="K3" s="153">
        <f>(I3-H3)</f>
        <v>86.200000000000728</v>
      </c>
      <c r="L3" s="232">
        <f>'Data Vlaue (Cr)'!V146</f>
        <v>24152.7</v>
      </c>
    </row>
    <row r="4" spans="1:12" x14ac:dyDescent="0.25">
      <c r="A4" t="s">
        <v>464</v>
      </c>
      <c r="B4" s="154">
        <f>'Snapshot (Value)'!H38</f>
        <v>178189</v>
      </c>
      <c r="C4" s="159">
        <f>'OI(Volume)'!G34</f>
        <v>6.3E-3</v>
      </c>
      <c r="D4" s="153">
        <f>'Snapshot (Value)'!P38</f>
        <v>0.77</v>
      </c>
      <c r="E4" s="153">
        <f>'Snapshot (Value)'!R38</f>
        <v>0.86</v>
      </c>
      <c r="F4" s="153">
        <f>IV!E34</f>
        <v>21.36</v>
      </c>
      <c r="G4" s="153">
        <f>IV!B34</f>
        <v>23.38</v>
      </c>
      <c r="H4" s="153">
        <f>'Snapshot (Value)'!C38</f>
        <v>54821.7</v>
      </c>
      <c r="I4" s="153">
        <f>'Snapshot (Value)'!D38</f>
        <v>55080</v>
      </c>
      <c r="J4" s="153">
        <f>'Snapshot (Value)'!E38</f>
        <v>55928</v>
      </c>
      <c r="K4" s="153">
        <f>(I4-H4)</f>
        <v>258.30000000000291</v>
      </c>
      <c r="L4" s="232">
        <f>'Data Vlaue (Cr)'!V29</f>
        <v>55639.199999999997</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41" t="s">
        <v>393</v>
      </c>
      <c r="B1" s="338" t="s">
        <v>631</v>
      </c>
      <c r="C1" s="339"/>
      <c r="D1" s="340"/>
      <c r="E1" s="335" t="s">
        <v>632</v>
      </c>
      <c r="F1" s="336"/>
      <c r="G1" s="337"/>
      <c r="H1" s="332" t="s">
        <v>633</v>
      </c>
      <c r="I1" s="333"/>
      <c r="J1" s="334"/>
      <c r="K1" s="329" t="s">
        <v>634</v>
      </c>
      <c r="L1" s="330"/>
      <c r="M1" s="331"/>
    </row>
    <row r="2" spans="1:13" ht="26.25" thickBot="1" x14ac:dyDescent="0.25">
      <c r="A2" s="342"/>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41" t="s">
        <v>640</v>
      </c>
      <c r="B6" s="338" t="s">
        <v>631</v>
      </c>
      <c r="C6" s="339"/>
      <c r="D6" s="340"/>
      <c r="E6" s="335" t="s">
        <v>632</v>
      </c>
      <c r="F6" s="336"/>
      <c r="G6" s="337"/>
      <c r="H6" s="332" t="s">
        <v>633</v>
      </c>
      <c r="I6" s="333"/>
      <c r="J6" s="334"/>
      <c r="K6" s="329" t="s">
        <v>634</v>
      </c>
      <c r="L6" s="330"/>
      <c r="M6" s="331"/>
    </row>
    <row r="7" spans="1:13" ht="26.25" thickBot="1" x14ac:dyDescent="0.25">
      <c r="A7" s="342"/>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41" t="s">
        <v>641</v>
      </c>
      <c r="B11" s="338" t="s">
        <v>631</v>
      </c>
      <c r="C11" s="339"/>
      <c r="D11" s="340"/>
      <c r="E11" s="335" t="s">
        <v>632</v>
      </c>
      <c r="F11" s="336"/>
      <c r="G11" s="337"/>
      <c r="H11" s="332" t="s">
        <v>633</v>
      </c>
      <c r="I11" s="333"/>
      <c r="J11" s="334"/>
      <c r="K11" s="329" t="s">
        <v>634</v>
      </c>
      <c r="L11" s="330"/>
      <c r="M11" s="331"/>
    </row>
    <row r="12" spans="1:13" ht="26.25" thickBot="1" x14ac:dyDescent="0.25">
      <c r="A12" s="342"/>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41" t="s">
        <v>395</v>
      </c>
      <c r="B16" s="338" t="s">
        <v>631</v>
      </c>
      <c r="C16" s="339"/>
      <c r="D16" s="340"/>
      <c r="E16" s="335" t="s">
        <v>632</v>
      </c>
      <c r="F16" s="336"/>
      <c r="G16" s="337"/>
      <c r="H16" s="332" t="s">
        <v>633</v>
      </c>
      <c r="I16" s="333"/>
      <c r="J16" s="334"/>
      <c r="K16" s="329" t="s">
        <v>634</v>
      </c>
      <c r="L16" s="330"/>
      <c r="M16" s="331"/>
    </row>
    <row r="17" spans="1:13" ht="26.25" thickBot="1" x14ac:dyDescent="0.25">
      <c r="A17" s="342"/>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41" t="s">
        <v>642</v>
      </c>
      <c r="B21" s="338" t="s">
        <v>631</v>
      </c>
      <c r="C21" s="339"/>
      <c r="D21" s="340"/>
      <c r="E21" s="335" t="s">
        <v>632</v>
      </c>
      <c r="F21" s="336"/>
      <c r="G21" s="337"/>
      <c r="H21" s="332" t="s">
        <v>633</v>
      </c>
      <c r="I21" s="333"/>
      <c r="J21" s="334"/>
      <c r="K21" s="329" t="s">
        <v>634</v>
      </c>
      <c r="L21" s="330"/>
      <c r="M21" s="331"/>
    </row>
    <row r="22" spans="1:13" ht="26.25" thickBot="1" x14ac:dyDescent="0.25">
      <c r="A22" s="342"/>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41" t="s">
        <v>643</v>
      </c>
      <c r="B26" s="338" t="s">
        <v>631</v>
      </c>
      <c r="C26" s="339"/>
      <c r="D26" s="340"/>
      <c r="E26" s="335" t="s">
        <v>632</v>
      </c>
      <c r="F26" s="336"/>
      <c r="G26" s="337"/>
      <c r="H26" s="332" t="s">
        <v>633</v>
      </c>
      <c r="I26" s="333"/>
      <c r="J26" s="334"/>
      <c r="K26" s="329" t="s">
        <v>634</v>
      </c>
      <c r="L26" s="330"/>
      <c r="M26" s="331"/>
    </row>
    <row r="27" spans="1:13" ht="26.25" thickBot="1" x14ac:dyDescent="0.25">
      <c r="A27" s="342"/>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3896.2</v>
      </c>
      <c r="C3" s="200"/>
      <c r="D3" s="200"/>
    </row>
    <row r="4" spans="1:4" x14ac:dyDescent="0.25">
      <c r="A4" s="217" t="s">
        <v>320</v>
      </c>
      <c r="B4" s="220">
        <f>VLOOKUP($B$1,'Snapshot (Value)'!$A:$S,6,0)</f>
        <v>11</v>
      </c>
      <c r="C4" s="200"/>
      <c r="D4" s="200"/>
    </row>
    <row r="5" spans="1:4" x14ac:dyDescent="0.25">
      <c r="A5" s="221"/>
      <c r="B5" s="222" t="s">
        <v>648</v>
      </c>
      <c r="C5" s="222" t="s">
        <v>649</v>
      </c>
      <c r="D5" s="222" t="s">
        <v>650</v>
      </c>
    </row>
    <row r="6" spans="1:4" x14ac:dyDescent="0.25">
      <c r="A6" s="217" t="s">
        <v>651</v>
      </c>
      <c r="B6" s="219">
        <f>VLOOKUP($B$1,'Snapshot (Value)'!$A:$S,4,0)</f>
        <v>3907.2</v>
      </c>
      <c r="C6" s="219">
        <f>VLOOKUP($B$1,'Snapshot (Value)'!$A:$S,5,0)</f>
        <v>4013.2</v>
      </c>
      <c r="D6" s="219">
        <f>+(B6/C6-1)*100</f>
        <v>-2.6412837635801822</v>
      </c>
    </row>
    <row r="7" spans="1:4" x14ac:dyDescent="0.25">
      <c r="A7" s="217" t="s">
        <v>316</v>
      </c>
      <c r="B7" s="219">
        <f>VLOOKUP($B$1,'Snapshot (Volume)'!$A:$S,12,0)</f>
        <v>0.74</v>
      </c>
      <c r="C7" s="219">
        <f>VLOOKUP($B$1,'Snapshot (Volume)'!$A:$S,13,0)</f>
        <v>0.85</v>
      </c>
      <c r="D7" s="219">
        <f>+(B7/C7-1)*100</f>
        <v>-12.941176470588234</v>
      </c>
    </row>
    <row r="8" spans="1:4" x14ac:dyDescent="0.25">
      <c r="A8" s="217" t="s">
        <v>652</v>
      </c>
      <c r="B8" s="219">
        <f>VLOOKUP($B$1,'Snapshot (Volume)'!$A:$S,15,0)</f>
        <v>0.48</v>
      </c>
      <c r="C8" s="219">
        <f>VLOOKUP($B$1,'Snapshot (Volume)'!$A:$S,16,0)</f>
        <v>0.56999999999999995</v>
      </c>
      <c r="D8" s="219">
        <f>+(B8/C8-1)*100</f>
        <v>-15.78947368421052</v>
      </c>
    </row>
    <row r="9" spans="1:4" x14ac:dyDescent="0.25">
      <c r="A9" s="215" t="s">
        <v>653</v>
      </c>
      <c r="B9" s="222" t="s">
        <v>654</v>
      </c>
      <c r="C9" s="222" t="s">
        <v>369</v>
      </c>
      <c r="D9" s="222" t="s">
        <v>650</v>
      </c>
    </row>
    <row r="10" spans="1:4" x14ac:dyDescent="0.25">
      <c r="A10" s="217" t="s">
        <v>655</v>
      </c>
      <c r="B10" s="219">
        <f>VLOOKUP($B$1,'OI(Value)'!$A:$O,5,0)</f>
        <v>6135</v>
      </c>
      <c r="C10" s="219">
        <f>VLOOKUP($B$1,'OI(Value)'!$A:$O,6,0)</f>
        <v>190</v>
      </c>
      <c r="D10" s="219">
        <f>VLOOKUP($B$1,'OI(Value)'!$A:$O,7,0)*100</f>
        <v>3.2</v>
      </c>
    </row>
    <row r="11" spans="1:4" x14ac:dyDescent="0.25">
      <c r="A11" s="217" t="s">
        <v>656</v>
      </c>
      <c r="B11" s="219">
        <f>VLOOKUP($B$1,'OI(Value)'!$A:$O,8,0)</f>
        <v>3240</v>
      </c>
      <c r="C11" s="219">
        <f>VLOOKUP($B$1,'OI(Value)'!$A:$O,9,0)</f>
        <v>501</v>
      </c>
      <c r="D11" s="219">
        <f>VLOOKUP($B$1,'OI(Value)'!$A:$O,10,0)*100</f>
        <v>18.310000000000002</v>
      </c>
    </row>
    <row r="12" spans="1:4" x14ac:dyDescent="0.25">
      <c r="A12" s="217" t="s">
        <v>657</v>
      </c>
      <c r="B12" s="219">
        <f>VLOOKUP($B$1,'OI(Value)'!$A:$O,11,0)</f>
        <v>2394</v>
      </c>
      <c r="C12" s="219">
        <f>VLOOKUP($B$1,'OI(Value)'!$A:$O,12,0)</f>
        <v>63</v>
      </c>
      <c r="D12" s="219">
        <f>VLOOKUP($B$1,'OI(Value)'!$A:$O,13,0)*100</f>
        <v>2.7199999999999998</v>
      </c>
    </row>
    <row r="13" spans="1:4" x14ac:dyDescent="0.25">
      <c r="A13" s="215" t="s">
        <v>658</v>
      </c>
      <c r="B13" s="223">
        <f>VLOOKUP($B$1,'OI(Value)'!$A:$O,2,0)</f>
        <v>11769</v>
      </c>
      <c r="C13" s="223">
        <f>VLOOKUP($B$1,'OI(Value)'!$A:$O,3,0)</f>
        <v>755</v>
      </c>
      <c r="D13" s="223">
        <f>VLOOKUP($B$1,'OI(Value)'!$A:$O,4,0)*100</f>
        <v>6.8599999999999994</v>
      </c>
    </row>
    <row r="14" spans="1:4" x14ac:dyDescent="0.25">
      <c r="A14" s="215" t="s">
        <v>659</v>
      </c>
      <c r="B14" s="222" t="s">
        <v>660</v>
      </c>
      <c r="C14" s="222" t="s">
        <v>369</v>
      </c>
      <c r="D14" s="222" t="s">
        <v>650</v>
      </c>
    </row>
    <row r="15" spans="1:4" x14ac:dyDescent="0.25">
      <c r="A15" s="217" t="s">
        <v>655</v>
      </c>
      <c r="B15" s="219">
        <f>VLOOKUP($B$1,'OI(Volume)'!$A:$O,5,0)/10^5</f>
        <v>157.02924999999999</v>
      </c>
      <c r="C15" s="219">
        <f>VLOOKUP($B$1,'OI(Volume)'!$A:$O,6,0)/10^5</f>
        <v>4.8754999999999997</v>
      </c>
      <c r="D15" s="219">
        <f>(VLOOKUP($B$1,'OI(Volume)'!$A:$O,7,0))*100</f>
        <v>3.2</v>
      </c>
    </row>
    <row r="16" spans="1:4" x14ac:dyDescent="0.25">
      <c r="A16" s="217" t="s">
        <v>656</v>
      </c>
      <c r="B16" s="219">
        <f>VLOOKUP($B$1,'OI(Volume)'!$A:$O,8,0)/10^5</f>
        <v>82.911500000000004</v>
      </c>
      <c r="C16" s="219">
        <f>VLOOKUP($B$1,'OI(Volume)'!$A:$O,9,0)/10^5</f>
        <v>12.8345</v>
      </c>
      <c r="D16" s="219">
        <f>(VLOOKUP($B$1,'OI(Volume)'!$A:$O,10,0))*100</f>
        <v>18.310000000000002</v>
      </c>
    </row>
    <row r="17" spans="1:4" x14ac:dyDescent="0.25">
      <c r="A17" s="217" t="s">
        <v>657</v>
      </c>
      <c r="B17" s="219">
        <f>VLOOKUP($B$1,'OI(Volume)'!$A:$O,11,0)/10^5</f>
        <v>61.27975</v>
      </c>
      <c r="C17" s="219">
        <f>VLOOKUP($B$1,'OI(Volume)'!$A:$O,12,0)/10^5</f>
        <v>1.62225</v>
      </c>
      <c r="D17" s="219">
        <f>(VLOOKUP($B$1,'OI(Volume)'!$A:$O,13,0))*100</f>
        <v>2.7199999999999998</v>
      </c>
    </row>
    <row r="18" spans="1:4" x14ac:dyDescent="0.25">
      <c r="A18" s="215" t="s">
        <v>661</v>
      </c>
      <c r="B18" s="223">
        <f>VLOOKUP($B$1,'OI(Volume)'!$A:$O,2,0)/10^5</f>
        <v>301.22050000000002</v>
      </c>
      <c r="C18" s="223">
        <f>VLOOKUP($B$1,'OI(Volume)'!$A:$O,3,0)/10^5</f>
        <v>19.332249999999998</v>
      </c>
      <c r="D18" s="223">
        <f>(VLOOKUP($B$1,'OI(Volume)'!$A:$O,4,0))*100</f>
        <v>6.8599999999999994</v>
      </c>
    </row>
    <row r="20" spans="1:4" x14ac:dyDescent="0.25">
      <c r="A20" s="17" t="s">
        <v>417</v>
      </c>
      <c r="B20" s="224">
        <f>VLOOKUP($B$1,'Open Interest Position'!$A:$F,2,0)/10^5</f>
        <v>1360.99497</v>
      </c>
    </row>
    <row r="21" spans="1:4" x14ac:dyDescent="0.25">
      <c r="A21" s="17" t="s">
        <v>412</v>
      </c>
      <c r="B21" s="224">
        <f>VLOOKUP($B$1,'Open Interest Position'!$A:$F,3,0)/10^5</f>
        <v>297.06074999999998</v>
      </c>
    </row>
    <row r="22" spans="1:4" x14ac:dyDescent="0.25">
      <c r="A22" s="17" t="s">
        <v>418</v>
      </c>
      <c r="B22" s="224">
        <f>VLOOKUP($B$1,'Open Interest Position'!$A:$F,4,0)/10^5</f>
        <v>161.10930582881701</v>
      </c>
    </row>
    <row r="23" spans="1:4" x14ac:dyDescent="0.25">
      <c r="A23" s="17" t="s">
        <v>419</v>
      </c>
      <c r="B23" s="225">
        <f>VLOOKUP($B$1,'Open Interest Position'!$A:$F,6,0)</f>
        <v>0.21826733863682096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7" t="s">
        <v>329</v>
      </c>
      <c r="B3" s="268"/>
      <c r="C3" s="268"/>
      <c r="D3" s="268"/>
      <c r="E3" s="268"/>
      <c r="F3" s="268"/>
      <c r="G3" s="268"/>
      <c r="H3" s="268"/>
      <c r="I3" s="269"/>
      <c r="J3" s="269"/>
      <c r="K3" s="269"/>
      <c r="L3" s="269"/>
      <c r="M3" s="269"/>
      <c r="N3" s="269"/>
      <c r="O3" s="269"/>
      <c r="P3" s="270"/>
    </row>
    <row r="4" spans="1:36" x14ac:dyDescent="0.25">
      <c r="A4" s="271" t="s">
        <v>330</v>
      </c>
      <c r="B4" s="271"/>
      <c r="C4" s="77" t="s">
        <v>308</v>
      </c>
      <c r="D4" s="273" t="s">
        <v>326</v>
      </c>
      <c r="E4" s="273"/>
      <c r="F4" s="273"/>
      <c r="G4" s="273"/>
      <c r="H4" s="273" t="s">
        <v>457</v>
      </c>
      <c r="I4" s="273"/>
      <c r="J4" s="273"/>
      <c r="K4" s="271" t="s">
        <v>309</v>
      </c>
      <c r="L4" s="271"/>
      <c r="M4" s="271"/>
      <c r="N4" s="271" t="s">
        <v>331</v>
      </c>
      <c r="O4" s="271"/>
      <c r="P4" s="271"/>
    </row>
    <row r="5" spans="1:36" x14ac:dyDescent="0.25">
      <c r="A5" s="272"/>
      <c r="B5" s="272"/>
      <c r="C5" s="65" t="s">
        <v>312</v>
      </c>
      <c r="D5" s="274" t="s">
        <v>314</v>
      </c>
      <c r="E5" s="274"/>
      <c r="F5" s="274"/>
      <c r="G5" s="274"/>
      <c r="H5" s="274" t="s">
        <v>315</v>
      </c>
      <c r="I5" s="274"/>
      <c r="J5" s="274"/>
      <c r="K5" s="272" t="s">
        <v>314</v>
      </c>
      <c r="L5" s="272"/>
      <c r="M5" s="272"/>
      <c r="N5" s="272" t="s">
        <v>315</v>
      </c>
      <c r="O5" s="272"/>
      <c r="P5" s="272"/>
    </row>
    <row r="6" spans="1:36" x14ac:dyDescent="0.25">
      <c r="A6" s="78" t="s">
        <v>332</v>
      </c>
      <c r="B6" s="78" t="s">
        <v>318</v>
      </c>
      <c r="C6" s="65" t="s">
        <v>328</v>
      </c>
      <c r="D6" s="66">
        <f>'Snapshot (Volume)'!B6</f>
        <v>46121</v>
      </c>
      <c r="E6" s="66" t="s">
        <v>368</v>
      </c>
      <c r="F6" s="71" t="s">
        <v>333</v>
      </c>
      <c r="G6" s="71" t="s">
        <v>328</v>
      </c>
      <c r="H6" s="66">
        <f>D6</f>
        <v>46121</v>
      </c>
      <c r="I6" s="71" t="s">
        <v>322</v>
      </c>
      <c r="J6" s="71" t="s">
        <v>328</v>
      </c>
      <c r="K6" s="66">
        <f>D6</f>
        <v>46121</v>
      </c>
      <c r="L6" s="78" t="s">
        <v>333</v>
      </c>
      <c r="M6" s="78" t="s">
        <v>328</v>
      </c>
      <c r="N6" s="66">
        <f>D6</f>
        <v>46121</v>
      </c>
      <c r="O6" s="78" t="s">
        <v>322</v>
      </c>
      <c r="P6" s="78" t="s">
        <v>328</v>
      </c>
    </row>
    <row r="7" spans="1:36" x14ac:dyDescent="0.25">
      <c r="A7" s="79" t="str">
        <f>'Data shares'!B2</f>
        <v>Finance</v>
      </c>
      <c r="B7" s="79" t="str">
        <f>'Data shares'!C2</f>
        <v>360ONE</v>
      </c>
      <c r="C7" s="79">
        <f>VLOOKUP($B7,'Data shares'!$C:$FB,7)</f>
        <v>998.1</v>
      </c>
      <c r="D7" s="165">
        <f>VLOOKUP($B7,'Data shares'!$C:$FB,98)</f>
        <v>6540500</v>
      </c>
      <c r="E7" s="165">
        <f>VLOOKUP(B7,'Snapshot (Volume)'!$A$7:$G$168,7,0)</f>
        <v>5999500</v>
      </c>
      <c r="F7" s="165">
        <f>D7-E7</f>
        <v>541000</v>
      </c>
      <c r="G7" s="166">
        <f>F7/E7</f>
        <v>9.0174181181765151E-2</v>
      </c>
      <c r="H7" s="165">
        <f>VLOOKUP($B7,'Data shares'!$C:$FB,66)</f>
        <v>6903000</v>
      </c>
      <c r="I7" s="165">
        <f>VLOOKUP($B7,'Data shares'!$C:$FB,67)</f>
        <v>6714500</v>
      </c>
      <c r="J7" s="81">
        <f>(H7-I7)/I7*100</f>
        <v>2.8073572120038723</v>
      </c>
      <c r="K7" s="81">
        <f>VLOOKUP($B7,'Data Vlaue (Cr)'!$C:$FB,99)</f>
        <v>655</v>
      </c>
      <c r="L7" s="81">
        <f>VLOOKUP(B7,'OI(Value)'!$A$7:$C$226,3,0)</f>
        <v>54</v>
      </c>
      <c r="M7" s="81">
        <f t="shared" ref="M7:M36" si="0">L7/K7*100</f>
        <v>8.2442748091603058</v>
      </c>
      <c r="N7" s="81">
        <f>VLOOKUP($B7,'Data Vlaue (Cr)'!$C:$FB,67)</f>
        <v>691</v>
      </c>
      <c r="O7" s="81">
        <f>VLOOKUP($B7,'Data Vlaue (Cr)'!$C:$FB,68)</f>
        <v>672</v>
      </c>
      <c r="P7" s="81">
        <f t="shared" ref="P7:P23" si="1">(N7-O7)/N7*100</f>
        <v>2.7496382054992763</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6614</v>
      </c>
      <c r="D8" s="165">
        <f>VLOOKUP($B8,'Data shares'!$C:$FB,98)</f>
        <v>3538250</v>
      </c>
      <c r="E8" s="165">
        <f>VLOOKUP(B8,'Snapshot (Volume)'!$A$7:$G$168,7,0)</f>
        <v>3371125</v>
      </c>
      <c r="F8" s="165">
        <f t="shared" ref="F8:F23" si="2">D8-E8</f>
        <v>167125</v>
      </c>
      <c r="G8" s="166">
        <f t="shared" ref="G8:G23" si="3">F8/E8</f>
        <v>4.9575438466387331E-2</v>
      </c>
      <c r="H8" s="165">
        <f>VLOOKUP($B8,'Data shares'!$C:$FB,66)</f>
        <v>2978125</v>
      </c>
      <c r="I8" s="165">
        <f>VLOOKUP($B8,'Data shares'!$C:$FB,67)</f>
        <v>3918625</v>
      </c>
      <c r="J8" s="81">
        <f t="shared" ref="J8:J22" si="4">(H8-I8)/I8*100</f>
        <v>-24.000765574659479</v>
      </c>
      <c r="K8" s="81">
        <f>VLOOKUP($B8,'Data Vlaue (Cr)'!$C:$FB,99)</f>
        <v>2352</v>
      </c>
      <c r="L8" s="81">
        <f>VLOOKUP(B8,'OI(Value)'!$A$7:$C$226,3,0)</f>
        <v>111</v>
      </c>
      <c r="M8" s="81">
        <f t="shared" si="0"/>
        <v>4.7193877551020407</v>
      </c>
      <c r="N8" s="81">
        <f>VLOOKUP($B8,'Data Vlaue (Cr)'!$C:$FB,67)</f>
        <v>1979</v>
      </c>
      <c r="O8" s="81">
        <f>VLOOKUP($B8,'Data Vlaue (Cr)'!$C:$FB,68)</f>
        <v>2605</v>
      </c>
      <c r="P8" s="81">
        <f t="shared" si="1"/>
        <v>-31.632137443153109</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334.55</v>
      </c>
      <c r="D9" s="165">
        <f>VLOOKUP($B9,'Data shares'!$C:$FB,98)</f>
        <v>60171000</v>
      </c>
      <c r="E9" s="165">
        <f>VLOOKUP(B9,'Snapshot (Volume)'!$A$7:$G$168,7,0)</f>
        <v>58121900</v>
      </c>
      <c r="F9" s="165">
        <f t="shared" si="2"/>
        <v>2049100</v>
      </c>
      <c r="G9" s="166">
        <f t="shared" si="3"/>
        <v>3.5255213611392611E-2</v>
      </c>
      <c r="H9" s="165">
        <f>VLOOKUP($B9,'Data shares'!$C:$FB,66)</f>
        <v>29124500</v>
      </c>
      <c r="I9" s="165">
        <f>VLOOKUP($B9,'Data shares'!$C:$FB,67)</f>
        <v>55666700</v>
      </c>
      <c r="J9" s="81">
        <f t="shared" si="4"/>
        <v>-47.680570251155544</v>
      </c>
      <c r="K9" s="81">
        <f>VLOOKUP($B9,'Data Vlaue (Cr)'!$C:$FB,99)</f>
        <v>2020</v>
      </c>
      <c r="L9" s="81">
        <f>VLOOKUP(B9,'OI(Value)'!$A$7:$C$226,3,0)</f>
        <v>69</v>
      </c>
      <c r="M9" s="81">
        <f t="shared" si="0"/>
        <v>3.4158415841584162</v>
      </c>
      <c r="N9" s="81">
        <f>VLOOKUP($B9,'Data Vlaue (Cr)'!$C:$FB,67)</f>
        <v>978</v>
      </c>
      <c r="O9" s="81">
        <f>VLOOKUP($B9,'Data Vlaue (Cr)'!$C:$FB,68)</f>
        <v>1869</v>
      </c>
      <c r="P9" s="81">
        <f t="shared" si="1"/>
        <v>-91.104294478527606</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1078.75</v>
      </c>
      <c r="D10" s="82">
        <f>VLOOKUP($B10,'Data shares'!$C:$FB,98)</f>
        <v>24261525</v>
      </c>
      <c r="E10" s="165">
        <f>VLOOKUP(B10,'Snapshot (Volume)'!$A$7:$G$168,7,0)</f>
        <v>24329025</v>
      </c>
      <c r="F10" s="165">
        <f t="shared" si="2"/>
        <v>-67500</v>
      </c>
      <c r="G10" s="166">
        <f t="shared" si="3"/>
        <v>-2.7744638348639124E-3</v>
      </c>
      <c r="H10" s="165">
        <f>VLOOKUP($B10,'Data shares'!$C:$FB,66)</f>
        <v>9104400</v>
      </c>
      <c r="I10" s="165">
        <f>VLOOKUP($B10,'Data shares'!$C:$FB,67)</f>
        <v>20133900</v>
      </c>
      <c r="J10" s="81">
        <f t="shared" si="4"/>
        <v>-54.780742926109696</v>
      </c>
      <c r="K10" s="5">
        <f>VLOOKUP($B10,'Data Vlaue (Cr)'!$C:$FB,99)</f>
        <v>2620</v>
      </c>
      <c r="L10" s="81">
        <f>VLOOKUP(B10,'OI(Value)'!$A$7:$C$226,3,0)</f>
        <v>-7</v>
      </c>
      <c r="M10" s="33">
        <f t="shared" si="0"/>
        <v>-0.26717557251908397</v>
      </c>
      <c r="N10" s="5">
        <f>VLOOKUP($B10,'Data Vlaue (Cr)'!$C:$FB,67)</f>
        <v>983</v>
      </c>
      <c r="O10" s="5">
        <f>VLOOKUP($B10,'Data Vlaue (Cr)'!$C:$FB,68)</f>
        <v>2175</v>
      </c>
      <c r="P10" s="5">
        <f t="shared" si="1"/>
        <v>-121.26144455747712</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2040.5</v>
      </c>
      <c r="D11" s="82">
        <f>VLOOKUP($B11,'Data shares'!$C:$FB,98)</f>
        <v>28226841</v>
      </c>
      <c r="E11" s="165">
        <f>VLOOKUP(B11,'Snapshot (Volume)'!$A$7:$G$168,7,0)</f>
        <v>28333755</v>
      </c>
      <c r="F11" s="165">
        <f t="shared" si="2"/>
        <v>-106914</v>
      </c>
      <c r="G11" s="166">
        <f t="shared" si="3"/>
        <v>-3.7733791373575441E-3</v>
      </c>
      <c r="H11" s="165">
        <f>VLOOKUP($B11,'Data shares'!$C:$FB,66)</f>
        <v>13856487</v>
      </c>
      <c r="I11" s="165">
        <f>VLOOKUP($B11,'Data shares'!$C:$FB,67)</f>
        <v>41496846</v>
      </c>
      <c r="J11" s="81">
        <f t="shared" si="4"/>
        <v>-66.60833693240204</v>
      </c>
      <c r="K11" s="5">
        <f>VLOOKUP($B11,'Data Vlaue (Cr)'!$C:$FB,99)</f>
        <v>5789</v>
      </c>
      <c r="L11" s="81">
        <f>VLOOKUP(B11,'OI(Value)'!$A$7:$C$226,3,0)</f>
        <v>-22</v>
      </c>
      <c r="M11" s="33">
        <f t="shared" si="0"/>
        <v>-0.38003109345310071</v>
      </c>
      <c r="N11" s="5">
        <f>VLOOKUP($B11,'Data Vlaue (Cr)'!$C:$FB,67)</f>
        <v>2842</v>
      </c>
      <c r="O11" s="5">
        <f>VLOOKUP($B11,'Data Vlaue (Cr)'!$C:$FB,68)</f>
        <v>8510</v>
      </c>
      <c r="P11" s="5">
        <f t="shared" si="1"/>
        <v>-199.43701618578467</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1044.55</v>
      </c>
      <c r="D12" s="82">
        <f>VLOOKUP($B12,'Data shares'!$C:$FB,98)</f>
        <v>32394000</v>
      </c>
      <c r="E12" s="165">
        <f>VLOOKUP(B12,'Snapshot (Volume)'!$A$7:$G$168,7,0)</f>
        <v>33072600</v>
      </c>
      <c r="F12" s="165">
        <f t="shared" si="2"/>
        <v>-678600</v>
      </c>
      <c r="G12" s="166">
        <f t="shared" si="3"/>
        <v>-2.0518495673155421E-2</v>
      </c>
      <c r="H12" s="165">
        <f>VLOOKUP($B12,'Data shares'!$C:$FB,66)</f>
        <v>21910800</v>
      </c>
      <c r="I12" s="165">
        <f>VLOOKUP($B12,'Data shares'!$C:$FB,67)</f>
        <v>57915000</v>
      </c>
      <c r="J12" s="81">
        <f t="shared" si="4"/>
        <v>-62.167314167314167</v>
      </c>
      <c r="K12" s="5">
        <f>VLOOKUP($B12,'Data Vlaue (Cr)'!$C:$FB,99)</f>
        <v>3400</v>
      </c>
      <c r="L12" s="81">
        <f>VLOOKUP(B12,'OI(Value)'!$A$7:$C$226,3,0)</f>
        <v>-71</v>
      </c>
      <c r="M12" s="33">
        <f t="shared" si="0"/>
        <v>-2.0882352941176472</v>
      </c>
      <c r="N12" s="5">
        <f>VLOOKUP($B12,'Data Vlaue (Cr)'!$C:$FB,67)</f>
        <v>2300</v>
      </c>
      <c r="O12" s="5">
        <f>VLOOKUP($B12,'Data Vlaue (Cr)'!$C:$FB,68)</f>
        <v>6079</v>
      </c>
      <c r="P12" s="5">
        <f t="shared" si="1"/>
        <v>-164.30434782608697</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1447.4</v>
      </c>
      <c r="D13" s="82">
        <f>VLOOKUP($B13,'Data shares'!$C:$FB,98)</f>
        <v>35379900</v>
      </c>
      <c r="E13" s="165">
        <f>VLOOKUP(B13,'Snapshot (Volume)'!$A$7:$G$168,7,0)</f>
        <v>35112000</v>
      </c>
      <c r="F13" s="165">
        <f t="shared" si="2"/>
        <v>267900</v>
      </c>
      <c r="G13" s="166">
        <f t="shared" si="3"/>
        <v>7.6298701298701298E-3</v>
      </c>
      <c r="H13" s="165">
        <f>VLOOKUP($B13,'Data shares'!$C:$FB,66)</f>
        <v>20635425</v>
      </c>
      <c r="I13" s="165">
        <f>VLOOKUP($B13,'Data shares'!$C:$FB,67)</f>
        <v>74563125</v>
      </c>
      <c r="J13" s="81">
        <f t="shared" si="4"/>
        <v>-72.324892498805539</v>
      </c>
      <c r="K13" s="5">
        <f>VLOOKUP($B13,'Data Vlaue (Cr)'!$C:$FB,99)</f>
        <v>5137</v>
      </c>
      <c r="L13" s="81">
        <f>VLOOKUP(B13,'OI(Value)'!$A$7:$C$226,3,0)</f>
        <v>39</v>
      </c>
      <c r="M13" s="33">
        <f t="shared" si="0"/>
        <v>0.75919797547206547</v>
      </c>
      <c r="N13" s="5">
        <f>VLOOKUP($B13,'Data Vlaue (Cr)'!$C:$FB,67)</f>
        <v>2996</v>
      </c>
      <c r="O13" s="5">
        <f>VLOOKUP($B13,'Data Vlaue (Cr)'!$C:$FB,68)</f>
        <v>10827</v>
      </c>
      <c r="P13" s="5">
        <f t="shared" si="1"/>
        <v>-261.38184245660881</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Others</v>
      </c>
      <c r="B14" s="79" t="str">
        <f>'Data shares'!C9</f>
        <v>ADANIPOWER</v>
      </c>
      <c r="C14" s="4">
        <f>VLOOKUP($B14,'Data shares'!$C:$FB,7)</f>
        <v>172.33</v>
      </c>
      <c r="D14" s="82">
        <f>VLOOKUP($B14,'Data shares'!$C:$FB,98)</f>
        <v>75196100</v>
      </c>
      <c r="E14" s="165">
        <f>VLOOKUP(B14,'Snapshot (Volume)'!$A$7:$G$168,7,0)</f>
        <v>72618800</v>
      </c>
      <c r="F14" s="165">
        <f t="shared" si="2"/>
        <v>2577300</v>
      </c>
      <c r="G14" s="166">
        <f t="shared" si="3"/>
        <v>3.5490809542432541E-2</v>
      </c>
      <c r="H14" s="165">
        <f>VLOOKUP($B14,'Data shares'!$C:$FB,66)</f>
        <v>52674900</v>
      </c>
      <c r="I14" s="165">
        <f>VLOOKUP($B14,'Data shares'!$C:$FB,67)</f>
        <v>101473200</v>
      </c>
      <c r="J14" s="81">
        <f t="shared" si="4"/>
        <v>-48.08984047019311</v>
      </c>
      <c r="K14" s="5">
        <f>VLOOKUP($B14,'Data Vlaue (Cr)'!$C:$FB,99)</f>
        <v>1305</v>
      </c>
      <c r="L14" s="81">
        <f>VLOOKUP(B14,'OI(Value)'!$A$7:$C$226,3,0)</f>
        <v>45</v>
      </c>
      <c r="M14" s="33">
        <f t="shared" si="0"/>
        <v>3.4482758620689653</v>
      </c>
      <c r="N14" s="5">
        <f>VLOOKUP($B14,'Data Vlaue (Cr)'!$C:$FB,67)</f>
        <v>914</v>
      </c>
      <c r="O14" s="5">
        <f>VLOOKUP($B14,'Data Vlaue (Cr)'!$C:$FB,68)</f>
        <v>1761</v>
      </c>
      <c r="P14" s="5">
        <f t="shared" si="1"/>
        <v>-92.669584245076592</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5370.5</v>
      </c>
      <c r="D15" s="82">
        <f>VLOOKUP($B15,'Data shares'!$C:$FB,98)</f>
        <v>1438375</v>
      </c>
      <c r="E15" s="165">
        <f>VLOOKUP(B15,'Snapshot (Volume)'!$A$7:$G$168,7,0)</f>
        <v>1430125</v>
      </c>
      <c r="F15" s="165">
        <f t="shared" si="2"/>
        <v>8250</v>
      </c>
      <c r="G15" s="166">
        <f t="shared" si="3"/>
        <v>5.7687265099204618E-3</v>
      </c>
      <c r="H15" s="165">
        <f>VLOOKUP($B15,'Data shares'!$C:$FB,66)</f>
        <v>700625</v>
      </c>
      <c r="I15" s="165">
        <f>VLOOKUP($B15,'Data shares'!$C:$FB,67)</f>
        <v>714375</v>
      </c>
      <c r="J15" s="81">
        <f t="shared" si="4"/>
        <v>-1.9247594050743655</v>
      </c>
      <c r="K15" s="5">
        <f>VLOOKUP($B15,'Data Vlaue (Cr)'!$C:$FB,99)</f>
        <v>777</v>
      </c>
      <c r="L15" s="81">
        <f>VLOOKUP(B15,'OI(Value)'!$A$7:$C$226,3,0)</f>
        <v>4</v>
      </c>
      <c r="M15" s="33">
        <f t="shared" si="0"/>
        <v>0.51480051480051481</v>
      </c>
      <c r="N15" s="5">
        <f>VLOOKUP($B15,'Data Vlaue (Cr)'!$C:$FB,67)</f>
        <v>378</v>
      </c>
      <c r="O15" s="5">
        <f>VLOOKUP($B15,'Data Vlaue (Cr)'!$C:$FB,68)</f>
        <v>386</v>
      </c>
      <c r="P15" s="5">
        <f t="shared" si="1"/>
        <v>-2.1164021164021163</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6888.5</v>
      </c>
      <c r="D16" s="82">
        <f>VLOOKUP($B16,'Data shares'!$C:$FB,98)</f>
        <v>2045400</v>
      </c>
      <c r="E16" s="165">
        <f>VLOOKUP(B16,'Snapshot (Volume)'!$A$7:$G$168,7,0)</f>
        <v>1860100</v>
      </c>
      <c r="F16" s="165">
        <f t="shared" si="2"/>
        <v>185300</v>
      </c>
      <c r="G16" s="166">
        <f t="shared" si="3"/>
        <v>9.9618300091392942E-2</v>
      </c>
      <c r="H16" s="165">
        <f>VLOOKUP($B16,'Data shares'!$C:$FB,66)</f>
        <v>2010900</v>
      </c>
      <c r="I16" s="165">
        <f>VLOOKUP($B16,'Data shares'!$C:$FB,67)</f>
        <v>3132800</v>
      </c>
      <c r="J16" s="81">
        <f t="shared" si="4"/>
        <v>-35.811414708886616</v>
      </c>
      <c r="K16" s="5">
        <f>VLOOKUP($B16,'Data Vlaue (Cr)'!$C:$FB,99)</f>
        <v>1411</v>
      </c>
      <c r="L16" s="81">
        <f>VLOOKUP(B16,'OI(Value)'!$A$7:$C$226,3,0)</f>
        <v>128</v>
      </c>
      <c r="M16" s="33">
        <f t="shared" si="0"/>
        <v>9.0715804394046771</v>
      </c>
      <c r="N16" s="5">
        <f>VLOOKUP($B16,'Data Vlaue (Cr)'!$C:$FB,67)</f>
        <v>1387</v>
      </c>
      <c r="O16" s="5">
        <f>VLOOKUP($B16,'Data Vlaue (Cr)'!$C:$FB,68)</f>
        <v>2161</v>
      </c>
      <c r="P16" s="5">
        <f t="shared" si="1"/>
        <v>-55.803893294881036</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434.05</v>
      </c>
      <c r="D17" s="82">
        <f>VLOOKUP($B17,'Data shares'!$C:$FB,98)</f>
        <v>80358600</v>
      </c>
      <c r="E17" s="165">
        <f>VLOOKUP(B17,'Snapshot (Volume)'!$A$7:$G$168,7,0)</f>
        <v>79580550</v>
      </c>
      <c r="F17" s="165">
        <f t="shared" si="2"/>
        <v>778050</v>
      </c>
      <c r="G17" s="166">
        <f t="shared" si="3"/>
        <v>9.7768864377036843E-3</v>
      </c>
      <c r="H17" s="165">
        <f>VLOOKUP($B17,'Data shares'!$C:$FB,66)</f>
        <v>27344100</v>
      </c>
      <c r="I17" s="165">
        <f>VLOOKUP($B17,'Data shares'!$C:$FB,67)</f>
        <v>53405100</v>
      </c>
      <c r="J17" s="81">
        <f t="shared" si="4"/>
        <v>-48.798710235539303</v>
      </c>
      <c r="K17" s="5">
        <f>VLOOKUP($B17,'Data Vlaue (Cr)'!$C:$FB,99)</f>
        <v>3492</v>
      </c>
      <c r="L17" s="81">
        <f>VLOOKUP(B17,'OI(Value)'!$A$7:$C$226,3,0)</f>
        <v>34</v>
      </c>
      <c r="M17" s="33">
        <f t="shared" si="0"/>
        <v>0.97365406643757157</v>
      </c>
      <c r="N17" s="5">
        <f>VLOOKUP($B17,'Data Vlaue (Cr)'!$C:$FB,67)</f>
        <v>1188</v>
      </c>
      <c r="O17" s="5">
        <f>VLOOKUP($B17,'Data Vlaue (Cr)'!$C:$FB,68)</f>
        <v>2320</v>
      </c>
      <c r="P17" s="5">
        <f t="shared" si="1"/>
        <v>-95.28619528619528</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281.8</v>
      </c>
      <c r="D18" s="82">
        <f>VLOOKUP($B18,'Data shares'!$C:$FB,98)</f>
        <v>48937500</v>
      </c>
      <c r="E18" s="165">
        <f>VLOOKUP(B18,'Snapshot (Volume)'!$A$7:$G$168,7,0)</f>
        <v>42497500</v>
      </c>
      <c r="F18" s="165">
        <f t="shared" si="2"/>
        <v>6440000</v>
      </c>
      <c r="G18" s="166">
        <f t="shared" si="3"/>
        <v>0.15153832578386964</v>
      </c>
      <c r="H18" s="165">
        <f>VLOOKUP($B18,'Data shares'!$C:$FB,66)</f>
        <v>109022500</v>
      </c>
      <c r="I18" s="165">
        <f>VLOOKUP($B18,'Data shares'!$C:$FB,67)</f>
        <v>67522500</v>
      </c>
      <c r="J18" s="81">
        <f t="shared" si="4"/>
        <v>61.460994483320377</v>
      </c>
      <c r="K18" s="5">
        <f>VLOOKUP($B18,'Data Vlaue (Cr)'!$C:$FB,99)</f>
        <v>1351</v>
      </c>
      <c r="L18" s="81">
        <f>VLOOKUP(B18,'OI(Value)'!$A$7:$C$226,3,0)</f>
        <v>178</v>
      </c>
      <c r="M18" s="33">
        <f t="shared" si="0"/>
        <v>13.175425610658772</v>
      </c>
      <c r="N18" s="5">
        <f>VLOOKUP($B18,'Data Vlaue (Cr)'!$C:$FB,67)</f>
        <v>3010</v>
      </c>
      <c r="O18" s="5">
        <f>VLOOKUP($B18,'Data Vlaue (Cr)'!$C:$FB,68)</f>
        <v>1864</v>
      </c>
      <c r="P18" s="5">
        <f t="shared" si="1"/>
        <v>38.073089700996675</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2040.3</v>
      </c>
      <c r="D19" s="82">
        <f>VLOOKUP($B19,'Data shares'!$C:$FB,98)</f>
        <v>6423550</v>
      </c>
      <c r="E19" s="165">
        <f>VLOOKUP(B19,'Snapshot (Volume)'!$A$7:$G$168,7,0)</f>
        <v>6319950</v>
      </c>
      <c r="F19" s="165">
        <f t="shared" si="2"/>
        <v>103600</v>
      </c>
      <c r="G19" s="166">
        <f t="shared" si="3"/>
        <v>1.6392534751066067E-2</v>
      </c>
      <c r="H19" s="165">
        <f>VLOOKUP($B19,'Data shares'!$C:$FB,66)</f>
        <v>1920800</v>
      </c>
      <c r="I19" s="165">
        <f>VLOOKUP($B19,'Data shares'!$C:$FB,67)</f>
        <v>4189500</v>
      </c>
      <c r="J19" s="81">
        <f t="shared" si="4"/>
        <v>-54.152046783625728</v>
      </c>
      <c r="K19" s="5">
        <f>VLOOKUP($B19,'Data Vlaue (Cr)'!$C:$FB,99)</f>
        <v>1316</v>
      </c>
      <c r="L19" s="81">
        <f>VLOOKUP(B19,'OI(Value)'!$A$7:$C$226,3,0)</f>
        <v>21</v>
      </c>
      <c r="M19" s="33">
        <f t="shared" si="0"/>
        <v>1.5957446808510638</v>
      </c>
      <c r="N19" s="5">
        <f>VLOOKUP($B19,'Data Vlaue (Cr)'!$C:$FB,67)</f>
        <v>393</v>
      </c>
      <c r="O19" s="5">
        <f>VLOOKUP($B19,'Data Vlaue (Cr)'!$C:$FB,68)</f>
        <v>858</v>
      </c>
      <c r="P19" s="5">
        <f t="shared" si="1"/>
        <v>-118.32061068702291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7481.5</v>
      </c>
      <c r="D20" s="82">
        <f>VLOOKUP($B20,'Data shares'!$C:$FB,98)</f>
        <v>3852625</v>
      </c>
      <c r="E20" s="165">
        <f>VLOOKUP(B20,'Snapshot (Volume)'!$A$7:$G$168,7,0)</f>
        <v>3855500</v>
      </c>
      <c r="F20" s="165">
        <f t="shared" si="2"/>
        <v>-2875</v>
      </c>
      <c r="G20" s="166">
        <f t="shared" si="3"/>
        <v>-7.4568797821294259E-4</v>
      </c>
      <c r="H20" s="165">
        <f>VLOOKUP($B20,'Data shares'!$C:$FB,66)</f>
        <v>3120250</v>
      </c>
      <c r="I20" s="165">
        <f>VLOOKUP($B20,'Data shares'!$C:$FB,67)</f>
        <v>3237125</v>
      </c>
      <c r="J20" s="81">
        <f t="shared" si="4"/>
        <v>-3.6104568096690737</v>
      </c>
      <c r="K20" s="5">
        <f>VLOOKUP($B20,'Data Vlaue (Cr)'!$C:$FB,99)</f>
        <v>2888</v>
      </c>
      <c r="L20" s="81">
        <f>VLOOKUP(B20,'OI(Value)'!$A$7:$C$226,3,0)</f>
        <v>-2</v>
      </c>
      <c r="M20" s="33">
        <f t="shared" si="0"/>
        <v>-6.9252077562326875E-2</v>
      </c>
      <c r="N20" s="5">
        <f>VLOOKUP($B20,'Data Vlaue (Cr)'!$C:$FB,67)</f>
        <v>2339</v>
      </c>
      <c r="O20" s="5">
        <f>VLOOKUP($B20,'Data Vlaue (Cr)'!$C:$FB,68)</f>
        <v>2426</v>
      </c>
      <c r="P20" s="5">
        <f t="shared" si="1"/>
        <v>-3.7195382642154766</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170.38</v>
      </c>
      <c r="D21" s="82">
        <f>VLOOKUP($B21,'Data shares'!$C:$FB,98)</f>
        <v>290605000</v>
      </c>
      <c r="E21" s="165">
        <f>VLOOKUP(B21,'Snapshot (Volume)'!$A$7:$G$168,7,0)</f>
        <v>287205000</v>
      </c>
      <c r="F21" s="165">
        <f t="shared" si="2"/>
        <v>3400000</v>
      </c>
      <c r="G21" s="166">
        <f t="shared" si="3"/>
        <v>1.1838234014031789E-2</v>
      </c>
      <c r="H21" s="165">
        <f>VLOOKUP($B21,'Data shares'!$C:$FB,66)</f>
        <v>250905000</v>
      </c>
      <c r="I21" s="165">
        <f>VLOOKUP($B21,'Data shares'!$C:$FB,67)</f>
        <v>599795000</v>
      </c>
      <c r="J21" s="81">
        <f t="shared" si="4"/>
        <v>-58.168207470885889</v>
      </c>
      <c r="K21" s="5">
        <f>VLOOKUP($B21,'Data Vlaue (Cr)'!$C:$FB,99)</f>
        <v>4956</v>
      </c>
      <c r="L21" s="81">
        <f>VLOOKUP(B21,'OI(Value)'!$A$7:$C$226,3,0)</f>
        <v>58</v>
      </c>
      <c r="M21" s="33">
        <f t="shared" si="0"/>
        <v>1.1702986279257466</v>
      </c>
      <c r="N21" s="5">
        <f>VLOOKUP($B21,'Data Vlaue (Cr)'!$C:$FB,67)</f>
        <v>4279</v>
      </c>
      <c r="O21" s="5">
        <f>VLOOKUP($B21,'Data Vlaue (Cr)'!$C:$FB,68)</f>
        <v>10229</v>
      </c>
      <c r="P21" s="5">
        <f t="shared" si="1"/>
        <v>-139.05118018228558</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2269.6</v>
      </c>
      <c r="D22" s="82">
        <f>VLOOKUP($B22,'Data shares'!$C:$FB,98)</f>
        <v>21999000</v>
      </c>
      <c r="E22" s="165">
        <f>VLOOKUP(B22,'Snapshot (Volume)'!$A$7:$G$168,7,0)</f>
        <v>21731750</v>
      </c>
      <c r="F22" s="165">
        <f t="shared" si="2"/>
        <v>267250</v>
      </c>
      <c r="G22" s="166">
        <f t="shared" si="3"/>
        <v>1.2297675060683102E-2</v>
      </c>
      <c r="H22" s="165">
        <f>VLOOKUP($B22,'Data shares'!$C:$FB,66)</f>
        <v>6970250</v>
      </c>
      <c r="I22" s="165">
        <f>VLOOKUP($B22,'Data shares'!$C:$FB,67)</f>
        <v>18788750</v>
      </c>
      <c r="J22" s="81">
        <f t="shared" si="4"/>
        <v>-62.902002528108582</v>
      </c>
      <c r="K22" s="5">
        <f>VLOOKUP($B22,'Data Vlaue (Cr)'!$C:$FB,99)</f>
        <v>5005</v>
      </c>
      <c r="L22" s="81">
        <f>VLOOKUP(B22,'OI(Value)'!$A$7:$C$226,3,0)</f>
        <v>61</v>
      </c>
      <c r="M22" s="33">
        <f t="shared" si="0"/>
        <v>1.2187812187812188</v>
      </c>
      <c r="N22" s="5">
        <f>VLOOKUP($B22,'Data Vlaue (Cr)'!$C:$FB,67)</f>
        <v>1586</v>
      </c>
      <c r="O22" s="5">
        <f>VLOOKUP($B22,'Data Vlaue (Cr)'!$C:$FB,68)</f>
        <v>4274</v>
      </c>
      <c r="P22" s="5">
        <f t="shared" si="1"/>
        <v>-169.48297604035309</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1563.7</v>
      </c>
      <c r="D23" s="82">
        <f>VLOOKUP($B23,'Data shares'!$C:$FB,98)</f>
        <v>12245525</v>
      </c>
      <c r="E23" s="165">
        <f>VLOOKUP(B23,'Snapshot (Volume)'!$A$7:$G$168,7,0)</f>
        <v>12180075</v>
      </c>
      <c r="F23" s="165">
        <f t="shared" si="2"/>
        <v>65450</v>
      </c>
      <c r="G23" s="166">
        <f t="shared" si="3"/>
        <v>5.3735301301510866E-3</v>
      </c>
      <c r="H23" s="165">
        <f>VLOOKUP($B23,'Data shares'!$C:$FB,66)</f>
        <v>6496550</v>
      </c>
      <c r="I23" s="165">
        <f>VLOOKUP($B23,'Data shares'!$C:$FB,67)</f>
        <v>10162600</v>
      </c>
      <c r="J23" s="81">
        <f>(H23-I23)/I23*100</f>
        <v>-36.073937771830046</v>
      </c>
      <c r="K23" s="5">
        <f>VLOOKUP($B23,'Data Vlaue (Cr)'!$C:$FB,99)</f>
        <v>1908</v>
      </c>
      <c r="L23" s="81">
        <f>VLOOKUP(B23,'OI(Value)'!$A$7:$C$226,3,0)</f>
        <v>10</v>
      </c>
      <c r="M23" s="33">
        <f t="shared" si="0"/>
        <v>0.52410901467505244</v>
      </c>
      <c r="N23" s="5">
        <f>VLOOKUP($B23,'Data Vlaue (Cr)'!$C:$FB,67)</f>
        <v>1012</v>
      </c>
      <c r="O23" s="5">
        <f>VLOOKUP($B23,'Data Vlaue (Cr)'!$C:$FB,68)</f>
        <v>1583</v>
      </c>
      <c r="P23" s="5">
        <f t="shared" si="1"/>
        <v>-56.422924901185766</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Banking</v>
      </c>
      <c r="B24" s="79" t="str">
        <f>'Data shares'!C19</f>
        <v>AUBANK</v>
      </c>
      <c r="C24" s="79">
        <f>VLOOKUP($B24,'Data shares'!$C:$FB,7)</f>
        <v>963</v>
      </c>
      <c r="D24" s="80">
        <f>VLOOKUP($B24,'Data shares'!$C:$FB,98)</f>
        <v>35446000</v>
      </c>
      <c r="E24" s="165">
        <f>VLOOKUP(B24,'Snapshot (Volume)'!$A$7:$G$168,7,0)</f>
        <v>34799000</v>
      </c>
      <c r="F24" s="165">
        <f t="shared" ref="F24:F36" si="5">D24-E24</f>
        <v>647000</v>
      </c>
      <c r="G24" s="166">
        <f t="shared" ref="G24:G36" si="6">F24/E24</f>
        <v>1.8592488289893388E-2</v>
      </c>
      <c r="H24" s="165">
        <f>VLOOKUP($B24,'Data shares'!$C:$FB,66)</f>
        <v>13501000</v>
      </c>
      <c r="I24" s="165">
        <f>VLOOKUP($B24,'Data shares'!$C:$FB,67)</f>
        <v>30040000</v>
      </c>
      <c r="J24" s="81">
        <f t="shared" ref="J24:J36" si="7">(H24-I24)/I24*100</f>
        <v>-55.056591211717709</v>
      </c>
      <c r="K24" s="81">
        <f>VLOOKUP($B24,'Data Vlaue (Cr)'!$C:$FB,99)</f>
        <v>3419</v>
      </c>
      <c r="L24" s="81">
        <f>VLOOKUP(B24,'OI(Value)'!$A$7:$C$226,3,0)</f>
        <v>62</v>
      </c>
      <c r="M24" s="81">
        <f t="shared" si="0"/>
        <v>1.8133957297455396</v>
      </c>
      <c r="N24" s="81">
        <f>VLOOKUP($B24,'Data Vlaue (Cr)'!$C:$FB,67)</f>
        <v>1302</v>
      </c>
      <c r="O24" s="81">
        <f>VLOOKUP($B24,'Data Vlaue (Cr)'!$C:$FB,68)</f>
        <v>2898</v>
      </c>
      <c r="P24" s="81">
        <f t="shared" ref="P24:P36" si="8">(N24-O24)/N24*100</f>
        <v>-122.58064516129032</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Pharma</v>
      </c>
      <c r="B25" s="79" t="str">
        <f>'Data shares'!C20</f>
        <v>AUROPHARMA</v>
      </c>
      <c r="C25" s="4">
        <f>VLOOKUP($B25,'Data shares'!$C:$FB,7)</f>
        <v>1340.4</v>
      </c>
      <c r="D25" s="82">
        <f>VLOOKUP($B25,'Data shares'!$C:$FB,98)</f>
        <v>27310800</v>
      </c>
      <c r="E25" s="165">
        <f>VLOOKUP(B25,'Snapshot (Volume)'!$A$7:$G$168,7,0)</f>
        <v>27361950</v>
      </c>
      <c r="F25" s="165">
        <f t="shared" si="5"/>
        <v>-51150</v>
      </c>
      <c r="G25" s="166">
        <f t="shared" si="6"/>
        <v>-1.8693843092323463E-3</v>
      </c>
      <c r="H25" s="165">
        <f>VLOOKUP($B25,'Data shares'!$C:$FB,66)</f>
        <v>5029750</v>
      </c>
      <c r="I25" s="165">
        <f>VLOOKUP($B25,'Data shares'!$C:$FB,67)</f>
        <v>10244300</v>
      </c>
      <c r="J25" s="81">
        <f t="shared" si="7"/>
        <v>-50.901964995168051</v>
      </c>
      <c r="K25" s="5">
        <f>VLOOKUP($B25,'Data Vlaue (Cr)'!$C:$FB,99)</f>
        <v>3675</v>
      </c>
      <c r="L25" s="81">
        <f>VLOOKUP(B25,'OI(Value)'!$A$7:$C$226,3,0)</f>
        <v>-7</v>
      </c>
      <c r="M25" s="33">
        <f t="shared" si="0"/>
        <v>-0.19047619047619047</v>
      </c>
      <c r="N25" s="5">
        <f>VLOOKUP($B25,'Data Vlaue (Cr)'!$C:$FB,67)</f>
        <v>677</v>
      </c>
      <c r="O25" s="5">
        <f>VLOOKUP($B25,'Data Vlaue (Cr)'!$C:$FB,68)</f>
        <v>1379</v>
      </c>
      <c r="P25" s="5">
        <f t="shared" si="8"/>
        <v>-103.6927621861152</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Banking</v>
      </c>
      <c r="B26" s="79" t="str">
        <f>'Data shares'!C21</f>
        <v>AXISBANK</v>
      </c>
      <c r="C26" s="4">
        <f>VLOOKUP($B26,'Data shares'!$C:$FB,7)</f>
        <v>1318.5</v>
      </c>
      <c r="D26" s="82">
        <f>VLOOKUP($B26,'Data shares'!$C:$FB,98)</f>
        <v>92249375</v>
      </c>
      <c r="E26" s="165">
        <f>VLOOKUP(B26,'Snapshot (Volume)'!$A$7:$G$168,7,0)</f>
        <v>91868750</v>
      </c>
      <c r="F26" s="165">
        <f t="shared" si="5"/>
        <v>380625</v>
      </c>
      <c r="G26" s="166">
        <f t="shared" si="6"/>
        <v>4.1431389890468741E-3</v>
      </c>
      <c r="H26" s="165">
        <f>VLOOKUP($B26,'Data shares'!$C:$FB,66)</f>
        <v>37775000</v>
      </c>
      <c r="I26" s="165">
        <f>VLOOKUP($B26,'Data shares'!$C:$FB,67)</f>
        <v>58037500</v>
      </c>
      <c r="J26" s="81">
        <f t="shared" si="7"/>
        <v>-34.912771914710319</v>
      </c>
      <c r="K26" s="5">
        <f>VLOOKUP($B26,'Data Vlaue (Cr)'!$C:$FB,99)</f>
        <v>12206</v>
      </c>
      <c r="L26" s="81">
        <f>VLOOKUP(B26,'OI(Value)'!$A$7:$C$226,3,0)</f>
        <v>50</v>
      </c>
      <c r="M26" s="33">
        <f t="shared" si="0"/>
        <v>0.40963460593150908</v>
      </c>
      <c r="N26" s="5">
        <f>VLOOKUP($B26,'Data Vlaue (Cr)'!$C:$FB,67)</f>
        <v>4998</v>
      </c>
      <c r="O26" s="5">
        <f>VLOOKUP($B26,'Data Vlaue (Cr)'!$C:$FB,68)</f>
        <v>7680</v>
      </c>
      <c r="P26" s="5">
        <f t="shared" si="8"/>
        <v>-53.661464585834331</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Automobile</v>
      </c>
      <c r="B27" s="79" t="str">
        <f>'Data shares'!C22</f>
        <v>BAJAJ-AUTO</v>
      </c>
      <c r="C27" s="4">
        <f>VLOOKUP($B27,'Data shares'!$C:$FB,7)</f>
        <v>9517</v>
      </c>
      <c r="D27" s="82">
        <f>VLOOKUP($B27,'Data shares'!$C:$FB,98)</f>
        <v>4895925</v>
      </c>
      <c r="E27" s="165">
        <f>VLOOKUP(B27,'Snapshot (Volume)'!$A$7:$G$168,7,0)</f>
        <v>4637550</v>
      </c>
      <c r="F27" s="165">
        <f t="shared" si="5"/>
        <v>258375</v>
      </c>
      <c r="G27" s="166">
        <f t="shared" si="6"/>
        <v>5.571368502765469E-2</v>
      </c>
      <c r="H27" s="165">
        <f>VLOOKUP($B27,'Data shares'!$C:$FB,66)</f>
        <v>6234150</v>
      </c>
      <c r="I27" s="165">
        <f>VLOOKUP($B27,'Data shares'!$C:$FB,67)</f>
        <v>2837925</v>
      </c>
      <c r="J27" s="81">
        <f t="shared" si="7"/>
        <v>119.67282433468114</v>
      </c>
      <c r="K27" s="5">
        <f>VLOOKUP($B27,'Data Vlaue (Cr)'!$C:$FB,99)</f>
        <v>4659</v>
      </c>
      <c r="L27" s="81">
        <f>VLOOKUP(B27,'OI(Value)'!$A$7:$C$226,3,0)</f>
        <v>246</v>
      </c>
      <c r="M27" s="33">
        <f t="shared" si="0"/>
        <v>5.2801030264005151</v>
      </c>
      <c r="N27" s="5">
        <f>VLOOKUP($B27,'Data Vlaue (Cr)'!$C:$FB,67)</f>
        <v>5933</v>
      </c>
      <c r="O27" s="5">
        <f>VLOOKUP($B27,'Data Vlaue (Cr)'!$C:$FB,68)</f>
        <v>2701</v>
      </c>
      <c r="P27" s="5">
        <f t="shared" si="8"/>
        <v>54.474970503960897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BAJAJFINSV</v>
      </c>
      <c r="C28" s="4">
        <f>VLOOKUP($B28,'Data shares'!$C:$FB,7)</f>
        <v>1767.7</v>
      </c>
      <c r="D28" s="82">
        <f>VLOOKUP($B28,'Data shares'!$C:$FB,98)</f>
        <v>18158000</v>
      </c>
      <c r="E28" s="165">
        <f>VLOOKUP(B28,'Snapshot (Volume)'!$A$7:$G$168,7,0)</f>
        <v>17607000</v>
      </c>
      <c r="F28" s="165">
        <f t="shared" si="5"/>
        <v>551000</v>
      </c>
      <c r="G28" s="166">
        <f t="shared" si="6"/>
        <v>3.1294371556767196E-2</v>
      </c>
      <c r="H28" s="165">
        <f>VLOOKUP($B28,'Data shares'!$C:$FB,66)</f>
        <v>4622250</v>
      </c>
      <c r="I28" s="165">
        <f>VLOOKUP($B28,'Data shares'!$C:$FB,67)</f>
        <v>9232000</v>
      </c>
      <c r="J28" s="81">
        <f t="shared" si="7"/>
        <v>-49.932300693240897</v>
      </c>
      <c r="K28" s="5">
        <f>VLOOKUP($B28,'Data Vlaue (Cr)'!$C:$FB,99)</f>
        <v>3220</v>
      </c>
      <c r="L28" s="81">
        <f>VLOOKUP(B28,'OI(Value)'!$A$7:$C$226,3,0)</f>
        <v>98</v>
      </c>
      <c r="M28" s="33">
        <f t="shared" si="0"/>
        <v>3.0434782608695654</v>
      </c>
      <c r="N28" s="5">
        <f>VLOOKUP($B28,'Data Vlaue (Cr)'!$C:$FB,67)</f>
        <v>820</v>
      </c>
      <c r="O28" s="5">
        <f>VLOOKUP($B28,'Data Vlaue (Cr)'!$C:$FB,68)</f>
        <v>1637</v>
      </c>
      <c r="P28" s="5">
        <f t="shared" si="8"/>
        <v>-99.634146341463421</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BAJAJHLDNG</v>
      </c>
      <c r="C29" s="4">
        <f>VLOOKUP($B29,'Data shares'!$C:$FB,7)</f>
        <v>9912.5</v>
      </c>
      <c r="D29" s="82">
        <f>VLOOKUP($B29,'Data shares'!$C:$FB,98)</f>
        <v>368800</v>
      </c>
      <c r="E29" s="165">
        <f>VLOOKUP(B29,'Snapshot (Volume)'!$A$7:$G$168,7,0)</f>
        <v>355200</v>
      </c>
      <c r="F29" s="165">
        <f t="shared" si="5"/>
        <v>13600</v>
      </c>
      <c r="G29" s="166">
        <f t="shared" si="6"/>
        <v>3.8288288288288286E-2</v>
      </c>
      <c r="H29" s="165">
        <f>VLOOKUP($B29,'Data shares'!$C:$FB,66)</f>
        <v>73200</v>
      </c>
      <c r="I29" s="165">
        <f>VLOOKUP($B29,'Data shares'!$C:$FB,67)</f>
        <v>154900</v>
      </c>
      <c r="J29" s="81">
        <f t="shared" si="7"/>
        <v>-52.743705616526796</v>
      </c>
      <c r="K29" s="5">
        <f>VLOOKUP($B29,'Data Vlaue (Cr)'!$C:$FB,99)</f>
        <v>366</v>
      </c>
      <c r="L29" s="81">
        <f>VLOOKUP(B29,'OI(Value)'!$A$7:$C$226,3,0)</f>
        <v>14</v>
      </c>
      <c r="M29" s="33">
        <f t="shared" si="0"/>
        <v>3.8251366120218582</v>
      </c>
      <c r="N29" s="5">
        <f>VLOOKUP($B29,'Data Vlaue (Cr)'!$C:$FB,67)</f>
        <v>73</v>
      </c>
      <c r="O29" s="5">
        <f>VLOOKUP($B29,'Data Vlaue (Cr)'!$C:$FB,68)</f>
        <v>154</v>
      </c>
      <c r="P29" s="5">
        <f t="shared" si="8"/>
        <v>-110.95890410958904</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903.25</v>
      </c>
      <c r="D30" s="82">
        <f>VLOOKUP($B30,'Data shares'!$C:$FB,98)</f>
        <v>104595000</v>
      </c>
      <c r="E30" s="165">
        <f>VLOOKUP(B30,'Snapshot (Volume)'!$A$7:$G$168,7,0)</f>
        <v>102314250</v>
      </c>
      <c r="F30" s="165">
        <f t="shared" si="5"/>
        <v>2280750</v>
      </c>
      <c r="G30" s="166">
        <f t="shared" si="6"/>
        <v>2.2291616270460859E-2</v>
      </c>
      <c r="H30" s="165">
        <f>VLOOKUP($B30,'Data shares'!$C:$FB,66)</f>
        <v>36803250</v>
      </c>
      <c r="I30" s="165">
        <f>VLOOKUP($B30,'Data shares'!$C:$FB,67)</f>
        <v>74080500</v>
      </c>
      <c r="J30" s="81">
        <f t="shared" si="7"/>
        <v>-50.319922246745094</v>
      </c>
      <c r="K30" s="5">
        <f>VLOOKUP($B30,'Data Vlaue (Cr)'!$C:$FB,99)</f>
        <v>9458</v>
      </c>
      <c r="L30" s="81">
        <f>VLOOKUP(B30,'OI(Value)'!$A$7:$C$226,3,0)</f>
        <v>206</v>
      </c>
      <c r="M30" s="33">
        <f t="shared" si="0"/>
        <v>2.1780503277648555</v>
      </c>
      <c r="N30" s="5">
        <f>VLOOKUP($B30,'Data Vlaue (Cr)'!$C:$FB,67)</f>
        <v>3328</v>
      </c>
      <c r="O30" s="5">
        <f>VLOOKUP($B30,'Data Vlaue (Cr)'!$C:$FB,68)</f>
        <v>6699</v>
      </c>
      <c r="P30" s="5">
        <f t="shared" si="8"/>
        <v>-101.29206730769231</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165.94</v>
      </c>
      <c r="D31" s="82">
        <f>VLOOKUP($B31,'Data shares'!$C:$FB,98)</f>
        <v>131428800</v>
      </c>
      <c r="E31" s="165">
        <f>VLOOKUP(B31,'Snapshot (Volume)'!$A$7:$G$168,7,0)</f>
        <v>128628000</v>
      </c>
      <c r="F31" s="165">
        <f t="shared" si="5"/>
        <v>2800800</v>
      </c>
      <c r="G31" s="166">
        <f t="shared" si="6"/>
        <v>2.1774419255527568E-2</v>
      </c>
      <c r="H31" s="165">
        <f>VLOOKUP($B31,'Data shares'!$C:$FB,66)</f>
        <v>53107200</v>
      </c>
      <c r="I31" s="165">
        <f>VLOOKUP($B31,'Data shares'!$C:$FB,67)</f>
        <v>106311600</v>
      </c>
      <c r="J31" s="81">
        <f t="shared" si="7"/>
        <v>-50.045714672716798</v>
      </c>
      <c r="K31" s="5">
        <f>VLOOKUP($B31,'Data Vlaue (Cr)'!$C:$FB,99)</f>
        <v>2186</v>
      </c>
      <c r="L31" s="81">
        <f>VLOOKUP(B31,'OI(Value)'!$A$7:$C$226,3,0)</f>
        <v>47</v>
      </c>
      <c r="M31" s="33">
        <f t="shared" si="0"/>
        <v>2.1500457456541628</v>
      </c>
      <c r="N31" s="5">
        <f>VLOOKUP($B31,'Data Vlaue (Cr)'!$C:$FB,67)</f>
        <v>883</v>
      </c>
      <c r="O31" s="5">
        <f>VLOOKUP($B31,'Data Vlaue (Cr)'!$C:$FB,68)</f>
        <v>1768</v>
      </c>
      <c r="P31" s="5">
        <f t="shared" si="8"/>
        <v>-100.22650056625142</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274.24</v>
      </c>
      <c r="D32" s="82">
        <f>VLOOKUP($B32,'Data shares'!$C:$FB,98)</f>
        <v>175508775</v>
      </c>
      <c r="E32" s="165">
        <f>VLOOKUP(B32,'Snapshot (Volume)'!$A$7:$G$168,7,0)</f>
        <v>170556750</v>
      </c>
      <c r="F32" s="165">
        <f t="shared" si="5"/>
        <v>4952025</v>
      </c>
      <c r="G32" s="166">
        <f t="shared" si="6"/>
        <v>2.9034470931229635E-2</v>
      </c>
      <c r="H32" s="165">
        <f>VLOOKUP($B32,'Data shares'!$C:$FB,66)</f>
        <v>79849575</v>
      </c>
      <c r="I32" s="165">
        <f>VLOOKUP($B32,'Data shares'!$C:$FB,67)</f>
        <v>127094175</v>
      </c>
      <c r="J32" s="81">
        <f t="shared" si="7"/>
        <v>-37.172907412947922</v>
      </c>
      <c r="K32" s="5">
        <f>VLOOKUP($B32,'Data Vlaue (Cr)'!$C:$FB,99)</f>
        <v>4817</v>
      </c>
      <c r="L32" s="81">
        <f>VLOOKUP(B32,'OI(Value)'!$A$7:$C$226,3,0)</f>
        <v>136</v>
      </c>
      <c r="M32" s="33">
        <f t="shared" si="0"/>
        <v>2.8233340253269668</v>
      </c>
      <c r="N32" s="5">
        <f>VLOOKUP($B32,'Data Vlaue (Cr)'!$C:$FB,67)</f>
        <v>2192</v>
      </c>
      <c r="O32" s="5">
        <f>VLOOKUP($B32,'Data Vlaue (Cr)'!$C:$FB,68)</f>
        <v>3488</v>
      </c>
      <c r="P32" s="5">
        <f t="shared" si="8"/>
        <v>-59.12408759124088</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144.29</v>
      </c>
      <c r="D33" s="82">
        <f>VLOOKUP($B33,'Data shares'!$C:$FB,98)</f>
        <v>96454800</v>
      </c>
      <c r="E33" s="165">
        <f>VLOOKUP(B33,'Snapshot (Volume)'!$A$7:$G$168,7,0)</f>
        <v>89403600</v>
      </c>
      <c r="F33" s="165">
        <f t="shared" si="5"/>
        <v>7051200</v>
      </c>
      <c r="G33" s="166">
        <f t="shared" si="6"/>
        <v>7.8869307276217063E-2</v>
      </c>
      <c r="H33" s="165">
        <f>VLOOKUP($B33,'Data shares'!$C:$FB,66)</f>
        <v>44746000</v>
      </c>
      <c r="I33" s="165">
        <f>VLOOKUP($B33,'Data shares'!$C:$FB,67)</f>
        <v>70902000</v>
      </c>
      <c r="J33" s="81">
        <f t="shared" si="7"/>
        <v>-36.890355702236889</v>
      </c>
      <c r="K33" s="5">
        <f>VLOOKUP($B33,'Data Vlaue (Cr)'!$C:$FB,99)</f>
        <v>1397</v>
      </c>
      <c r="L33" s="81">
        <f>VLOOKUP(B33,'OI(Value)'!$A$7:$C$226,3,0)</f>
        <v>102</v>
      </c>
      <c r="M33" s="33">
        <f t="shared" si="0"/>
        <v>7.3013600572655681</v>
      </c>
      <c r="N33" s="5">
        <f>VLOOKUP($B33,'Data Vlaue (Cr)'!$C:$FB,67)</f>
        <v>648</v>
      </c>
      <c r="O33" s="5">
        <f>VLOOKUP($B33,'Data Vlaue (Cr)'!$C:$FB,68)</f>
        <v>1027</v>
      </c>
      <c r="P33" s="5">
        <f t="shared" si="8"/>
        <v>-58.487654320987659</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54821.7</v>
      </c>
      <c r="D34" s="82">
        <f>VLOOKUP($B34,'Data shares'!$C:$FB,98)</f>
        <v>32350950</v>
      </c>
      <c r="E34" s="165">
        <f>VLOOKUP(B34,'Snapshot (Volume)'!$A$7:$G$168,7,0)</f>
        <v>30920280</v>
      </c>
      <c r="F34" s="165">
        <f t="shared" si="5"/>
        <v>1430670</v>
      </c>
      <c r="G34" s="166">
        <f t="shared" si="6"/>
        <v>4.6269632745887163E-2</v>
      </c>
      <c r="H34" s="165">
        <f>VLOOKUP($B34,'Data shares'!$C:$FB,66)</f>
        <v>65698980</v>
      </c>
      <c r="I34" s="165">
        <f>VLOOKUP($B34,'Data shares'!$C:$FB,67)</f>
        <v>87863460</v>
      </c>
      <c r="J34" s="81">
        <f t="shared" si="7"/>
        <v>-25.22604960014095</v>
      </c>
      <c r="K34" s="5">
        <f>VLOOKUP($B34,'Data Vlaue (Cr)'!$C:$FB,99)</f>
        <v>178189</v>
      </c>
      <c r="L34" s="81">
        <f>VLOOKUP(B34,'OI(Value)'!$A$7:$C$226,3,0)</f>
        <v>7880</v>
      </c>
      <c r="M34" s="33">
        <f t="shared" si="0"/>
        <v>4.422270735006089</v>
      </c>
      <c r="N34" s="5">
        <f>VLOOKUP($B34,'Data Vlaue (Cr)'!$C:$FB,67)</f>
        <v>361870</v>
      </c>
      <c r="O34" s="5">
        <f>VLOOKUP($B34,'Data Vlaue (Cr)'!$C:$FB,68)</f>
        <v>483952</v>
      </c>
      <c r="P34" s="5">
        <f t="shared" si="8"/>
        <v>-33.736424682897173</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1325.5</v>
      </c>
      <c r="D35" s="82">
        <f>VLOOKUP($B35,'Data shares'!$C:$FB,98)</f>
        <v>8701350</v>
      </c>
      <c r="E35" s="165">
        <f>VLOOKUP(B35,'Snapshot (Volume)'!$A$7:$G$168,7,0)</f>
        <v>8462300</v>
      </c>
      <c r="F35" s="165">
        <f t="shared" si="5"/>
        <v>239050</v>
      </c>
      <c r="G35" s="166">
        <f t="shared" si="6"/>
        <v>2.8248821242451816E-2</v>
      </c>
      <c r="H35" s="165">
        <f>VLOOKUP($B35,'Data shares'!$C:$FB,66)</f>
        <v>13499500</v>
      </c>
      <c r="I35" s="165">
        <f>VLOOKUP($B35,'Data shares'!$C:$FB,67)</f>
        <v>10643500</v>
      </c>
      <c r="J35" s="81">
        <f t="shared" si="7"/>
        <v>26.833278526800399</v>
      </c>
      <c r="K35" s="5">
        <f>VLOOKUP($B35,'Data Vlaue (Cr)'!$C:$FB,99)</f>
        <v>1154</v>
      </c>
      <c r="L35" s="81">
        <f>VLOOKUP(B35,'OI(Value)'!$A$7:$C$226,3,0)</f>
        <v>32</v>
      </c>
      <c r="M35" s="33">
        <f t="shared" si="0"/>
        <v>2.772963604852686</v>
      </c>
      <c r="N35" s="5">
        <f>VLOOKUP($B35,'Data Vlaue (Cr)'!$C:$FB,67)</f>
        <v>1791</v>
      </c>
      <c r="O35" s="5">
        <f>VLOOKUP($B35,'Data Vlaue (Cr)'!$C:$FB,68)</f>
        <v>1412</v>
      </c>
      <c r="P35" s="5">
        <f t="shared" si="8"/>
        <v>21.16136236739252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439.75</v>
      </c>
      <c r="D36" s="82">
        <f>VLOOKUP($B36,'Data shares'!$C:$FB,98)</f>
        <v>167494500</v>
      </c>
      <c r="E36" s="165">
        <f>VLOOKUP(B36,'Snapshot (Volume)'!$A$7:$G$168,7,0)</f>
        <v>164792700</v>
      </c>
      <c r="F36" s="165">
        <f t="shared" si="5"/>
        <v>2701800</v>
      </c>
      <c r="G36" s="166">
        <f t="shared" si="6"/>
        <v>1.6395143716924354E-2</v>
      </c>
      <c r="H36" s="165">
        <f>VLOOKUP($B36,'Data shares'!$C:$FB,66)</f>
        <v>134532825</v>
      </c>
      <c r="I36" s="165">
        <f>VLOOKUP($B36,'Data shares'!$C:$FB,67)</f>
        <v>112606350</v>
      </c>
      <c r="J36" s="81">
        <f t="shared" si="7"/>
        <v>19.471792665333705</v>
      </c>
      <c r="K36" s="5">
        <f>VLOOKUP($B36,'Data Vlaue (Cr)'!$C:$FB,99)</f>
        <v>7401</v>
      </c>
      <c r="L36" s="81">
        <f>VLOOKUP(B36,'OI(Value)'!$A$7:$C$226,3,0)</f>
        <v>119</v>
      </c>
      <c r="M36" s="33">
        <f t="shared" si="0"/>
        <v>1.6078908255641129</v>
      </c>
      <c r="N36" s="5">
        <f>VLOOKUP($B36,'Data Vlaue (Cr)'!$C:$FB,67)</f>
        <v>5944</v>
      </c>
      <c r="O36" s="5">
        <f>VLOOKUP($B36,'Data Vlaue (Cr)'!$C:$FB,68)</f>
        <v>4976</v>
      </c>
      <c r="P36" s="5">
        <f t="shared" si="8"/>
        <v>16.285329744279949</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1739.4</v>
      </c>
      <c r="D37" s="82">
        <f>VLOOKUP($B37,'Data shares'!$C:$FB,98)</f>
        <v>12773500</v>
      </c>
      <c r="E37" s="165">
        <f>VLOOKUP(B37,'Snapshot (Volume)'!$A$7:$G$168,7,0)</f>
        <v>12350500</v>
      </c>
      <c r="F37" s="165">
        <f t="shared" ref="F37:F43" si="9">D37-E37</f>
        <v>423000</v>
      </c>
      <c r="G37" s="166">
        <f t="shared" ref="G37:G43" si="10">F37/E37</f>
        <v>3.4249625521233958E-2</v>
      </c>
      <c r="H37" s="165">
        <f>VLOOKUP($B37,'Data shares'!$C:$FB,66)</f>
        <v>7449000</v>
      </c>
      <c r="I37" s="165">
        <f>VLOOKUP($B37,'Data shares'!$C:$FB,67)</f>
        <v>11968500</v>
      </c>
      <c r="J37" s="81">
        <f t="shared" ref="J37:J43" si="11">(H37-I37)/I37*100</f>
        <v>-37.761624263692191</v>
      </c>
      <c r="K37" s="5">
        <f>VLOOKUP($B37,'Data Vlaue (Cr)'!$C:$FB,99)</f>
        <v>2233</v>
      </c>
      <c r="L37" s="81">
        <f>VLOOKUP(B37,'OI(Value)'!$A$7:$C$226,3,0)</f>
        <v>74</v>
      </c>
      <c r="M37" s="33">
        <f t="shared" ref="M37:M65" si="12">L37/K37*100</f>
        <v>3.3139274518584867</v>
      </c>
      <c r="N37" s="5">
        <f>VLOOKUP($B37,'Data Vlaue (Cr)'!$C:$FB,67)</f>
        <v>1302</v>
      </c>
      <c r="O37" s="5">
        <f>VLOOKUP($B37,'Data Vlaue (Cr)'!$C:$FB,68)</f>
        <v>2092</v>
      </c>
      <c r="P37" s="5">
        <f t="shared" ref="P37:P43" si="13">(N37-O37)/N37*100</f>
        <v>-60.675883256528415</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1859.4</v>
      </c>
      <c r="D38" s="82">
        <f>VLOOKUP($B38,'Data shares'!$C:$FB,98)</f>
        <v>75458025</v>
      </c>
      <c r="E38" s="165">
        <f>VLOOKUP(B38,'Snapshot (Volume)'!$A$7:$G$168,7,0)</f>
        <v>75322175</v>
      </c>
      <c r="F38" s="165">
        <f t="shared" si="9"/>
        <v>135850</v>
      </c>
      <c r="G38" s="166">
        <f t="shared" si="10"/>
        <v>1.8035857302315021E-3</v>
      </c>
      <c r="H38" s="165">
        <f>VLOOKUP($B38,'Data shares'!$C:$FB,66)</f>
        <v>21024925</v>
      </c>
      <c r="I38" s="165">
        <f>VLOOKUP($B38,'Data shares'!$C:$FB,67)</f>
        <v>41332125</v>
      </c>
      <c r="J38" s="81">
        <f t="shared" si="11"/>
        <v>-49.131758892145037</v>
      </c>
      <c r="K38" s="5">
        <f>VLOOKUP($B38,'Data Vlaue (Cr)'!$C:$FB,99)</f>
        <v>14081</v>
      </c>
      <c r="L38" s="81">
        <f>VLOOKUP(B38,'OI(Value)'!$A$7:$C$226,3,0)</f>
        <v>25</v>
      </c>
      <c r="M38" s="33">
        <f t="shared" si="12"/>
        <v>0.17754420850791847</v>
      </c>
      <c r="N38" s="5">
        <f>VLOOKUP($B38,'Data Vlaue (Cr)'!$C:$FB,67)</f>
        <v>3923</v>
      </c>
      <c r="O38" s="5">
        <f>VLOOKUP($B38,'Data Vlaue (Cr)'!$C:$FB,68)</f>
        <v>7713</v>
      </c>
      <c r="P38" s="5">
        <f t="shared" si="13"/>
        <v>-96.609737445832266</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277.2</v>
      </c>
      <c r="D39" s="82">
        <f>VLOOKUP($B39,'Data shares'!$C:$FB,98)</f>
        <v>155284500</v>
      </c>
      <c r="E39" s="165">
        <f>VLOOKUP(B39,'Snapshot (Volume)'!$A$7:$G$168,7,0)</f>
        <v>151326000</v>
      </c>
      <c r="F39" s="165">
        <f t="shared" si="9"/>
        <v>3958500</v>
      </c>
      <c r="G39" s="166">
        <f t="shared" si="10"/>
        <v>2.6158756591729115E-2</v>
      </c>
      <c r="H39" s="165">
        <f>VLOOKUP($B39,'Data shares'!$C:$FB,66)</f>
        <v>220345125</v>
      </c>
      <c r="I39" s="165">
        <f>VLOOKUP($B39,'Data shares'!$C:$FB,67)</f>
        <v>98513625</v>
      </c>
      <c r="J39" s="81">
        <f t="shared" si="11"/>
        <v>123.66969543552986</v>
      </c>
      <c r="K39" s="5">
        <f>VLOOKUP($B39,'Data Vlaue (Cr)'!$C:$FB,99)</f>
        <v>4313</v>
      </c>
      <c r="L39" s="81">
        <f>VLOOKUP(B39,'OI(Value)'!$A$7:$C$226,3,0)</f>
        <v>110</v>
      </c>
      <c r="M39" s="33">
        <f t="shared" si="12"/>
        <v>2.5504289357755625</v>
      </c>
      <c r="N39" s="5">
        <f>VLOOKUP($B39,'Data Vlaue (Cr)'!$C:$FB,67)</f>
        <v>6121</v>
      </c>
      <c r="O39" s="5">
        <f>VLOOKUP($B39,'Data Vlaue (Cr)'!$C:$FB,68)</f>
        <v>2736</v>
      </c>
      <c r="P39" s="5">
        <f t="shared" si="13"/>
        <v>55.301421336382937</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345.7</v>
      </c>
      <c r="D40" s="82">
        <f>VLOOKUP($B40,'Data shares'!$C:$FB,98)</f>
        <v>72302500</v>
      </c>
      <c r="E40" s="165">
        <f>VLOOKUP(B40,'Snapshot (Volume)'!$A$7:$G$168,7,0)</f>
        <v>68770000</v>
      </c>
      <c r="F40" s="165">
        <f t="shared" si="9"/>
        <v>3532500</v>
      </c>
      <c r="G40" s="166">
        <f t="shared" si="10"/>
        <v>5.1366875090882655E-2</v>
      </c>
      <c r="H40" s="165">
        <f>VLOOKUP($B40,'Data shares'!$C:$FB,66)</f>
        <v>25510000</v>
      </c>
      <c r="I40" s="165">
        <f>VLOOKUP($B40,'Data shares'!$C:$FB,67)</f>
        <v>61535000</v>
      </c>
      <c r="J40" s="81">
        <f t="shared" si="11"/>
        <v>-58.543918095392868</v>
      </c>
      <c r="K40" s="5">
        <f>VLOOKUP($B40,'Data Vlaue (Cr)'!$C:$FB,99)</f>
        <v>2507</v>
      </c>
      <c r="L40" s="81">
        <f>VLOOKUP(B40,'OI(Value)'!$A$7:$C$226,3,0)</f>
        <v>123</v>
      </c>
      <c r="M40" s="33">
        <f t="shared" si="12"/>
        <v>4.9062624650977265</v>
      </c>
      <c r="N40" s="5">
        <f>VLOOKUP($B40,'Data Vlaue (Cr)'!$C:$FB,67)</f>
        <v>885</v>
      </c>
      <c r="O40" s="5">
        <f>VLOOKUP($B40,'Data Vlaue (Cr)'!$C:$FB,68)</f>
        <v>2134</v>
      </c>
      <c r="P40" s="5">
        <f t="shared" si="13"/>
        <v>-141.12994350282486</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1655.6</v>
      </c>
      <c r="D41" s="82">
        <f>VLOOKUP($B41,'Data shares'!$C:$FB,98)</f>
        <v>4521725</v>
      </c>
      <c r="E41" s="165">
        <f>VLOOKUP(B41,'Snapshot (Volume)'!$A$7:$G$168,7,0)</f>
        <v>4295850</v>
      </c>
      <c r="F41" s="165">
        <f t="shared" si="9"/>
        <v>225875</v>
      </c>
      <c r="G41" s="166">
        <f t="shared" si="10"/>
        <v>5.2579815403238007E-2</v>
      </c>
      <c r="H41" s="165">
        <f>VLOOKUP($B41,'Data shares'!$C:$FB,66)</f>
        <v>3801525</v>
      </c>
      <c r="I41" s="165">
        <f>VLOOKUP($B41,'Data shares'!$C:$FB,67)</f>
        <v>4836650</v>
      </c>
      <c r="J41" s="81">
        <f t="shared" si="11"/>
        <v>-21.401693320790216</v>
      </c>
      <c r="K41" s="5">
        <f>VLOOKUP($B41,'Data Vlaue (Cr)'!$C:$FB,99)</f>
        <v>746</v>
      </c>
      <c r="L41" s="81">
        <f>VLOOKUP(B41,'OI(Value)'!$A$7:$C$226,3,0)</f>
        <v>37</v>
      </c>
      <c r="M41" s="33">
        <f t="shared" si="12"/>
        <v>4.9597855227882039</v>
      </c>
      <c r="N41" s="5">
        <f>VLOOKUP($B41,'Data Vlaue (Cr)'!$C:$FB,67)</f>
        <v>627</v>
      </c>
      <c r="O41" s="5">
        <f>VLOOKUP($B41,'Data Vlaue (Cr)'!$C:$FB,68)</f>
        <v>798</v>
      </c>
      <c r="P41" s="5">
        <f t="shared" si="13"/>
        <v>-27.27272727272727</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36770</v>
      </c>
      <c r="D42" s="82">
        <f>VLOOKUP($B42,'Data shares'!$C:$FB,98)</f>
        <v>812200</v>
      </c>
      <c r="E42" s="165">
        <f>VLOOKUP(B42,'Snapshot (Volume)'!$A$7:$G$168,7,0)</f>
        <v>764000</v>
      </c>
      <c r="F42" s="165">
        <f t="shared" si="9"/>
        <v>48200</v>
      </c>
      <c r="G42" s="166">
        <f t="shared" si="10"/>
        <v>6.3089005235602097E-2</v>
      </c>
      <c r="H42" s="165">
        <f>VLOOKUP($B42,'Data shares'!$C:$FB,66)</f>
        <v>2356950</v>
      </c>
      <c r="I42" s="165">
        <f>VLOOKUP($B42,'Data shares'!$C:$FB,67)</f>
        <v>1293025</v>
      </c>
      <c r="J42" s="81">
        <f t="shared" si="11"/>
        <v>82.281858432744926</v>
      </c>
      <c r="K42" s="5">
        <f>VLOOKUP($B42,'Data Vlaue (Cr)'!$C:$FB,99)</f>
        <v>2992</v>
      </c>
      <c r="L42" s="81">
        <f>VLOOKUP(B42,'OI(Value)'!$A$7:$C$226,3,0)</f>
        <v>178</v>
      </c>
      <c r="M42" s="33">
        <f t="shared" si="12"/>
        <v>5.9491978609625669</v>
      </c>
      <c r="N42" s="5">
        <f>VLOOKUP($B42,'Data Vlaue (Cr)'!$C:$FB,67)</f>
        <v>8683</v>
      </c>
      <c r="O42" s="5">
        <f>VLOOKUP($B42,'Data Vlaue (Cr)'!$C:$FB,68)</f>
        <v>4764</v>
      </c>
      <c r="P42" s="5">
        <f t="shared" si="13"/>
        <v>45.1341702176667</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297.35000000000002</v>
      </c>
      <c r="D43" s="82">
        <f>VLOOKUP($B43,'Data shares'!$C:$FB,98)</f>
        <v>88049450</v>
      </c>
      <c r="E43" s="165">
        <f>VLOOKUP(B43,'Snapshot (Volume)'!$A$7:$G$168,7,0)</f>
        <v>84982275</v>
      </c>
      <c r="F43" s="165">
        <f t="shared" si="9"/>
        <v>3067175</v>
      </c>
      <c r="G43" s="166">
        <f t="shared" si="10"/>
        <v>3.6091937995305488E-2</v>
      </c>
      <c r="H43" s="165">
        <f>VLOOKUP($B43,'Data shares'!$C:$FB,66)</f>
        <v>54093275</v>
      </c>
      <c r="I43" s="165">
        <f>VLOOKUP($B43,'Data shares'!$C:$FB,67)</f>
        <v>114230050</v>
      </c>
      <c r="J43" s="81">
        <f t="shared" si="11"/>
        <v>-52.645319686019576</v>
      </c>
      <c r="K43" s="5">
        <f>VLOOKUP($B43,'Data Vlaue (Cr)'!$C:$FB,99)</f>
        <v>2623</v>
      </c>
      <c r="L43" s="81">
        <f>VLOOKUP(B43,'OI(Value)'!$A$7:$C$226,3,0)</f>
        <v>91</v>
      </c>
      <c r="M43" s="33">
        <f t="shared" si="12"/>
        <v>3.4693099504384288</v>
      </c>
      <c r="N43" s="5">
        <f>VLOOKUP($B43,'Data Vlaue (Cr)'!$C:$FB,67)</f>
        <v>1612</v>
      </c>
      <c r="O43" s="5">
        <f>VLOOKUP($B43,'Data Vlaue (Cr)'!$C:$FB,68)</f>
        <v>3403</v>
      </c>
      <c r="P43" s="5">
        <f t="shared" si="13"/>
        <v>-111.10421836228288</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5475</v>
      </c>
      <c r="D44" s="165">
        <f>VLOOKUP($B44,'Data shares'!$C:$FB,98)</f>
        <v>4036750</v>
      </c>
      <c r="E44" s="165">
        <f>VLOOKUP(B44,'Snapshot (Volume)'!$A$7:$G$168,7,0)</f>
        <v>3557625</v>
      </c>
      <c r="F44" s="165">
        <f t="shared" ref="F44:F49" si="14">D44-E44</f>
        <v>479125</v>
      </c>
      <c r="G44" s="166">
        <f t="shared" ref="G44:G49" si="15">F44/E44</f>
        <v>0.13467552088823301</v>
      </c>
      <c r="H44" s="165">
        <f>VLOOKUP($B44,'Data shares'!$C:$FB,66)</f>
        <v>3621250</v>
      </c>
      <c r="I44" s="165">
        <f>VLOOKUP($B44,'Data shares'!$C:$FB,67)</f>
        <v>1350000</v>
      </c>
      <c r="J44" s="81">
        <f t="shared" ref="J44:J49" si="16">(H44-I44)/I44*100</f>
        <v>168.24074074074073</v>
      </c>
      <c r="K44" s="81">
        <f>VLOOKUP($B44,'Data Vlaue (Cr)'!$C:$FB,99)</f>
        <v>2214</v>
      </c>
      <c r="L44" s="81">
        <f>VLOOKUP(B44,'OI(Value)'!$A$7:$C$226,3,0)</f>
        <v>263</v>
      </c>
      <c r="M44" s="81">
        <f t="shared" si="12"/>
        <v>11.878952122854562</v>
      </c>
      <c r="N44" s="81">
        <f>VLOOKUP($B44,'Data Vlaue (Cr)'!$C:$FB,67)</f>
        <v>1986</v>
      </c>
      <c r="O44" s="81">
        <f>VLOOKUP($B44,'Data Vlaue (Cr)'!$C:$FB,68)</f>
        <v>740</v>
      </c>
      <c r="P44" s="81">
        <f t="shared" ref="P44:P49" si="17">(N44-O44)/N44*100</f>
        <v>62.73917421953675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3257.4</v>
      </c>
      <c r="D45" s="82">
        <f>VLOOKUP($B45,'Data shares'!$C:$FB,98)</f>
        <v>20118375</v>
      </c>
      <c r="E45" s="165">
        <f>VLOOKUP(B45,'Snapshot (Volume)'!$A$7:$G$168,7,0)</f>
        <v>17569875</v>
      </c>
      <c r="F45" s="165">
        <f t="shared" si="14"/>
        <v>2548500</v>
      </c>
      <c r="G45" s="166">
        <f t="shared" si="15"/>
        <v>0.14504940985635925</v>
      </c>
      <c r="H45" s="165">
        <f>VLOOKUP($B45,'Data shares'!$C:$FB,66)</f>
        <v>40186500</v>
      </c>
      <c r="I45" s="165">
        <f>VLOOKUP($B45,'Data shares'!$C:$FB,67)</f>
        <v>46751625</v>
      </c>
      <c r="J45" s="81">
        <f t="shared" si="16"/>
        <v>-14.04256001796729</v>
      </c>
      <c r="K45" s="5">
        <f>VLOOKUP($B45,'Data Vlaue (Cr)'!$C:$FB,99)</f>
        <v>6588</v>
      </c>
      <c r="L45" s="81">
        <f>VLOOKUP(B45,'OI(Value)'!$A$7:$C$226,3,0)</f>
        <v>834</v>
      </c>
      <c r="M45" s="33">
        <f t="shared" si="12"/>
        <v>12.659380692167577</v>
      </c>
      <c r="N45" s="5">
        <f>VLOOKUP($B45,'Data Vlaue (Cr)'!$C:$FB,67)</f>
        <v>13159</v>
      </c>
      <c r="O45" s="5">
        <f>VLOOKUP($B45,'Data Vlaue (Cr)'!$C:$FB,68)</f>
        <v>15308</v>
      </c>
      <c r="P45" s="5">
        <f t="shared" si="17"/>
        <v>-16.331028193631735</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699.05</v>
      </c>
      <c r="D46" s="82">
        <f>VLOOKUP($B46,'Data shares'!$C:$FB,98)</f>
        <v>10529250</v>
      </c>
      <c r="E46" s="165">
        <f>VLOOKUP(B46,'Snapshot (Volume)'!$A$7:$G$168,7,0)</f>
        <v>9702750</v>
      </c>
      <c r="F46" s="165">
        <f t="shared" si="14"/>
        <v>826500</v>
      </c>
      <c r="G46" s="166">
        <f t="shared" si="15"/>
        <v>8.5182036020715779E-2</v>
      </c>
      <c r="H46" s="165">
        <f>VLOOKUP($B46,'Data shares'!$C:$FB,66)</f>
        <v>8241000</v>
      </c>
      <c r="I46" s="165">
        <f>VLOOKUP($B46,'Data shares'!$C:$FB,67)</f>
        <v>7304250</v>
      </c>
      <c r="J46" s="81">
        <f t="shared" si="16"/>
        <v>12.824725331142828</v>
      </c>
      <c r="K46" s="5">
        <f>VLOOKUP($B46,'Data Vlaue (Cr)'!$C:$FB,99)</f>
        <v>735</v>
      </c>
      <c r="L46" s="81">
        <f>VLOOKUP(B46,'OI(Value)'!$A$7:$C$226,3,0)</f>
        <v>58</v>
      </c>
      <c r="M46" s="33">
        <f t="shared" si="12"/>
        <v>7.891156462585033</v>
      </c>
      <c r="N46" s="5">
        <f>VLOOKUP($B46,'Data Vlaue (Cr)'!$C:$FB,67)</f>
        <v>575</v>
      </c>
      <c r="O46" s="5">
        <f>VLOOKUP($B46,'Data Vlaue (Cr)'!$C:$FB,68)</f>
        <v>510</v>
      </c>
      <c r="P46" s="5">
        <f t="shared" si="17"/>
        <v>11.304347826086957</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137.91</v>
      </c>
      <c r="D47" s="82">
        <f>VLOOKUP($B47,'Data shares'!$C:$FB,98)</f>
        <v>328117500</v>
      </c>
      <c r="E47" s="165">
        <f>VLOOKUP(B47,'Snapshot (Volume)'!$A$7:$G$168,7,0)</f>
        <v>317209500</v>
      </c>
      <c r="F47" s="165">
        <f t="shared" si="14"/>
        <v>10908000</v>
      </c>
      <c r="G47" s="166">
        <f t="shared" si="15"/>
        <v>3.438736860024684E-2</v>
      </c>
      <c r="H47" s="165">
        <f>VLOOKUP($B47,'Data shares'!$C:$FB,66)</f>
        <v>147588750</v>
      </c>
      <c r="I47" s="165">
        <f>VLOOKUP($B47,'Data shares'!$C:$FB,67)</f>
        <v>270391500</v>
      </c>
      <c r="J47" s="81">
        <f t="shared" si="16"/>
        <v>-45.416645863497926</v>
      </c>
      <c r="K47" s="5">
        <f>VLOOKUP($B47,'Data Vlaue (Cr)'!$C:$FB,99)</f>
        <v>4533</v>
      </c>
      <c r="L47" s="81">
        <f>VLOOKUP(B47,'OI(Value)'!$A$7:$C$226,3,0)</f>
        <v>151</v>
      </c>
      <c r="M47" s="33">
        <f t="shared" si="12"/>
        <v>3.3311272887712331</v>
      </c>
      <c r="N47" s="5">
        <f>VLOOKUP($B47,'Data Vlaue (Cr)'!$C:$FB,67)</f>
        <v>2039</v>
      </c>
      <c r="O47" s="5">
        <f>VLOOKUP($B47,'Data Vlaue (Cr)'!$C:$FB,68)</f>
        <v>3735</v>
      </c>
      <c r="P47" s="5">
        <f t="shared" si="17"/>
        <v>-83.178028445316329</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1279.3</v>
      </c>
      <c r="D48" s="82">
        <f>VLOOKUP($B48,'Data shares'!$C:$FB,98)</f>
        <v>19883025</v>
      </c>
      <c r="E48" s="165">
        <f>VLOOKUP(B48,'Snapshot (Volume)'!$A$7:$G$168,7,0)</f>
        <v>19117325</v>
      </c>
      <c r="F48" s="165">
        <f t="shared" si="14"/>
        <v>765700</v>
      </c>
      <c r="G48" s="166">
        <f t="shared" si="15"/>
        <v>4.0052674733520512E-2</v>
      </c>
      <c r="H48" s="165">
        <f>VLOOKUP($B48,'Data shares'!$C:$FB,66)</f>
        <v>17332750</v>
      </c>
      <c r="I48" s="165">
        <f>VLOOKUP($B48,'Data shares'!$C:$FB,67)</f>
        <v>22856525</v>
      </c>
      <c r="J48" s="81">
        <f t="shared" si="16"/>
        <v>-24.167168893784162</v>
      </c>
      <c r="K48" s="5">
        <f>VLOOKUP($B48,'Data Vlaue (Cr)'!$C:$FB,99)</f>
        <v>2540</v>
      </c>
      <c r="L48" s="81">
        <f>VLOOKUP(B48,'OI(Value)'!$A$7:$C$226,3,0)</f>
        <v>98</v>
      </c>
      <c r="M48" s="33">
        <f t="shared" si="12"/>
        <v>3.8582677165354329</v>
      </c>
      <c r="N48" s="5">
        <f>VLOOKUP($B48,'Data Vlaue (Cr)'!$C:$FB,67)</f>
        <v>2214</v>
      </c>
      <c r="O48" s="5">
        <f>VLOOKUP($B48,'Data Vlaue (Cr)'!$C:$FB,68)</f>
        <v>2920</v>
      </c>
      <c r="P48" s="5">
        <f t="shared" si="17"/>
        <v>-31.887985546522131</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CGPOWER</v>
      </c>
      <c r="C49" s="4">
        <f>VLOOKUP($B49,'Data shares'!$C:$FB,7)</f>
        <v>720.6</v>
      </c>
      <c r="D49" s="82">
        <f>VLOOKUP($B49,'Data shares'!$C:$FB,98)</f>
        <v>23811900</v>
      </c>
      <c r="E49" s="165">
        <f>VLOOKUP(B49,'Snapshot (Volume)'!$A$7:$G$168,7,0)</f>
        <v>23102150</v>
      </c>
      <c r="F49" s="165">
        <f t="shared" si="14"/>
        <v>709750</v>
      </c>
      <c r="G49" s="166">
        <f t="shared" si="15"/>
        <v>3.072224879502557E-2</v>
      </c>
      <c r="H49" s="165">
        <f>VLOOKUP($B49,'Data shares'!$C:$FB,66)</f>
        <v>8132800</v>
      </c>
      <c r="I49" s="165">
        <f>VLOOKUP($B49,'Data shares'!$C:$FB,67)</f>
        <v>12370050</v>
      </c>
      <c r="J49" s="81">
        <f t="shared" si="16"/>
        <v>-34.254105682677114</v>
      </c>
      <c r="K49" s="5">
        <f>VLOOKUP($B49,'Data Vlaue (Cr)'!$C:$FB,99)</f>
        <v>1724</v>
      </c>
      <c r="L49" s="81">
        <f>VLOOKUP(B49,'OI(Value)'!$A$7:$C$226,3,0)</f>
        <v>51</v>
      </c>
      <c r="M49" s="33">
        <f t="shared" si="12"/>
        <v>2.9582366589327145</v>
      </c>
      <c r="N49" s="5">
        <f>VLOOKUP($B49,'Data Vlaue (Cr)'!$C:$FB,67)</f>
        <v>589</v>
      </c>
      <c r="O49" s="5">
        <f>VLOOKUP($B49,'Data Vlaue (Cr)'!$C:$FB,68)</f>
        <v>895</v>
      </c>
      <c r="P49" s="5">
        <f t="shared" si="17"/>
        <v>-51.952461799660441</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CHOLAFIN</v>
      </c>
      <c r="C50" s="4">
        <f>VLOOKUP($B50,'Data shares'!$C:$FB,7)</f>
        <v>1533.1</v>
      </c>
      <c r="D50" s="82">
        <f>VLOOKUP($B50,'Data shares'!$C:$FB,98)</f>
        <v>25825000</v>
      </c>
      <c r="E50" s="165">
        <f>VLOOKUP(B50,'Snapshot (Volume)'!$A$7:$G$168,7,0)</f>
        <v>25911875</v>
      </c>
      <c r="F50" s="165">
        <f>D50-E50</f>
        <v>-86875</v>
      </c>
      <c r="G50" s="166">
        <f>F50/E50</f>
        <v>-3.352709906172363E-3</v>
      </c>
      <c r="H50" s="165">
        <f>VLOOKUP($B50,'Data shares'!$C:$FB,66)</f>
        <v>11093750</v>
      </c>
      <c r="I50" s="165">
        <f>VLOOKUP($B50,'Data shares'!$C:$FB,67)</f>
        <v>20585625</v>
      </c>
      <c r="J50" s="81">
        <f>(H50-I50)/I50*100</f>
        <v>-46.109238849925617</v>
      </c>
      <c r="K50" s="5">
        <f>VLOOKUP($B50,'Data Vlaue (Cr)'!$C:$FB,99)</f>
        <v>3966</v>
      </c>
      <c r="L50" s="81">
        <f>VLOOKUP(B50,'OI(Value)'!$A$7:$C$226,3,0)</f>
        <v>-13</v>
      </c>
      <c r="M50" s="33">
        <f t="shared" si="12"/>
        <v>-0.32778618255168934</v>
      </c>
      <c r="N50" s="5">
        <f>VLOOKUP($B50,'Data Vlaue (Cr)'!$C:$FB,67)</f>
        <v>1704</v>
      </c>
      <c r="O50" s="5">
        <f>VLOOKUP($B50,'Data Vlaue (Cr)'!$C:$FB,68)</f>
        <v>3162</v>
      </c>
      <c r="P50" s="5">
        <f>(N50-O50)/N50*100</f>
        <v>-85.563380281690144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Pharma</v>
      </c>
      <c r="B51" s="79" t="str">
        <f>'Data shares'!C46</f>
        <v>CIPLA</v>
      </c>
      <c r="C51" s="4">
        <f>VLOOKUP($B51,'Data shares'!$C:$FB,7)</f>
        <v>1224.4000000000001</v>
      </c>
      <c r="D51" s="82">
        <f>VLOOKUP($B51,'Data shares'!$C:$FB,98)</f>
        <v>22881000</v>
      </c>
      <c r="E51" s="165">
        <f>VLOOKUP(B51,'Snapshot (Volume)'!$A$7:$G$168,7,0)</f>
        <v>22552875</v>
      </c>
      <c r="F51" s="165">
        <f>D51-E51</f>
        <v>328125</v>
      </c>
      <c r="G51" s="166">
        <f>F51/E51</f>
        <v>1.4549142847641377E-2</v>
      </c>
      <c r="H51" s="165">
        <f>VLOOKUP($B51,'Data shares'!$C:$FB,66)</f>
        <v>7987500</v>
      </c>
      <c r="I51" s="165">
        <f>VLOOKUP($B51,'Data shares'!$C:$FB,67)</f>
        <v>10318125</v>
      </c>
      <c r="J51" s="81">
        <f>(H51-I51)/I51*100</f>
        <v>-22.58767944757405</v>
      </c>
      <c r="K51" s="5">
        <f>VLOOKUP($B51,'Data Vlaue (Cr)'!$C:$FB,99)</f>
        <v>2808</v>
      </c>
      <c r="L51" s="81">
        <f>VLOOKUP(B51,'OI(Value)'!$A$7:$C$226,3,0)</f>
        <v>40</v>
      </c>
      <c r="M51" s="33">
        <f t="shared" si="12"/>
        <v>1.4245014245014245</v>
      </c>
      <c r="N51" s="5">
        <f>VLOOKUP($B51,'Data Vlaue (Cr)'!$C:$FB,67)</f>
        <v>980</v>
      </c>
      <c r="O51" s="5">
        <f>VLOOKUP($B51,'Data Vlaue (Cr)'!$C:$FB,68)</f>
        <v>1266</v>
      </c>
      <c r="P51" s="5">
        <f>(N51-O51)/N51*100</f>
        <v>-29.183673469387756</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Metals</v>
      </c>
      <c r="B52" s="79" t="str">
        <f>'Data shares'!C47</f>
        <v>COALINDIA</v>
      </c>
      <c r="C52" s="79">
        <f>VLOOKUP($B52,'Data shares'!$C:$FB,7)</f>
        <v>454.1</v>
      </c>
      <c r="D52" s="80">
        <f>VLOOKUP($B52,'Data shares'!$C:$FB,98)</f>
        <v>105777900</v>
      </c>
      <c r="E52" s="165">
        <f>VLOOKUP(B52,'Snapshot (Volume)'!$A$7:$G$168,7,0)</f>
        <v>106882200</v>
      </c>
      <c r="F52" s="165">
        <f t="shared" ref="F52:F68" si="18">D52-E52</f>
        <v>-1104300</v>
      </c>
      <c r="G52" s="166">
        <f t="shared" ref="G52:G68" si="19">F52/E52</f>
        <v>-1.0331935532764109E-2</v>
      </c>
      <c r="H52" s="165">
        <f>VLOOKUP($B52,'Data shares'!$C:$FB,66)</f>
        <v>65360250</v>
      </c>
      <c r="I52" s="165">
        <f>VLOOKUP($B52,'Data shares'!$C:$FB,67)</f>
        <v>93191850</v>
      </c>
      <c r="J52" s="81">
        <f t="shared" ref="J52:J68" si="20">(H52-I52)/I52*100</f>
        <v>-29.864843331256974</v>
      </c>
      <c r="K52" s="81">
        <f>VLOOKUP($B52,'Data Vlaue (Cr)'!$C:$FB,99)</f>
        <v>4791</v>
      </c>
      <c r="L52" s="81">
        <f>VLOOKUP(B52,'OI(Value)'!$A$7:$C$226,3,0)</f>
        <v>-50</v>
      </c>
      <c r="M52" s="81">
        <f t="shared" si="12"/>
        <v>-1.0436234606553956</v>
      </c>
      <c r="N52" s="81">
        <f>VLOOKUP($B52,'Data Vlaue (Cr)'!$C:$FB,67)</f>
        <v>2960</v>
      </c>
      <c r="O52" s="81">
        <f>VLOOKUP($B52,'Data Vlaue (Cr)'!$C:$FB,68)</f>
        <v>4221</v>
      </c>
      <c r="P52" s="81">
        <f t="shared" ref="P52:P68" si="21">(N52-O52)/N52*100</f>
        <v>-42.601351351351354</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Others</v>
      </c>
      <c r="B53" s="79" t="str">
        <f>'Data shares'!C48</f>
        <v>COCHINSHIP</v>
      </c>
      <c r="C53" s="4">
        <f>VLOOKUP($B53,'Data shares'!$C:$FB,7)</f>
        <v>1423.9</v>
      </c>
      <c r="D53" s="82">
        <f>VLOOKUP($B53,'Data shares'!$C:$FB,98)</f>
        <v>2256400</v>
      </c>
      <c r="E53" s="165">
        <f>VLOOKUP(B53,'Snapshot (Volume)'!$A$7:$G$168,7,0)</f>
        <v>1627200</v>
      </c>
      <c r="F53" s="165">
        <f t="shared" si="18"/>
        <v>629200</v>
      </c>
      <c r="G53" s="166">
        <f t="shared" si="19"/>
        <v>0.38667649950835792</v>
      </c>
      <c r="H53" s="165">
        <f>VLOOKUP($B53,'Data shares'!$C:$FB,66)</f>
        <v>9204800</v>
      </c>
      <c r="I53" s="165">
        <f>VLOOKUP($B53,'Data shares'!$C:$FB,67)</f>
        <v>1428400</v>
      </c>
      <c r="J53" s="81">
        <f t="shared" si="20"/>
        <v>544.41332959955196</v>
      </c>
      <c r="K53" s="5">
        <f>VLOOKUP($B53,'Data Vlaue (Cr)'!$C:$FB,99)</f>
        <v>323</v>
      </c>
      <c r="L53" s="81">
        <f>VLOOKUP(B53,'OI(Value)'!$A$7:$C$226,3,0)</f>
        <v>90</v>
      </c>
      <c r="M53" s="33">
        <f t="shared" si="12"/>
        <v>27.86377708978328</v>
      </c>
      <c r="N53" s="5">
        <f>VLOOKUP($B53,'Data Vlaue (Cr)'!$C:$FB,67)</f>
        <v>1317</v>
      </c>
      <c r="O53" s="5">
        <f>VLOOKUP($B53,'Data Vlaue (Cr)'!$C:$FB,68)</f>
        <v>204</v>
      </c>
      <c r="P53" s="5">
        <f t="shared" si="21"/>
        <v>84.510250569476085</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1264.9000000000001</v>
      </c>
      <c r="D54" s="82">
        <f>VLOOKUP($B54,'Data shares'!$C:$FB,98)</f>
        <v>28465125</v>
      </c>
      <c r="E54" s="165">
        <f>VLOOKUP(B54,'Snapshot (Volume)'!$A$7:$G$168,7,0)</f>
        <v>27880500</v>
      </c>
      <c r="F54" s="165">
        <f t="shared" si="18"/>
        <v>584625</v>
      </c>
      <c r="G54" s="166">
        <f t="shared" si="19"/>
        <v>2.0968956797761878E-2</v>
      </c>
      <c r="H54" s="165">
        <f>VLOOKUP($B54,'Data shares'!$C:$FB,66)</f>
        <v>17227875</v>
      </c>
      <c r="I54" s="165">
        <f>VLOOKUP($B54,'Data shares'!$C:$FB,67)</f>
        <v>20738625</v>
      </c>
      <c r="J54" s="81">
        <f t="shared" si="20"/>
        <v>-16.928557221127242</v>
      </c>
      <c r="K54" s="5">
        <f>VLOOKUP($B54,'Data Vlaue (Cr)'!$C:$FB,99)</f>
        <v>3616</v>
      </c>
      <c r="L54" s="81">
        <f>VLOOKUP(B54,'OI(Value)'!$A$7:$C$226,3,0)</f>
        <v>74</v>
      </c>
      <c r="M54" s="33">
        <f t="shared" si="12"/>
        <v>2.0464601769911503</v>
      </c>
      <c r="N54" s="5">
        <f>VLOOKUP($B54,'Data Vlaue (Cr)'!$C:$FB,67)</f>
        <v>2188</v>
      </c>
      <c r="O54" s="5">
        <f>VLOOKUP($B54,'Data Vlaue (Cr)'!$C:$FB,68)</f>
        <v>2634</v>
      </c>
      <c r="P54" s="5">
        <f t="shared" si="21"/>
        <v>-20.383912248628885</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1906.7</v>
      </c>
      <c r="D55" s="82">
        <f>VLOOKUP($B55,'Data shares'!$C:$FB,98)</f>
        <v>9364275</v>
      </c>
      <c r="E55" s="165">
        <f>VLOOKUP(B55,'Snapshot (Volume)'!$A$7:$G$168,7,0)</f>
        <v>9337050</v>
      </c>
      <c r="F55" s="165">
        <f t="shared" si="18"/>
        <v>27225</v>
      </c>
      <c r="G55" s="166">
        <f t="shared" si="19"/>
        <v>2.9158031712371679E-3</v>
      </c>
      <c r="H55" s="165">
        <f>VLOOKUP($B55,'Data shares'!$C:$FB,66)</f>
        <v>3577050</v>
      </c>
      <c r="I55" s="165">
        <f>VLOOKUP($B55,'Data shares'!$C:$FB,67)</f>
        <v>5148450</v>
      </c>
      <c r="J55" s="81">
        <f t="shared" si="20"/>
        <v>-30.521807534306443</v>
      </c>
      <c r="K55" s="5">
        <f>VLOOKUP($B55,'Data Vlaue (Cr)'!$C:$FB,99)</f>
        <v>1794</v>
      </c>
      <c r="L55" s="81">
        <f>VLOOKUP(B55,'OI(Value)'!$A$7:$C$226,3,0)</f>
        <v>5</v>
      </c>
      <c r="M55" s="33">
        <f t="shared" si="12"/>
        <v>0.27870680044593088</v>
      </c>
      <c r="N55" s="5">
        <f>VLOOKUP($B55,'Data Vlaue (Cr)'!$C:$FB,67)</f>
        <v>685</v>
      </c>
      <c r="O55" s="5">
        <f>VLOOKUP($B55,'Data Vlaue (Cr)'!$C:$FB,68)</f>
        <v>987</v>
      </c>
      <c r="P55" s="5">
        <f t="shared" si="21"/>
        <v>-44.087591240875909</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482.25</v>
      </c>
      <c r="D56" s="82">
        <f>VLOOKUP($B56,'Data shares'!$C:$FB,98)</f>
        <v>36147500</v>
      </c>
      <c r="E56" s="165">
        <f>VLOOKUP(B56,'Snapshot (Volume)'!$A$7:$G$168,7,0)</f>
        <v>35590000</v>
      </c>
      <c r="F56" s="165">
        <f t="shared" si="18"/>
        <v>557500</v>
      </c>
      <c r="G56" s="166">
        <f t="shared" si="19"/>
        <v>1.5664512503512223E-2</v>
      </c>
      <c r="H56" s="165">
        <f>VLOOKUP($B56,'Data shares'!$C:$FB,66)</f>
        <v>21362500</v>
      </c>
      <c r="I56" s="165">
        <f>VLOOKUP($B56,'Data shares'!$C:$FB,67)</f>
        <v>13302500</v>
      </c>
      <c r="J56" s="81">
        <f t="shared" si="20"/>
        <v>60.590114640105242</v>
      </c>
      <c r="K56" s="5">
        <f>VLOOKUP($B56,'Data Vlaue (Cr)'!$C:$FB,99)</f>
        <v>1746</v>
      </c>
      <c r="L56" s="81">
        <f>VLOOKUP(B56,'OI(Value)'!$A$7:$C$226,3,0)</f>
        <v>27</v>
      </c>
      <c r="M56" s="33">
        <f t="shared" si="12"/>
        <v>1.5463917525773196</v>
      </c>
      <c r="N56" s="5">
        <f>VLOOKUP($B56,'Data Vlaue (Cr)'!$C:$FB,67)</f>
        <v>1032</v>
      </c>
      <c r="O56" s="5">
        <f>VLOOKUP($B56,'Data Vlaue (Cr)'!$C:$FB,68)</f>
        <v>643</v>
      </c>
      <c r="P56" s="5">
        <f t="shared" si="21"/>
        <v>37.693798449612402</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237.9</v>
      </c>
      <c r="D57" s="82">
        <f>VLOOKUP($B57,'Data shares'!$C:$FB,98)</f>
        <v>59666400</v>
      </c>
      <c r="E57" s="165">
        <f>VLOOKUP(B57,'Snapshot (Volume)'!$A$7:$G$168,7,0)</f>
        <v>58541400</v>
      </c>
      <c r="F57" s="165">
        <f t="shared" si="18"/>
        <v>1125000</v>
      </c>
      <c r="G57" s="166">
        <f t="shared" si="19"/>
        <v>1.9217169387817853E-2</v>
      </c>
      <c r="H57" s="165">
        <f>VLOOKUP($B57,'Data shares'!$C:$FB,66)</f>
        <v>19227600</v>
      </c>
      <c r="I57" s="165">
        <f>VLOOKUP($B57,'Data shares'!$C:$FB,67)</f>
        <v>18948600</v>
      </c>
      <c r="J57" s="81">
        <f t="shared" si="20"/>
        <v>1.4724042937209081</v>
      </c>
      <c r="K57" s="5">
        <f>VLOOKUP($B57,'Data Vlaue (Cr)'!$C:$FB,99)</f>
        <v>1422</v>
      </c>
      <c r="L57" s="81">
        <f>VLOOKUP(B57,'OI(Value)'!$A$7:$C$226,3,0)</f>
        <v>27</v>
      </c>
      <c r="M57" s="33">
        <f t="shared" si="12"/>
        <v>1.89873417721519</v>
      </c>
      <c r="N57" s="5">
        <f>VLOOKUP($B57,'Data Vlaue (Cr)'!$C:$FB,67)</f>
        <v>458</v>
      </c>
      <c r="O57" s="5">
        <f>VLOOKUP($B57,'Data Vlaue (Cr)'!$C:$FB,68)</f>
        <v>452</v>
      </c>
      <c r="P57" s="5">
        <f t="shared" si="21"/>
        <v>1.3100436681222707</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4907.3999999999996</v>
      </c>
      <c r="D58" s="82">
        <f>VLOOKUP($B58,'Data shares'!$C:$FB,98)</f>
        <v>5054400</v>
      </c>
      <c r="E58" s="165">
        <f>VLOOKUP(B58,'Snapshot (Volume)'!$A$7:$G$168,7,0)</f>
        <v>4796200</v>
      </c>
      <c r="F58" s="165">
        <f t="shared" si="18"/>
        <v>258200</v>
      </c>
      <c r="G58" s="166">
        <f t="shared" si="19"/>
        <v>5.3834285476001838E-2</v>
      </c>
      <c r="H58" s="165">
        <f>VLOOKUP($B58,'Data shares'!$C:$FB,66)</f>
        <v>4291600</v>
      </c>
      <c r="I58" s="165">
        <f>VLOOKUP($B58,'Data shares'!$C:$FB,67)</f>
        <v>4186200</v>
      </c>
      <c r="J58" s="81">
        <f t="shared" si="20"/>
        <v>2.5177965696813338</v>
      </c>
      <c r="K58" s="5">
        <f>VLOOKUP($B58,'Data Vlaue (Cr)'!$C:$FB,99)</f>
        <v>2484</v>
      </c>
      <c r="L58" s="81">
        <f>VLOOKUP(B58,'OI(Value)'!$A$7:$C$226,3,0)</f>
        <v>127</v>
      </c>
      <c r="M58" s="33">
        <f t="shared" si="12"/>
        <v>5.1127214170692428</v>
      </c>
      <c r="N58" s="5">
        <f>VLOOKUP($B58,'Data Vlaue (Cr)'!$C:$FB,67)</f>
        <v>2109</v>
      </c>
      <c r="O58" s="5">
        <f>VLOOKUP($B58,'Data Vlaue (Cr)'!$C:$FB,68)</f>
        <v>2057</v>
      </c>
      <c r="P58" s="5">
        <f t="shared" si="21"/>
        <v>2.4656235182550974</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FMCG</v>
      </c>
      <c r="B59" s="79" t="str">
        <f>'Data shares'!C54</f>
        <v>DABUR</v>
      </c>
      <c r="C59" s="4">
        <f>VLOOKUP($B59,'Data shares'!$C:$FB,7)</f>
        <v>429.4</v>
      </c>
      <c r="D59" s="82">
        <f>VLOOKUP($B59,'Data shares'!$C:$FB,98)</f>
        <v>45238750</v>
      </c>
      <c r="E59" s="165">
        <f>VLOOKUP(B59,'Snapshot (Volume)'!$A$7:$G$168,7,0)</f>
        <v>45375000</v>
      </c>
      <c r="F59" s="165">
        <f t="shared" si="18"/>
        <v>-136250</v>
      </c>
      <c r="G59" s="166">
        <f t="shared" si="19"/>
        <v>-3.0027548209366393E-3</v>
      </c>
      <c r="H59" s="165">
        <f>VLOOKUP($B59,'Data shares'!$C:$FB,66)</f>
        <v>13167500</v>
      </c>
      <c r="I59" s="165">
        <f>VLOOKUP($B59,'Data shares'!$C:$FB,67)</f>
        <v>25620000</v>
      </c>
      <c r="J59" s="81">
        <f t="shared" si="20"/>
        <v>-48.604605776736925</v>
      </c>
      <c r="K59" s="5">
        <f>VLOOKUP($B59,'Data Vlaue (Cr)'!$C:$FB,99)</f>
        <v>1947</v>
      </c>
      <c r="L59" s="81">
        <f>VLOOKUP(B59,'OI(Value)'!$A$7:$C$226,3,0)</f>
        <v>-6</v>
      </c>
      <c r="M59" s="33">
        <f t="shared" si="12"/>
        <v>-0.30816640986132515</v>
      </c>
      <c r="N59" s="5">
        <f>VLOOKUP($B59,'Data Vlaue (Cr)'!$C:$FB,67)</f>
        <v>567</v>
      </c>
      <c r="O59" s="5">
        <f>VLOOKUP($B59,'Data Vlaue (Cr)'!$C:$FB,68)</f>
        <v>1102</v>
      </c>
      <c r="P59" s="5">
        <f t="shared" si="21"/>
        <v>-94.356261022927697</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Cement</v>
      </c>
      <c r="B60" s="79" t="str">
        <f>'Data shares'!C55</f>
        <v>DALBHARAT</v>
      </c>
      <c r="C60" s="4">
        <f>VLOOKUP($B60,'Data shares'!$C:$FB,7)</f>
        <v>1910.6</v>
      </c>
      <c r="D60" s="82">
        <f>VLOOKUP($B60,'Data shares'!$C:$FB,98)</f>
        <v>4110275</v>
      </c>
      <c r="E60" s="165">
        <f>VLOOKUP(B60,'Snapshot (Volume)'!$A$7:$G$168,7,0)</f>
        <v>4065100</v>
      </c>
      <c r="F60" s="165">
        <f t="shared" si="18"/>
        <v>45175</v>
      </c>
      <c r="G60" s="166">
        <f t="shared" si="19"/>
        <v>1.1112887751838824E-2</v>
      </c>
      <c r="H60" s="165">
        <f>VLOOKUP($B60,'Data shares'!$C:$FB,66)</f>
        <v>936975</v>
      </c>
      <c r="I60" s="165">
        <f>VLOOKUP($B60,'Data shares'!$C:$FB,67)</f>
        <v>4040075</v>
      </c>
      <c r="J60" s="81">
        <f t="shared" si="20"/>
        <v>-76.807980049875312</v>
      </c>
      <c r="K60" s="5">
        <f>VLOOKUP($B60,'Data Vlaue (Cr)'!$C:$FB,99)</f>
        <v>787</v>
      </c>
      <c r="L60" s="81">
        <f>VLOOKUP(B60,'OI(Value)'!$A$7:$C$226,3,0)</f>
        <v>9</v>
      </c>
      <c r="M60" s="33">
        <f t="shared" si="12"/>
        <v>1.1435832274459974</v>
      </c>
      <c r="N60" s="5">
        <f>VLOOKUP($B60,'Data Vlaue (Cr)'!$C:$FB,67)</f>
        <v>179</v>
      </c>
      <c r="O60" s="5">
        <f>VLOOKUP($B60,'Data Vlaue (Cr)'!$C:$FB,68)</f>
        <v>773</v>
      </c>
      <c r="P60" s="5">
        <f t="shared" si="21"/>
        <v>-331.84357541899442</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New_Age</v>
      </c>
      <c r="B61" s="79" t="str">
        <f>'Data shares'!C56</f>
        <v>DELHIVERY</v>
      </c>
      <c r="C61" s="4">
        <f>VLOOKUP($B61,'Data shares'!$C:$FB,7)</f>
        <v>469.85</v>
      </c>
      <c r="D61" s="82">
        <f>VLOOKUP($B61,'Data shares'!$C:$FB,98)</f>
        <v>40665850</v>
      </c>
      <c r="E61" s="165">
        <f>VLOOKUP(B61,'Snapshot (Volume)'!$A$7:$G$168,7,0)</f>
        <v>39416700</v>
      </c>
      <c r="F61" s="165">
        <f t="shared" si="18"/>
        <v>1249150</v>
      </c>
      <c r="G61" s="166">
        <f t="shared" si="19"/>
        <v>3.169088229100863E-2</v>
      </c>
      <c r="H61" s="165">
        <f>VLOOKUP($B61,'Data shares'!$C:$FB,66)</f>
        <v>32959300</v>
      </c>
      <c r="I61" s="165">
        <f>VLOOKUP($B61,'Data shares'!$C:$FB,67)</f>
        <v>31762025</v>
      </c>
      <c r="J61" s="81">
        <f t="shared" si="20"/>
        <v>3.7695172143463775</v>
      </c>
      <c r="K61" s="5">
        <f>VLOOKUP($B61,'Data Vlaue (Cr)'!$C:$FB,99)</f>
        <v>1917</v>
      </c>
      <c r="L61" s="81">
        <f>VLOOKUP(B61,'OI(Value)'!$A$7:$C$226,3,0)</f>
        <v>59</v>
      </c>
      <c r="M61" s="33">
        <f t="shared" si="12"/>
        <v>3.0777256129368809</v>
      </c>
      <c r="N61" s="5">
        <f>VLOOKUP($B61,'Data Vlaue (Cr)'!$C:$FB,67)</f>
        <v>1554</v>
      </c>
      <c r="O61" s="5">
        <f>VLOOKUP($B61,'Data Vlaue (Cr)'!$C:$FB,68)</f>
        <v>1497</v>
      </c>
      <c r="P61" s="5">
        <f t="shared" si="21"/>
        <v>3.6679536679536682</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Pharma</v>
      </c>
      <c r="B62" s="79" t="str">
        <f>'Data shares'!C57</f>
        <v>DIVISLAB</v>
      </c>
      <c r="C62" s="4">
        <f>VLOOKUP($B62,'Data shares'!$C:$FB,7)</f>
        <v>5952.5</v>
      </c>
      <c r="D62" s="82">
        <f>VLOOKUP($B62,'Data shares'!$C:$FB,98)</f>
        <v>4212800</v>
      </c>
      <c r="E62" s="165">
        <f>VLOOKUP(B62,'Snapshot (Volume)'!$A$7:$G$168,7,0)</f>
        <v>4204900</v>
      </c>
      <c r="F62" s="165">
        <f t="shared" si="18"/>
        <v>7900</v>
      </c>
      <c r="G62" s="166"/>
      <c r="H62" s="165">
        <f>VLOOKUP($B62,'Data shares'!$C:$FB,66)</f>
        <v>1548900</v>
      </c>
      <c r="I62" s="165">
        <f>VLOOKUP($B62,'Data shares'!$C:$FB,67)</f>
        <v>2038800</v>
      </c>
      <c r="J62" s="81"/>
      <c r="K62" s="5">
        <f>VLOOKUP($B62,'Data Vlaue (Cr)'!$C:$FB,99)</f>
        <v>2514</v>
      </c>
      <c r="L62" s="81">
        <f>VLOOKUP(B62,'OI(Value)'!$A$7:$C$226,3,0)</f>
        <v>5</v>
      </c>
      <c r="M62" s="33"/>
      <c r="N62" s="5">
        <f>VLOOKUP($B62,'Data Vlaue (Cr)'!$C:$FB,67)</f>
        <v>924</v>
      </c>
      <c r="O62" s="5">
        <f>VLOOKUP($B62,'Data Vlaue (Cr)'!$C:$FB,68)</f>
        <v>1217</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DIXON</v>
      </c>
      <c r="C63" s="4">
        <f>VLOOKUP($B63,'Data shares'!$C:$FB,7)</f>
        <v>10625.5</v>
      </c>
      <c r="D63" s="82">
        <f>VLOOKUP($B63,'Data shares'!$C:$FB,98)</f>
        <v>5936450</v>
      </c>
      <c r="E63" s="165">
        <f>VLOOKUP(B63,'Snapshot (Volume)'!$A$7:$G$168,7,0)</f>
        <v>5882100</v>
      </c>
      <c r="F63" s="165">
        <f t="shared" si="18"/>
        <v>54350</v>
      </c>
      <c r="G63" s="166">
        <f t="shared" si="19"/>
        <v>9.2398973155845693E-3</v>
      </c>
      <c r="H63" s="165">
        <f>VLOOKUP($B63,'Data shares'!$C:$FB,66)</f>
        <v>3545600</v>
      </c>
      <c r="I63" s="165">
        <f>VLOOKUP($B63,'Data shares'!$C:$FB,67)</f>
        <v>6390800</v>
      </c>
      <c r="J63" s="81">
        <f t="shared" si="20"/>
        <v>-44.520247856293423</v>
      </c>
      <c r="K63" s="5">
        <f>VLOOKUP($B63,'Data Vlaue (Cr)'!$C:$FB,99)</f>
        <v>6327</v>
      </c>
      <c r="L63" s="81">
        <f>VLOOKUP(B63,'OI(Value)'!$A$7:$C$226,3,0)</f>
        <v>58</v>
      </c>
      <c r="M63" s="33">
        <f t="shared" si="12"/>
        <v>0.91670617986407466</v>
      </c>
      <c r="N63" s="5">
        <f>VLOOKUP($B63,'Data Vlaue (Cr)'!$C:$FB,67)</f>
        <v>3779</v>
      </c>
      <c r="O63" s="5">
        <f>VLOOKUP($B63,'Data Vlaue (Cr)'!$C:$FB,68)</f>
        <v>6811</v>
      </c>
      <c r="P63" s="5">
        <f t="shared" si="21"/>
        <v>-80.232865837523164</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Realty</v>
      </c>
      <c r="B64" s="79" t="str">
        <f>'Data shares'!C59</f>
        <v>DLF</v>
      </c>
      <c r="C64" s="4">
        <f>VLOOKUP($B64,'Data shares'!$C:$FB,7)</f>
        <v>562.95000000000005</v>
      </c>
      <c r="D64" s="82">
        <f>VLOOKUP($B64,'Data shares'!$C:$FB,98)</f>
        <v>73321875</v>
      </c>
      <c r="E64" s="165">
        <f>VLOOKUP(B64,'Snapshot (Volume)'!$A$7:$G$168,7,0)</f>
        <v>72618150</v>
      </c>
      <c r="F64" s="165">
        <f t="shared" si="18"/>
        <v>703725</v>
      </c>
      <c r="G64" s="166">
        <f t="shared" si="19"/>
        <v>9.6907591283997181E-3</v>
      </c>
      <c r="H64" s="165">
        <f>VLOOKUP($B64,'Data shares'!$C:$FB,66)</f>
        <v>21151350</v>
      </c>
      <c r="I64" s="165">
        <f>VLOOKUP($B64,'Data shares'!$C:$FB,67)</f>
        <v>46976325</v>
      </c>
      <c r="J64" s="81">
        <f t="shared" si="20"/>
        <v>-54.974447234857138</v>
      </c>
      <c r="K64" s="5">
        <f>VLOOKUP($B64,'Data Vlaue (Cr)'!$C:$FB,99)</f>
        <v>4141</v>
      </c>
      <c r="L64" s="81">
        <f>VLOOKUP(B64,'OI(Value)'!$A$7:$C$226,3,0)</f>
        <v>40</v>
      </c>
      <c r="M64" s="33">
        <f t="shared" si="12"/>
        <v>0.96595025356194153</v>
      </c>
      <c r="N64" s="5">
        <f>VLOOKUP($B64,'Data Vlaue (Cr)'!$C:$FB,67)</f>
        <v>1195</v>
      </c>
      <c r="O64" s="5">
        <f>VLOOKUP($B64,'Data Vlaue (Cr)'!$C:$FB,68)</f>
        <v>2653</v>
      </c>
      <c r="P64" s="5">
        <f t="shared" si="21"/>
        <v>-122.00836820083683</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New_Age</v>
      </c>
      <c r="B65" s="79" t="str">
        <f>'Data shares'!C60</f>
        <v>DMART</v>
      </c>
      <c r="C65" s="4">
        <f>VLOOKUP($B65,'Data shares'!$C:$FB,7)</f>
        <v>4415.6000000000004</v>
      </c>
      <c r="D65" s="82">
        <f>VLOOKUP($B65,'Data shares'!$C:$FB,98)</f>
        <v>7354050</v>
      </c>
      <c r="E65" s="165">
        <f>VLOOKUP(B65,'Snapshot (Volume)'!$A$7:$G$168,7,0)</f>
        <v>7617600</v>
      </c>
      <c r="F65" s="165">
        <f t="shared" si="18"/>
        <v>-263550</v>
      </c>
      <c r="G65" s="166">
        <f t="shared" si="19"/>
        <v>-3.459751102709515E-2</v>
      </c>
      <c r="H65" s="165">
        <f>VLOOKUP($B65,'Data shares'!$C:$FB,66)</f>
        <v>3765150</v>
      </c>
      <c r="I65" s="165">
        <f>VLOOKUP($B65,'Data shares'!$C:$FB,67)</f>
        <v>6830700</v>
      </c>
      <c r="J65" s="81">
        <f t="shared" si="20"/>
        <v>-44.879002152048834</v>
      </c>
      <c r="K65" s="5">
        <f>VLOOKUP($B65,'Data Vlaue (Cr)'!$C:$FB,99)</f>
        <v>3259</v>
      </c>
      <c r="L65" s="81">
        <f>VLOOKUP(B65,'OI(Value)'!$A$7:$C$226,3,0)</f>
        <v>-117</v>
      </c>
      <c r="M65" s="33">
        <f t="shared" si="12"/>
        <v>-3.5900583000920525</v>
      </c>
      <c r="N65" s="5">
        <f>VLOOKUP($B65,'Data Vlaue (Cr)'!$C:$FB,67)</f>
        <v>1668</v>
      </c>
      <c r="O65" s="5">
        <f>VLOOKUP($B65,'Data Vlaue (Cr)'!$C:$FB,68)</f>
        <v>3027</v>
      </c>
      <c r="P65" s="5">
        <f t="shared" si="21"/>
        <v>-81.474820143884898</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Pharma</v>
      </c>
      <c r="B66" s="79" t="str">
        <f>'Data shares'!C61</f>
        <v>DRREDDY</v>
      </c>
      <c r="C66" s="4">
        <f>VLOOKUP($B66,'Data shares'!$C:$FB,7)</f>
        <v>1211.9000000000001</v>
      </c>
      <c r="D66" s="82">
        <f>VLOOKUP($B66,'Data shares'!$C:$FB,98)</f>
        <v>23464375</v>
      </c>
      <c r="E66" s="165">
        <f>VLOOKUP(B66,'Snapshot (Volume)'!$A$7:$G$168,7,0)</f>
        <v>25265000</v>
      </c>
      <c r="F66" s="165">
        <f t="shared" si="18"/>
        <v>-1800625</v>
      </c>
      <c r="G66" s="166">
        <f t="shared" si="19"/>
        <v>-7.1269542845834158E-2</v>
      </c>
      <c r="H66" s="165">
        <f>VLOOKUP($B66,'Data shares'!$C:$FB,66)</f>
        <v>16678125</v>
      </c>
      <c r="I66" s="165">
        <f>VLOOKUP($B66,'Data shares'!$C:$FB,67)</f>
        <v>16675625</v>
      </c>
      <c r="J66" s="81">
        <f t="shared" si="20"/>
        <v>1.4991941831265697E-2</v>
      </c>
      <c r="K66" s="5">
        <f>VLOOKUP($B66,'Data Vlaue (Cr)'!$C:$FB,99)</f>
        <v>2855</v>
      </c>
      <c r="L66" s="81">
        <f>VLOOKUP(B66,'OI(Value)'!$A$7:$C$226,3,0)</f>
        <v>-219</v>
      </c>
      <c r="M66" s="33">
        <f t="shared" ref="M66:M93" si="22">L66/K66*100</f>
        <v>-7.6707530647985998</v>
      </c>
      <c r="N66" s="5">
        <f>VLOOKUP($B66,'Data Vlaue (Cr)'!$C:$FB,67)</f>
        <v>2030</v>
      </c>
      <c r="O66" s="5">
        <f>VLOOKUP($B66,'Data Vlaue (Cr)'!$C:$FB,68)</f>
        <v>2029</v>
      </c>
      <c r="P66" s="5">
        <f t="shared" si="21"/>
        <v>4.926108374384236E-2</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EICHERMOT</v>
      </c>
      <c r="C67" s="4">
        <f>VLOOKUP($B67,'Data shares'!$C:$FB,7)</f>
        <v>7147.5</v>
      </c>
      <c r="D67" s="82">
        <f>VLOOKUP($B67,'Data shares'!$C:$FB,98)</f>
        <v>6809900</v>
      </c>
      <c r="E67" s="165">
        <f>VLOOKUP(B67,'Snapshot (Volume)'!$A$7:$G$168,7,0)</f>
        <v>6726500</v>
      </c>
      <c r="F67" s="165">
        <f t="shared" si="18"/>
        <v>83400</v>
      </c>
      <c r="G67" s="166">
        <f t="shared" si="19"/>
        <v>1.2398721474763993E-2</v>
      </c>
      <c r="H67" s="165">
        <f>VLOOKUP($B67,'Data shares'!$C:$FB,66)</f>
        <v>4317000</v>
      </c>
      <c r="I67" s="165">
        <f>VLOOKUP($B67,'Data shares'!$C:$FB,67)</f>
        <v>7447700</v>
      </c>
      <c r="J67" s="81">
        <f t="shared" si="20"/>
        <v>-42.03579628610175</v>
      </c>
      <c r="K67" s="5">
        <f>VLOOKUP($B67,'Data Vlaue (Cr)'!$C:$FB,99)</f>
        <v>4877</v>
      </c>
      <c r="L67" s="81">
        <f>VLOOKUP(B67,'OI(Value)'!$A$7:$C$226,3,0)</f>
        <v>60</v>
      </c>
      <c r="M67" s="33">
        <f t="shared" si="22"/>
        <v>1.2302645068689768</v>
      </c>
      <c r="N67" s="5">
        <f>VLOOKUP($B67,'Data Vlaue (Cr)'!$C:$FB,67)</f>
        <v>3091</v>
      </c>
      <c r="O67" s="5">
        <f>VLOOKUP($B67,'Data Vlaue (Cr)'!$C:$FB,68)</f>
        <v>5333</v>
      </c>
      <c r="P67" s="5">
        <f t="shared" si="21"/>
        <v>-72.533160789388546</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New_Age</v>
      </c>
      <c r="B68" s="79" t="str">
        <f>'Data shares'!C63</f>
        <v>ETERNAL</v>
      </c>
      <c r="C68" s="4">
        <f>VLOOKUP($B68,'Data shares'!$C:$FB,7)</f>
        <v>237.89</v>
      </c>
      <c r="D68" s="82">
        <f>VLOOKUP($B68,'Data shares'!$C:$FB,98)</f>
        <v>297838500</v>
      </c>
      <c r="E68" s="165">
        <f>VLOOKUP(B68,'Snapshot (Volume)'!$A$7:$G$168,7,0)</f>
        <v>288882975</v>
      </c>
      <c r="F68" s="165">
        <f t="shared" si="18"/>
        <v>8955525</v>
      </c>
      <c r="G68" s="166">
        <f t="shared" si="19"/>
        <v>3.1000528847364577E-2</v>
      </c>
      <c r="H68" s="165">
        <f>VLOOKUP($B68,'Data shares'!$C:$FB,66)</f>
        <v>103700275</v>
      </c>
      <c r="I68" s="165">
        <f>VLOOKUP($B68,'Data shares'!$C:$FB,67)</f>
        <v>141932825</v>
      </c>
      <c r="J68" s="81">
        <f t="shared" si="20"/>
        <v>-26.937073929163319</v>
      </c>
      <c r="K68" s="5">
        <f>VLOOKUP($B68,'Data Vlaue (Cr)'!$C:$FB,99)</f>
        <v>7115</v>
      </c>
      <c r="L68" s="81">
        <f>VLOOKUP(B68,'OI(Value)'!$A$7:$C$226,3,0)</f>
        <v>214</v>
      </c>
      <c r="M68" s="33">
        <f t="shared" si="22"/>
        <v>3.0077301475755447</v>
      </c>
      <c r="N68" s="5">
        <f>VLOOKUP($B68,'Data Vlaue (Cr)'!$C:$FB,67)</f>
        <v>2477</v>
      </c>
      <c r="O68" s="5">
        <f>VLOOKUP($B68,'Data Vlaue (Cr)'!$C:$FB,68)</f>
        <v>3391</v>
      </c>
      <c r="P68" s="5">
        <f t="shared" si="21"/>
        <v>-36.899475171578523</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Automobile</v>
      </c>
      <c r="B69" s="79" t="str">
        <f>'Data shares'!C64</f>
        <v>EXIDEIND</v>
      </c>
      <c r="C69" s="79">
        <f>VLOOKUP($B69,'Data shares'!$C:$FB,7)</f>
        <v>311.25</v>
      </c>
      <c r="D69" s="165">
        <f>VLOOKUP($B69,'Data shares'!$C:$FB,98)</f>
        <v>51408000</v>
      </c>
      <c r="E69" s="165">
        <f>VLOOKUP(B69,'Snapshot (Volume)'!$A$7:$G$168,7,0)</f>
        <v>46292400</v>
      </c>
      <c r="F69" s="165">
        <f t="shared" ref="F69:F85" si="23">D69-E69</f>
        <v>5115600</v>
      </c>
      <c r="G69" s="166">
        <f t="shared" ref="G69:G85" si="24">F69/E69</f>
        <v>0.11050626020685901</v>
      </c>
      <c r="H69" s="165">
        <f>VLOOKUP($B69,'Data shares'!$C:$FB,66)</f>
        <v>32313600</v>
      </c>
      <c r="I69" s="165">
        <f>VLOOKUP($B69,'Data shares'!$C:$FB,67)</f>
        <v>25284600</v>
      </c>
      <c r="J69" s="81">
        <f t="shared" ref="J69:J85" si="25">(H69-I69)/I69*100</f>
        <v>27.799530148786218</v>
      </c>
      <c r="K69" s="81">
        <f>VLOOKUP($B69,'Data Vlaue (Cr)'!$C:$FB,99)</f>
        <v>1603</v>
      </c>
      <c r="L69" s="81">
        <f>VLOOKUP(B69,'OI(Value)'!$A$7:$C$226,3,0)</f>
        <v>160</v>
      </c>
      <c r="M69" s="81">
        <f t="shared" si="22"/>
        <v>9.9812850904553976</v>
      </c>
      <c r="N69" s="81">
        <f>VLOOKUP($B69,'Data Vlaue (Cr)'!$C:$FB,67)</f>
        <v>1008</v>
      </c>
      <c r="O69" s="81">
        <f>VLOOKUP($B69,'Data Vlaue (Cr)'!$C:$FB,68)</f>
        <v>789</v>
      </c>
      <c r="P69" s="81">
        <f t="shared" ref="P69:P85" si="26">(N69-O69)/N69*100</f>
        <v>21.726190476190478</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Banking</v>
      </c>
      <c r="B70" s="79" t="str">
        <f>'Data shares'!C65</f>
        <v>FEDERALBNK</v>
      </c>
      <c r="C70" s="79">
        <f>VLOOKUP($B70,'Data shares'!$C:$FB,7)</f>
        <v>283.3</v>
      </c>
      <c r="D70" s="165">
        <f>VLOOKUP($B70,'Data shares'!$C:$FB,98)</f>
        <v>124980000</v>
      </c>
      <c r="E70" s="165">
        <f>VLOOKUP(B70,'Snapshot (Volume)'!$A$7:$G$168,7,0)</f>
        <v>124405000</v>
      </c>
      <c r="F70" s="165">
        <f t="shared" si="23"/>
        <v>575000</v>
      </c>
      <c r="G70" s="166">
        <f t="shared" si="24"/>
        <v>4.6220007234435917E-3</v>
      </c>
      <c r="H70" s="165">
        <f>VLOOKUP($B70,'Data shares'!$C:$FB,66)</f>
        <v>51985000</v>
      </c>
      <c r="I70" s="165">
        <f>VLOOKUP($B70,'Data shares'!$C:$FB,67)</f>
        <v>81010000</v>
      </c>
      <c r="J70" s="81">
        <f t="shared" si="25"/>
        <v>-35.828910011109741</v>
      </c>
      <c r="K70" s="81">
        <f>VLOOKUP($B70,'Data Vlaue (Cr)'!$C:$FB,99)</f>
        <v>3548</v>
      </c>
      <c r="L70" s="81">
        <f>VLOOKUP(B70,'OI(Value)'!$A$7:$C$226,3,0)</f>
        <v>16</v>
      </c>
      <c r="M70" s="81">
        <f t="shared" si="22"/>
        <v>0.45095828635851182</v>
      </c>
      <c r="N70" s="81">
        <f>VLOOKUP($B70,'Data Vlaue (Cr)'!$C:$FB,67)</f>
        <v>1476</v>
      </c>
      <c r="O70" s="81">
        <f>VLOOKUP($B70,'Data Vlaue (Cr)'!$C:$FB,68)</f>
        <v>2300</v>
      </c>
      <c r="P70" s="81">
        <f t="shared" si="26"/>
        <v>-55.826558265582662</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Index</v>
      </c>
      <c r="B71" s="79" t="str">
        <f>'Data shares'!C66</f>
        <v>FINNIFTY</v>
      </c>
      <c r="C71" s="4">
        <f>VLOOKUP($B71,'Data shares'!$C:$FB,7)</f>
        <v>25685.85</v>
      </c>
      <c r="D71" s="82">
        <f>VLOOKUP($B71,'Data shares'!$C:$FB,98)</f>
        <v>260220</v>
      </c>
      <c r="E71" s="165">
        <f>VLOOKUP(B71,'Snapshot (Volume)'!$A$7:$G$168,7,0)</f>
        <v>224700</v>
      </c>
      <c r="F71" s="165">
        <f t="shared" si="23"/>
        <v>35520</v>
      </c>
      <c r="G71" s="166">
        <f t="shared" si="24"/>
        <v>0.15807743658210949</v>
      </c>
      <c r="H71" s="165">
        <f>VLOOKUP($B71,'Data shares'!$C:$FB,66)</f>
        <v>411000</v>
      </c>
      <c r="I71" s="165">
        <f>VLOOKUP($B71,'Data shares'!$C:$FB,67)</f>
        <v>503700</v>
      </c>
      <c r="J71" s="81">
        <f t="shared" si="25"/>
        <v>-18.403811792733769</v>
      </c>
      <c r="K71" s="5">
        <f>VLOOKUP($B71,'Data Vlaue (Cr)'!$C:$FB,99)</f>
        <v>672</v>
      </c>
      <c r="L71" s="81">
        <f>VLOOKUP(B71,'OI(Value)'!$A$7:$C$226,3,0)</f>
        <v>92</v>
      </c>
      <c r="M71" s="33">
        <f t="shared" si="22"/>
        <v>13.690476190476192</v>
      </c>
      <c r="N71" s="5">
        <f>VLOOKUP($B71,'Data Vlaue (Cr)'!$C:$FB,67)</f>
        <v>1061</v>
      </c>
      <c r="O71" s="5">
        <f>VLOOKUP($B71,'Data Vlaue (Cr)'!$C:$FB,68)</f>
        <v>1300</v>
      </c>
      <c r="P71" s="5">
        <f t="shared" si="26"/>
        <v>-22.525918944392085</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Others</v>
      </c>
      <c r="B72" s="79" t="str">
        <f>'Data shares'!C67</f>
        <v>FORCEMOT</v>
      </c>
      <c r="C72" s="4">
        <f>VLOOKUP($B72,'Data shares'!$C:$FB,7)</f>
        <v>22168</v>
      </c>
      <c r="D72" s="82">
        <f>VLOOKUP($B72,'Data shares'!$C:$FB,98)</f>
        <v>140675</v>
      </c>
      <c r="E72" s="165">
        <f>VLOOKUP(B72,'Snapshot (Volume)'!$A$7:$G$168,7,0)</f>
        <v>134300</v>
      </c>
      <c r="F72" s="165">
        <f t="shared" si="23"/>
        <v>6375</v>
      </c>
      <c r="G72" s="166">
        <f t="shared" si="24"/>
        <v>4.746835443037975E-2</v>
      </c>
      <c r="H72" s="165">
        <f>VLOOKUP($B72,'Data shares'!$C:$FB,66)</f>
        <v>195450</v>
      </c>
      <c r="I72" s="165">
        <f>VLOOKUP($B72,'Data shares'!$C:$FB,67)</f>
        <v>550550</v>
      </c>
      <c r="J72" s="81">
        <f t="shared" si="25"/>
        <v>-64.499137226409957</v>
      </c>
      <c r="K72" s="5">
        <f>VLOOKUP($B72,'Data Vlaue (Cr)'!$C:$FB,99)</f>
        <v>312</v>
      </c>
      <c r="L72" s="81">
        <f>VLOOKUP(B72,'OI(Value)'!$A$7:$C$226,3,0)</f>
        <v>14</v>
      </c>
      <c r="M72" s="33">
        <f t="shared" si="22"/>
        <v>4.4871794871794872</v>
      </c>
      <c r="N72" s="5">
        <f>VLOOKUP($B72,'Data Vlaue (Cr)'!$C:$FB,67)</f>
        <v>434</v>
      </c>
      <c r="O72" s="5">
        <f>VLOOKUP($B72,'Data Vlaue (Cr)'!$C:$FB,68)</f>
        <v>1223</v>
      </c>
      <c r="P72" s="5">
        <f t="shared" si="26"/>
        <v>-181.79723502304148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850.05</v>
      </c>
      <c r="D73" s="82">
        <f>VLOOKUP($B73,'Data shares'!$C:$FB,98)</f>
        <v>14929600</v>
      </c>
      <c r="E73" s="165">
        <f>VLOOKUP(B73,'Snapshot (Volume)'!$A$7:$G$168,7,0)</f>
        <v>14913325</v>
      </c>
      <c r="F73" s="165">
        <f t="shared" si="23"/>
        <v>16275</v>
      </c>
      <c r="G73" s="166">
        <f t="shared" si="24"/>
        <v>1.0913059294288831E-3</v>
      </c>
      <c r="H73" s="165">
        <f>VLOOKUP($B73,'Data shares'!$C:$FB,66)</f>
        <v>3712250</v>
      </c>
      <c r="I73" s="165">
        <f>VLOOKUP($B73,'Data shares'!$C:$FB,67)</f>
        <v>5902400</v>
      </c>
      <c r="J73" s="81">
        <f t="shared" si="25"/>
        <v>-37.106092436974791</v>
      </c>
      <c r="K73" s="5">
        <f>VLOOKUP($B73,'Data Vlaue (Cr)'!$C:$FB,99)</f>
        <v>1275</v>
      </c>
      <c r="L73" s="81">
        <f>VLOOKUP(B73,'OI(Value)'!$A$7:$C$226,3,0)</f>
        <v>1</v>
      </c>
      <c r="M73" s="33">
        <f t="shared" si="22"/>
        <v>7.8431372549019607E-2</v>
      </c>
      <c r="N73" s="5">
        <f>VLOOKUP($B73,'Data Vlaue (Cr)'!$C:$FB,67)</f>
        <v>317</v>
      </c>
      <c r="O73" s="5">
        <f>VLOOKUP($B73,'Data Vlaue (Cr)'!$C:$FB,68)</f>
        <v>504</v>
      </c>
      <c r="P73" s="5">
        <f t="shared" si="26"/>
        <v>-58.990536277602523</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152.22</v>
      </c>
      <c r="D74" s="82">
        <f>VLOOKUP($B74,'Data shares'!$C:$FB,98)</f>
        <v>138023550</v>
      </c>
      <c r="E74" s="165">
        <f>VLOOKUP(B74,'Snapshot (Volume)'!$A$7:$G$168,7,0)</f>
        <v>138417300</v>
      </c>
      <c r="F74" s="165">
        <f t="shared" si="23"/>
        <v>-393750</v>
      </c>
      <c r="G74" s="166">
        <f t="shared" si="24"/>
        <v>-2.8446588685084886E-3</v>
      </c>
      <c r="H74" s="165">
        <f>VLOOKUP($B74,'Data shares'!$C:$FB,66)</f>
        <v>28548450</v>
      </c>
      <c r="I74" s="165">
        <f>VLOOKUP($B74,'Data shares'!$C:$FB,67)</f>
        <v>91624050</v>
      </c>
      <c r="J74" s="81">
        <f t="shared" si="25"/>
        <v>-68.84175061023825</v>
      </c>
      <c r="K74" s="5">
        <f>VLOOKUP($B74,'Data Vlaue (Cr)'!$C:$FB,99)</f>
        <v>2106</v>
      </c>
      <c r="L74" s="81">
        <f>VLOOKUP(B74,'OI(Value)'!$A$7:$C$226,3,0)</f>
        <v>-6</v>
      </c>
      <c r="M74" s="33">
        <f t="shared" si="22"/>
        <v>-0.28490028490028491</v>
      </c>
      <c r="N74" s="5">
        <f>VLOOKUP($B74,'Data Vlaue (Cr)'!$C:$FB,67)</f>
        <v>436</v>
      </c>
      <c r="O74" s="5">
        <f>VLOOKUP($B74,'Data Vlaue (Cr)'!$C:$FB,68)</f>
        <v>1398</v>
      </c>
      <c r="P74" s="5">
        <f t="shared" si="26"/>
        <v>-220.64220183486239</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2169.1</v>
      </c>
      <c r="D75" s="82">
        <f>VLOOKUP($B75,'Data shares'!$C:$FB,98)</f>
        <v>12704625</v>
      </c>
      <c r="E75" s="165">
        <f>VLOOKUP(B75,'Snapshot (Volume)'!$A$7:$G$168,7,0)</f>
        <v>12838500</v>
      </c>
      <c r="F75" s="165">
        <f t="shared" si="23"/>
        <v>-133875</v>
      </c>
      <c r="G75" s="166">
        <f t="shared" si="24"/>
        <v>-1.0427620049071154E-2</v>
      </c>
      <c r="H75" s="165">
        <f>VLOOKUP($B75,'Data shares'!$C:$FB,66)</f>
        <v>3586125</v>
      </c>
      <c r="I75" s="165">
        <f>VLOOKUP($B75,'Data shares'!$C:$FB,67)</f>
        <v>4331625</v>
      </c>
      <c r="J75" s="81">
        <f t="shared" si="25"/>
        <v>-17.210631114189248</v>
      </c>
      <c r="K75" s="5">
        <f>VLOOKUP($B75,'Data Vlaue (Cr)'!$C:$FB,99)</f>
        <v>2761</v>
      </c>
      <c r="L75" s="81">
        <f>VLOOKUP(B75,'OI(Value)'!$A$7:$C$226,3,0)</f>
        <v>-29</v>
      </c>
      <c r="M75" s="33">
        <f t="shared" si="22"/>
        <v>-1.0503440782325244</v>
      </c>
      <c r="N75" s="5">
        <f>VLOOKUP($B75,'Data Vlaue (Cr)'!$C:$FB,67)</f>
        <v>779</v>
      </c>
      <c r="O75" s="5">
        <f>VLOOKUP($B75,'Data Vlaue (Cr)'!$C:$FB,68)</f>
        <v>941</v>
      </c>
      <c r="P75" s="5">
        <f t="shared" si="26"/>
        <v>-20.79589216944801</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94.53</v>
      </c>
      <c r="D76" s="82">
        <f>VLOOKUP($B76,'Data shares'!$C:$FB,98)</f>
        <v>195913800</v>
      </c>
      <c r="E76" s="165">
        <f>VLOOKUP(B76,'Snapshot (Volume)'!$A$7:$G$168,7,0)</f>
        <v>189880425</v>
      </c>
      <c r="F76" s="165">
        <f t="shared" si="23"/>
        <v>6033375</v>
      </c>
      <c r="G76" s="166">
        <f t="shared" si="24"/>
        <v>3.1774602358299965E-2</v>
      </c>
      <c r="H76" s="165">
        <f>VLOOKUP($B76,'Data shares'!$C:$FB,66)</f>
        <v>61847325</v>
      </c>
      <c r="I76" s="165">
        <f>VLOOKUP($B76,'Data shares'!$C:$FB,67)</f>
        <v>84509100</v>
      </c>
      <c r="J76" s="81">
        <f t="shared" si="25"/>
        <v>-26.815780785737868</v>
      </c>
      <c r="K76" s="5">
        <f>VLOOKUP($B76,'Data Vlaue (Cr)'!$C:$FB,99)</f>
        <v>1861</v>
      </c>
      <c r="L76" s="81">
        <f>VLOOKUP(B76,'OI(Value)'!$A$7:$C$226,3,0)</f>
        <v>57</v>
      </c>
      <c r="M76" s="33">
        <f t="shared" si="22"/>
        <v>3.0628694250403008</v>
      </c>
      <c r="N76" s="5">
        <f>VLOOKUP($B76,'Data Vlaue (Cr)'!$C:$FB,67)</f>
        <v>587</v>
      </c>
      <c r="O76" s="5">
        <f>VLOOKUP($B76,'Data Vlaue (Cr)'!$C:$FB,68)</f>
        <v>803</v>
      </c>
      <c r="P76" s="5">
        <f t="shared" si="26"/>
        <v>-36.797274275979561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Others</v>
      </c>
      <c r="B77" s="79" t="str">
        <f>'Data shares'!C72</f>
        <v>GODFRYPHLP</v>
      </c>
      <c r="C77" s="4">
        <f>VLOOKUP($B77,'Data shares'!$C:$FB,7)</f>
        <v>2034.8</v>
      </c>
      <c r="D77" s="82">
        <f>VLOOKUP($B77,'Data shares'!$C:$FB,98)</f>
        <v>521950</v>
      </c>
      <c r="E77" s="165">
        <f>VLOOKUP(B77,'Snapshot (Volume)'!$A$7:$G$168,7,0)</f>
        <v>363000</v>
      </c>
      <c r="F77" s="165">
        <f t="shared" si="23"/>
        <v>158950</v>
      </c>
      <c r="G77" s="166">
        <f t="shared" si="24"/>
        <v>0.43787878787878787</v>
      </c>
      <c r="H77" s="165">
        <f>VLOOKUP($B77,'Data shares'!$C:$FB,66)</f>
        <v>1131075</v>
      </c>
      <c r="I77" s="165">
        <f>VLOOKUP($B77,'Data shares'!$C:$FB,67)</f>
        <v>440550</v>
      </c>
      <c r="J77" s="81">
        <f t="shared" si="25"/>
        <v>156.74157303370785</v>
      </c>
      <c r="K77" s="5">
        <f>VLOOKUP($B77,'Data Vlaue (Cr)'!$C:$FB,99)</f>
        <v>106</v>
      </c>
      <c r="L77" s="81">
        <f>VLOOKUP(B77,'OI(Value)'!$A$7:$C$226,3,0)</f>
        <v>32</v>
      </c>
      <c r="M77" s="33">
        <f t="shared" si="22"/>
        <v>30.188679245283019</v>
      </c>
      <c r="N77" s="5">
        <f>VLOOKUP($B77,'Data Vlaue (Cr)'!$C:$FB,67)</f>
        <v>231</v>
      </c>
      <c r="O77" s="5">
        <f>VLOOKUP($B77,'Data Vlaue (Cr)'!$C:$FB,68)</f>
        <v>90</v>
      </c>
      <c r="P77" s="5">
        <f t="shared" si="26"/>
        <v>61.038961038961034</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FMCG</v>
      </c>
      <c r="B78" s="79" t="str">
        <f>'Data shares'!C73</f>
        <v>GODREJCP</v>
      </c>
      <c r="C78" s="4">
        <f>VLOOKUP($B78,'Data shares'!$C:$FB,7)</f>
        <v>1063.3499999999999</v>
      </c>
      <c r="D78" s="82">
        <f>VLOOKUP($B78,'Data shares'!$C:$FB,98)</f>
        <v>14677500</v>
      </c>
      <c r="E78" s="165">
        <f>VLOOKUP(B78,'Snapshot (Volume)'!$A$7:$G$168,7,0)</f>
        <v>14396000</v>
      </c>
      <c r="F78" s="165">
        <f t="shared" si="23"/>
        <v>281500</v>
      </c>
      <c r="G78" s="166">
        <f t="shared" si="24"/>
        <v>1.9554042789663797E-2</v>
      </c>
      <c r="H78" s="165">
        <f>VLOOKUP($B78,'Data shares'!$C:$FB,66)</f>
        <v>2691500</v>
      </c>
      <c r="I78" s="165">
        <f>VLOOKUP($B78,'Data shares'!$C:$FB,67)</f>
        <v>7954500</v>
      </c>
      <c r="J78" s="81">
        <f t="shared" si="25"/>
        <v>-66.163806650323721</v>
      </c>
      <c r="K78" s="5">
        <f>VLOOKUP($B78,'Data Vlaue (Cr)'!$C:$FB,99)</f>
        <v>1566</v>
      </c>
      <c r="L78" s="81">
        <f>VLOOKUP(B78,'OI(Value)'!$A$7:$C$226,3,0)</f>
        <v>30</v>
      </c>
      <c r="M78" s="33">
        <f t="shared" si="22"/>
        <v>1.9157088122605364</v>
      </c>
      <c r="N78" s="5">
        <f>VLOOKUP($B78,'Data Vlaue (Cr)'!$C:$FB,67)</f>
        <v>287</v>
      </c>
      <c r="O78" s="5">
        <f>VLOOKUP($B78,'Data Vlaue (Cr)'!$C:$FB,68)</f>
        <v>849</v>
      </c>
      <c r="P78" s="5">
        <f t="shared" si="26"/>
        <v>-195.81881533101046</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Realty</v>
      </c>
      <c r="B79" s="79" t="str">
        <f>'Data shares'!C74</f>
        <v>GODREJPROP</v>
      </c>
      <c r="C79" s="4">
        <f>VLOOKUP($B79,'Data shares'!$C:$FB,7)</f>
        <v>1695.5</v>
      </c>
      <c r="D79" s="82">
        <f>VLOOKUP($B79,'Data shares'!$C:$FB,98)</f>
        <v>11868725</v>
      </c>
      <c r="E79" s="165">
        <f>VLOOKUP(B79,'Snapshot (Volume)'!$A$7:$G$168,7,0)</f>
        <v>11823075</v>
      </c>
      <c r="F79" s="165">
        <f t="shared" si="23"/>
        <v>45650</v>
      </c>
      <c r="G79" s="166">
        <f t="shared" si="24"/>
        <v>3.861093666410811E-3</v>
      </c>
      <c r="H79" s="165">
        <f>VLOOKUP($B79,'Data shares'!$C:$FB,66)</f>
        <v>3458400</v>
      </c>
      <c r="I79" s="165">
        <f>VLOOKUP($B79,'Data shares'!$C:$FB,67)</f>
        <v>6872250</v>
      </c>
      <c r="J79" s="81">
        <f t="shared" si="25"/>
        <v>-49.675870348139256</v>
      </c>
      <c r="K79" s="5">
        <f>VLOOKUP($B79,'Data Vlaue (Cr)'!$C:$FB,99)</f>
        <v>2018</v>
      </c>
      <c r="L79" s="81">
        <f>VLOOKUP(B79,'OI(Value)'!$A$7:$C$226,3,0)</f>
        <v>8</v>
      </c>
      <c r="M79" s="33">
        <f t="shared" si="22"/>
        <v>0.39643211100099107</v>
      </c>
      <c r="N79" s="5">
        <f>VLOOKUP($B79,'Data Vlaue (Cr)'!$C:$FB,67)</f>
        <v>588</v>
      </c>
      <c r="O79" s="5">
        <f>VLOOKUP($B79,'Data Vlaue (Cr)'!$C:$FB,68)</f>
        <v>1168</v>
      </c>
      <c r="P79" s="5">
        <f t="shared" si="26"/>
        <v>-98.639455782312922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2740.5</v>
      </c>
      <c r="D80" s="82">
        <f>VLOOKUP($B80,'Data shares'!$C:$FB,98)</f>
        <v>16983500</v>
      </c>
      <c r="E80" s="165">
        <f>VLOOKUP(B80,'Snapshot (Volume)'!$A$7:$G$168,7,0)</f>
        <v>16888250</v>
      </c>
      <c r="F80" s="165">
        <f t="shared" si="23"/>
        <v>95250</v>
      </c>
      <c r="G80" s="166">
        <f t="shared" si="24"/>
        <v>5.6400159874468933E-3</v>
      </c>
      <c r="H80" s="165">
        <f>VLOOKUP($B80,'Data shares'!$C:$FB,66)</f>
        <v>2077000</v>
      </c>
      <c r="I80" s="165">
        <f>VLOOKUP($B80,'Data shares'!$C:$FB,67)</f>
        <v>3783500</v>
      </c>
      <c r="J80" s="81">
        <f t="shared" si="25"/>
        <v>-45.103739923351391</v>
      </c>
      <c r="K80" s="5">
        <f>VLOOKUP($B80,'Data Vlaue (Cr)'!$C:$FB,99)</f>
        <v>4665</v>
      </c>
      <c r="L80" s="81">
        <f>VLOOKUP(B80,'OI(Value)'!$A$7:$C$226,3,0)</f>
        <v>26</v>
      </c>
      <c r="M80" s="33">
        <f t="shared" si="22"/>
        <v>0.55734190782422288</v>
      </c>
      <c r="N80" s="5">
        <f>VLOOKUP($B80,'Data Vlaue (Cr)'!$C:$FB,67)</f>
        <v>570</v>
      </c>
      <c r="O80" s="5">
        <f>VLOOKUP($B80,'Data Vlaue (Cr)'!$C:$FB,68)</f>
        <v>1039</v>
      </c>
      <c r="P80" s="5">
        <f t="shared" si="26"/>
        <v>-82.280701754385959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4032.9</v>
      </c>
      <c r="D81" s="82">
        <f>VLOOKUP($B81,'Data shares'!$C:$FB,98)</f>
        <v>13992750</v>
      </c>
      <c r="E81" s="165">
        <f>VLOOKUP(B81,'Snapshot (Volume)'!$A$7:$G$168,7,0)</f>
        <v>13406700</v>
      </c>
      <c r="F81" s="165">
        <f t="shared" si="23"/>
        <v>586050</v>
      </c>
      <c r="G81" s="166">
        <f t="shared" si="24"/>
        <v>4.3713218017856742E-2</v>
      </c>
      <c r="H81" s="165">
        <f>VLOOKUP($B81,'Data shares'!$C:$FB,66)</f>
        <v>23809950</v>
      </c>
      <c r="I81" s="165">
        <f>VLOOKUP($B81,'Data shares'!$C:$FB,67)</f>
        <v>7060350</v>
      </c>
      <c r="J81" s="81">
        <f t="shared" si="25"/>
        <v>237.23469799655822</v>
      </c>
      <c r="K81" s="5">
        <f>VLOOKUP($B81,'Data Vlaue (Cr)'!$C:$FB,99)</f>
        <v>5671</v>
      </c>
      <c r="L81" s="81">
        <f>VLOOKUP(B81,'OI(Value)'!$A$7:$C$226,3,0)</f>
        <v>238</v>
      </c>
      <c r="M81" s="33">
        <f t="shared" si="22"/>
        <v>4.1967906894727562</v>
      </c>
      <c r="N81" s="5">
        <f>VLOOKUP($B81,'Data Vlaue (Cr)'!$C:$FB,67)</f>
        <v>9649</v>
      </c>
      <c r="O81" s="5">
        <f>VLOOKUP($B81,'Data Vlaue (Cr)'!$C:$FB,68)</f>
        <v>2861</v>
      </c>
      <c r="P81" s="5">
        <f t="shared" si="26"/>
        <v>70.34925899056897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1257</v>
      </c>
      <c r="D82" s="82">
        <f>VLOOKUP($B82,'Data shares'!$C:$FB,98)</f>
        <v>11881000</v>
      </c>
      <c r="E82" s="165">
        <f>VLOOKUP(B82,'Snapshot (Volume)'!$A$7:$G$168,7,0)</f>
        <v>11892000</v>
      </c>
      <c r="F82" s="165">
        <f t="shared" si="23"/>
        <v>-11000</v>
      </c>
      <c r="G82" s="166">
        <f t="shared" si="24"/>
        <v>-9.2499159098553645E-4</v>
      </c>
      <c r="H82" s="165">
        <f>VLOOKUP($B82,'Data shares'!$C:$FB,66)</f>
        <v>3327000</v>
      </c>
      <c r="I82" s="165">
        <f>VLOOKUP($B82,'Data shares'!$C:$FB,67)</f>
        <v>5341500</v>
      </c>
      <c r="J82" s="81">
        <f t="shared" si="25"/>
        <v>-37.714125245717497</v>
      </c>
      <c r="K82" s="5">
        <f>VLOOKUP($B82,'Data Vlaue (Cr)'!$C:$FB,99)</f>
        <v>1495</v>
      </c>
      <c r="L82" s="81">
        <f>VLOOKUP(B82,'OI(Value)'!$A$7:$C$226,3,0)</f>
        <v>-1</v>
      </c>
      <c r="M82" s="33">
        <f t="shared" si="22"/>
        <v>-6.6889632107023408E-2</v>
      </c>
      <c r="N82" s="5">
        <f>VLOOKUP($B82,'Data Vlaue (Cr)'!$C:$FB,67)</f>
        <v>419</v>
      </c>
      <c r="O82" s="5">
        <f>VLOOKUP($B82,'Data Vlaue (Cr)'!$C:$FB,68)</f>
        <v>672</v>
      </c>
      <c r="P82" s="5">
        <f t="shared" si="26"/>
        <v>-60.381861575178995</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1464.9</v>
      </c>
      <c r="D83" s="82">
        <f>VLOOKUP($B83,'Data shares'!$C:$FB,98)</f>
        <v>46887750</v>
      </c>
      <c r="E83" s="165">
        <f>VLOOKUP(B83,'Snapshot (Volume)'!$A$7:$G$168,7,0)</f>
        <v>44468900</v>
      </c>
      <c r="F83" s="165">
        <f t="shared" si="23"/>
        <v>2418850</v>
      </c>
      <c r="G83" s="166">
        <f t="shared" si="24"/>
        <v>5.4394194594424419E-2</v>
      </c>
      <c r="H83" s="165">
        <f>VLOOKUP($B83,'Data shares'!$C:$FB,66)</f>
        <v>18855200</v>
      </c>
      <c r="I83" s="165">
        <f>VLOOKUP($B83,'Data shares'!$C:$FB,67)</f>
        <v>15789550</v>
      </c>
      <c r="J83" s="81">
        <f t="shared" si="25"/>
        <v>19.415689490834129</v>
      </c>
      <c r="K83" s="5">
        <f>VLOOKUP($B83,'Data Vlaue (Cr)'!$C:$FB,99)</f>
        <v>6772</v>
      </c>
      <c r="L83" s="81">
        <f>VLOOKUP(B83,'OI(Value)'!$A$7:$C$226,3,0)</f>
        <v>349</v>
      </c>
      <c r="M83" s="33">
        <f t="shared" si="22"/>
        <v>5.1535735380980512</v>
      </c>
      <c r="N83" s="5">
        <f>VLOOKUP($B83,'Data Vlaue (Cr)'!$C:$FB,67)</f>
        <v>2723</v>
      </c>
      <c r="O83" s="5">
        <f>VLOOKUP($B83,'Data Vlaue (Cr)'!$C:$FB,68)</f>
        <v>2280</v>
      </c>
      <c r="P83" s="5">
        <f t="shared" si="26"/>
        <v>16.268821153139921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2515</v>
      </c>
      <c r="D84" s="82">
        <f>VLOOKUP($B84,'Data shares'!$C:$FB,98)</f>
        <v>7521000</v>
      </c>
      <c r="E84" s="165">
        <f>VLOOKUP(B84,'Snapshot (Volume)'!$A$7:$G$168,7,0)</f>
        <v>7356300</v>
      </c>
      <c r="F84" s="165">
        <f t="shared" si="23"/>
        <v>164700</v>
      </c>
      <c r="G84" s="166">
        <f t="shared" si="24"/>
        <v>2.2388972717262753E-2</v>
      </c>
      <c r="H84" s="165">
        <f>VLOOKUP($B84,'Data shares'!$C:$FB,66)</f>
        <v>2922600</v>
      </c>
      <c r="I84" s="165">
        <f>VLOOKUP($B84,'Data shares'!$C:$FB,67)</f>
        <v>6390900</v>
      </c>
      <c r="J84" s="81">
        <f t="shared" si="25"/>
        <v>-54.269351734497484</v>
      </c>
      <c r="K84" s="5">
        <f>VLOOKUP($B84,'Data Vlaue (Cr)'!$C:$FB,99)</f>
        <v>1898</v>
      </c>
      <c r="L84" s="81">
        <f>VLOOKUP(B84,'OI(Value)'!$A$7:$C$226,3,0)</f>
        <v>42</v>
      </c>
      <c r="M84" s="33">
        <f t="shared" si="22"/>
        <v>2.2128556375131718</v>
      </c>
      <c r="N84" s="5">
        <f>VLOOKUP($B84,'Data Vlaue (Cr)'!$C:$FB,67)</f>
        <v>738</v>
      </c>
      <c r="O84" s="5">
        <f>VLOOKUP($B84,'Data Vlaue (Cr)'!$C:$FB,68)</f>
        <v>1613</v>
      </c>
      <c r="P84" s="5">
        <f t="shared" si="26"/>
        <v>-118.56368563685638</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797.7</v>
      </c>
      <c r="D85" s="82">
        <f>VLOOKUP($B85,'Data shares'!$C:$FB,98)</f>
        <v>451375100</v>
      </c>
      <c r="E85" s="165">
        <f>VLOOKUP(B85,'Snapshot (Volume)'!$A$7:$G$168,7,0)</f>
        <v>440967450</v>
      </c>
      <c r="F85" s="165">
        <f t="shared" si="23"/>
        <v>10407650</v>
      </c>
      <c r="G85" s="166">
        <f t="shared" si="24"/>
        <v>2.3601855420394408E-2</v>
      </c>
      <c r="H85" s="165">
        <f>VLOOKUP($B85,'Data shares'!$C:$FB,66)</f>
        <v>163791650</v>
      </c>
      <c r="I85" s="165">
        <f>VLOOKUP($B85,'Data shares'!$C:$FB,67)</f>
        <v>247811300</v>
      </c>
      <c r="J85" s="81">
        <f t="shared" si="25"/>
        <v>-33.90468876923692</v>
      </c>
      <c r="K85" s="5">
        <f>VLOOKUP($B85,'Data Vlaue (Cr)'!$C:$FB,99)</f>
        <v>36160</v>
      </c>
      <c r="L85" s="81">
        <f>VLOOKUP(B85,'OI(Value)'!$A$7:$C$226,3,0)</f>
        <v>834</v>
      </c>
      <c r="M85" s="33">
        <f t="shared" si="22"/>
        <v>2.3064159292035398</v>
      </c>
      <c r="N85" s="5">
        <f>VLOOKUP($B85,'Data Vlaue (Cr)'!$C:$FB,67)</f>
        <v>13121</v>
      </c>
      <c r="O85" s="5">
        <f>VLOOKUP($B85,'Data Vlaue (Cr)'!$C:$FB,68)</f>
        <v>19852</v>
      </c>
      <c r="P85" s="5">
        <f t="shared" si="26"/>
        <v>-51.299443639966469</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591.20000000000005</v>
      </c>
      <c r="D86" s="82">
        <f>VLOOKUP($B86,'Data shares'!$C:$FB,98)</f>
        <v>63847300</v>
      </c>
      <c r="E86" s="165">
        <f>VLOOKUP(B86,'Snapshot (Volume)'!$A$7:$G$168,7,0)</f>
        <v>62775900</v>
      </c>
      <c r="F86" s="165">
        <f t="shared" ref="F86:F96" si="27">D86-E86</f>
        <v>1071400</v>
      </c>
      <c r="G86" s="166">
        <f t="shared" ref="G86:G96" si="28">F86/E86</f>
        <v>1.7067059173982373E-2</v>
      </c>
      <c r="H86" s="165">
        <f>VLOOKUP($B86,'Data shares'!$C:$FB,66)</f>
        <v>18136800</v>
      </c>
      <c r="I86" s="165">
        <f>VLOOKUP($B86,'Data shares'!$C:$FB,67)</f>
        <v>23888700</v>
      </c>
      <c r="J86" s="81">
        <f t="shared" ref="J86:J96" si="29">(H86-I86)/I86*100</f>
        <v>-24.077911313717365</v>
      </c>
      <c r="K86" s="5">
        <f>VLOOKUP($B86,'Data Vlaue (Cr)'!$C:$FB,99)</f>
        <v>3787</v>
      </c>
      <c r="L86" s="81">
        <f>VLOOKUP(B86,'OI(Value)'!$A$7:$C$226,3,0)</f>
        <v>64</v>
      </c>
      <c r="M86" s="33">
        <f t="shared" si="22"/>
        <v>1.6899920781621336</v>
      </c>
      <c r="N86" s="5">
        <f>VLOOKUP($B86,'Data Vlaue (Cr)'!$C:$FB,67)</f>
        <v>1076</v>
      </c>
      <c r="O86" s="5">
        <f>VLOOKUP($B86,'Data Vlaue (Cr)'!$C:$FB,68)</f>
        <v>1417</v>
      </c>
      <c r="P86" s="5">
        <f t="shared" ref="P86:P96" si="30">(N86-O86)/N86*100</f>
        <v>-31.691449814126393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5284</v>
      </c>
      <c r="D87" s="82">
        <f>VLOOKUP($B87,'Data shares'!$C:$FB,98)</f>
        <v>6208200</v>
      </c>
      <c r="E87" s="165">
        <f>VLOOKUP(B87,'Snapshot (Volume)'!$A$7:$G$168,7,0)</f>
        <v>5958900</v>
      </c>
      <c r="F87" s="165">
        <f t="shared" si="27"/>
        <v>249300</v>
      </c>
      <c r="G87" s="166">
        <f t="shared" si="28"/>
        <v>4.1836580576952123E-2</v>
      </c>
      <c r="H87" s="165">
        <f>VLOOKUP($B87,'Data shares'!$C:$FB,66)</f>
        <v>3496050</v>
      </c>
      <c r="I87" s="165">
        <f>VLOOKUP($B87,'Data shares'!$C:$FB,67)</f>
        <v>4475100</v>
      </c>
      <c r="J87" s="81">
        <f t="shared" si="29"/>
        <v>-21.877723402828984</v>
      </c>
      <c r="K87" s="5">
        <f>VLOOKUP($B87,'Data Vlaue (Cr)'!$C:$FB,99)</f>
        <v>3296</v>
      </c>
      <c r="L87" s="81">
        <f>VLOOKUP(B87,'OI(Value)'!$A$7:$C$226,3,0)</f>
        <v>132</v>
      </c>
      <c r="M87" s="33">
        <f t="shared" si="22"/>
        <v>4.0048543689320395</v>
      </c>
      <c r="N87" s="5">
        <f>VLOOKUP($B87,'Data Vlaue (Cr)'!$C:$FB,67)</f>
        <v>1856</v>
      </c>
      <c r="O87" s="5">
        <f>VLOOKUP($B87,'Data Vlaue (Cr)'!$C:$FB,68)</f>
        <v>2376</v>
      </c>
      <c r="P87" s="5">
        <f t="shared" si="30"/>
        <v>-28.017241379310342</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HINDALCO</v>
      </c>
      <c r="C88" s="4">
        <f>VLOOKUP($B88,'Data shares'!$C:$FB,7)</f>
        <v>985.65</v>
      </c>
      <c r="D88" s="82">
        <f>VLOOKUP($B88,'Data shares'!$C:$FB,98)</f>
        <v>60574500</v>
      </c>
      <c r="E88" s="165">
        <f>VLOOKUP(B88,'Snapshot (Volume)'!$A$7:$G$168,7,0)</f>
        <v>58565500</v>
      </c>
      <c r="F88" s="165">
        <f t="shared" si="27"/>
        <v>2009000</v>
      </c>
      <c r="G88" s="166">
        <f t="shared" si="28"/>
        <v>3.4303472180720732E-2</v>
      </c>
      <c r="H88" s="165">
        <f>VLOOKUP($B88,'Data shares'!$C:$FB,66)</f>
        <v>73928400</v>
      </c>
      <c r="I88" s="165">
        <f>VLOOKUP($B88,'Data shares'!$C:$FB,67)</f>
        <v>48120800</v>
      </c>
      <c r="J88" s="81">
        <f t="shared" si="29"/>
        <v>53.630862329803328</v>
      </c>
      <c r="K88" s="5">
        <f>VLOOKUP($B88,'Data Vlaue (Cr)'!$C:$FB,99)</f>
        <v>5987</v>
      </c>
      <c r="L88" s="81">
        <f>VLOOKUP(B88,'OI(Value)'!$A$7:$C$226,3,0)</f>
        <v>199</v>
      </c>
      <c r="M88" s="33">
        <f t="shared" si="22"/>
        <v>3.3238683814932357</v>
      </c>
      <c r="N88" s="5">
        <f>VLOOKUP($B88,'Data Vlaue (Cr)'!$C:$FB,67)</f>
        <v>7307</v>
      </c>
      <c r="O88" s="5">
        <f>VLOOKUP($B88,'Data Vlaue (Cr)'!$C:$FB,68)</f>
        <v>4756</v>
      </c>
      <c r="P88" s="5">
        <f t="shared" si="30"/>
        <v>34.911728479540166</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Oil_Gas</v>
      </c>
      <c r="B89" s="79" t="str">
        <f>'Data shares'!C84</f>
        <v>HINDPETRO</v>
      </c>
      <c r="C89" s="4">
        <f>VLOOKUP($B89,'Data shares'!$C:$FB,7)</f>
        <v>358</v>
      </c>
      <c r="D89" s="82">
        <f>VLOOKUP($B89,'Data shares'!$C:$FB,98)</f>
        <v>77231475</v>
      </c>
      <c r="E89" s="165">
        <f>VLOOKUP(B89,'Snapshot (Volume)'!$A$7:$G$168,7,0)</f>
        <v>76071150</v>
      </c>
      <c r="F89" s="165">
        <f t="shared" si="27"/>
        <v>1160325</v>
      </c>
      <c r="G89" s="166">
        <f t="shared" si="28"/>
        <v>1.5253154448171219E-2</v>
      </c>
      <c r="H89" s="165">
        <f>VLOOKUP($B89,'Data shares'!$C:$FB,66)</f>
        <v>48336750</v>
      </c>
      <c r="I89" s="165">
        <f>VLOOKUP($B89,'Data shares'!$C:$FB,67)</f>
        <v>120963375</v>
      </c>
      <c r="J89" s="81">
        <f t="shared" si="29"/>
        <v>-60.040177450405963</v>
      </c>
      <c r="K89" s="5">
        <f>VLOOKUP($B89,'Data Vlaue (Cr)'!$C:$FB,99)</f>
        <v>2771</v>
      </c>
      <c r="L89" s="81">
        <f>VLOOKUP(B89,'OI(Value)'!$A$7:$C$226,3,0)</f>
        <v>42</v>
      </c>
      <c r="M89" s="33">
        <f t="shared" si="22"/>
        <v>1.5156983038614218</v>
      </c>
      <c r="N89" s="5">
        <f>VLOOKUP($B89,'Data Vlaue (Cr)'!$C:$FB,67)</f>
        <v>1735</v>
      </c>
      <c r="O89" s="5">
        <f>VLOOKUP($B89,'Data Vlaue (Cr)'!$C:$FB,68)</f>
        <v>4341</v>
      </c>
      <c r="P89" s="5">
        <f t="shared" si="30"/>
        <v>-150.20172910662822</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FMCG</v>
      </c>
      <c r="B90" s="79" t="str">
        <f>'Data shares'!C85</f>
        <v>HINDUNILVR</v>
      </c>
      <c r="C90" s="4">
        <f>VLOOKUP($B90,'Data shares'!$C:$FB,7)</f>
        <v>2133.1999999999998</v>
      </c>
      <c r="D90" s="82">
        <f>VLOOKUP($B90,'Data shares'!$C:$FB,98)</f>
        <v>24760500</v>
      </c>
      <c r="E90" s="165">
        <f>VLOOKUP(B90,'Snapshot (Volume)'!$A$7:$G$168,7,0)</f>
        <v>23981100</v>
      </c>
      <c r="F90" s="165">
        <f t="shared" si="27"/>
        <v>779400</v>
      </c>
      <c r="G90" s="166">
        <f t="shared" si="28"/>
        <v>3.2500594217946634E-2</v>
      </c>
      <c r="H90" s="165">
        <f>VLOOKUP($B90,'Data shares'!$C:$FB,66)</f>
        <v>9161100</v>
      </c>
      <c r="I90" s="165">
        <f>VLOOKUP($B90,'Data shares'!$C:$FB,67)</f>
        <v>19269000</v>
      </c>
      <c r="J90" s="81">
        <f t="shared" si="29"/>
        <v>-52.456795889771136</v>
      </c>
      <c r="K90" s="5">
        <f>VLOOKUP($B90,'Data Vlaue (Cr)'!$C:$FB,99)</f>
        <v>5307</v>
      </c>
      <c r="L90" s="81">
        <f>VLOOKUP(B90,'OI(Value)'!$A$7:$C$226,3,0)</f>
        <v>167</v>
      </c>
      <c r="M90" s="33">
        <f t="shared" si="22"/>
        <v>3.1467872621066517</v>
      </c>
      <c r="N90" s="5">
        <f>VLOOKUP($B90,'Data Vlaue (Cr)'!$C:$FB,67)</f>
        <v>1963</v>
      </c>
      <c r="O90" s="5">
        <f>VLOOKUP($B90,'Data Vlaue (Cr)'!$C:$FB,68)</f>
        <v>4130</v>
      </c>
      <c r="P90" s="5">
        <f t="shared" si="30"/>
        <v>-110.39225674987266</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Metals</v>
      </c>
      <c r="B91" s="79" t="str">
        <f>'Data shares'!C86</f>
        <v>HINDZINC</v>
      </c>
      <c r="C91" s="4">
        <f>VLOOKUP($B91,'Data shares'!$C:$FB,7)</f>
        <v>558.5</v>
      </c>
      <c r="D91" s="82">
        <f>VLOOKUP($B91,'Data shares'!$C:$FB,98)</f>
        <v>66679200</v>
      </c>
      <c r="E91" s="165">
        <f>VLOOKUP(B91,'Snapshot (Volume)'!$A$7:$G$168,7,0)</f>
        <v>66440325</v>
      </c>
      <c r="F91" s="165">
        <f t="shared" si="27"/>
        <v>238875</v>
      </c>
      <c r="G91" s="166">
        <f t="shared" si="28"/>
        <v>3.5953316001991259E-3</v>
      </c>
      <c r="H91" s="165">
        <f>VLOOKUP($B91,'Data shares'!$C:$FB,66)</f>
        <v>24304000</v>
      </c>
      <c r="I91" s="165">
        <f>VLOOKUP($B91,'Data shares'!$C:$FB,67)</f>
        <v>44951375</v>
      </c>
      <c r="J91" s="81">
        <f t="shared" si="29"/>
        <v>-45.932688377163103</v>
      </c>
      <c r="K91" s="5">
        <f>VLOOKUP($B91,'Data Vlaue (Cr)'!$C:$FB,99)</f>
        <v>3734</v>
      </c>
      <c r="L91" s="81">
        <f>VLOOKUP(B91,'OI(Value)'!$A$7:$C$226,3,0)</f>
        <v>13</v>
      </c>
      <c r="M91" s="33">
        <f t="shared" si="22"/>
        <v>0.34815211569362614</v>
      </c>
      <c r="N91" s="5">
        <f>VLOOKUP($B91,'Data Vlaue (Cr)'!$C:$FB,67)</f>
        <v>1361</v>
      </c>
      <c r="O91" s="5">
        <f>VLOOKUP($B91,'Data Vlaue (Cr)'!$C:$FB,68)</f>
        <v>2517</v>
      </c>
      <c r="P91" s="5">
        <f t="shared" si="30"/>
        <v>-84.937545922116087</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Realty</v>
      </c>
      <c r="B92" s="79" t="str">
        <f>'Data shares'!C87</f>
        <v>HUDCO</v>
      </c>
      <c r="C92" s="4">
        <f>VLOOKUP($B92,'Data shares'!$C:$FB,7)</f>
        <v>181.93</v>
      </c>
      <c r="D92" s="82">
        <f>VLOOKUP($B92,'Data shares'!$C:$FB,98)</f>
        <v>43462050</v>
      </c>
      <c r="E92" s="165">
        <f>VLOOKUP(B92,'Snapshot (Volume)'!$A$7:$G$168,7,0)</f>
        <v>42438075</v>
      </c>
      <c r="F92" s="165">
        <f t="shared" si="27"/>
        <v>1023975</v>
      </c>
      <c r="G92" s="166">
        <f t="shared" si="28"/>
        <v>2.4128686327077747E-2</v>
      </c>
      <c r="H92" s="165">
        <f>VLOOKUP($B92,'Data shares'!$C:$FB,66)</f>
        <v>12312675</v>
      </c>
      <c r="I92" s="165">
        <f>VLOOKUP($B92,'Data shares'!$C:$FB,67)</f>
        <v>21495150</v>
      </c>
      <c r="J92" s="81">
        <f t="shared" si="29"/>
        <v>-42.718822618125486</v>
      </c>
      <c r="K92" s="5">
        <f>VLOOKUP($B92,'Data Vlaue (Cr)'!$C:$FB,99)</f>
        <v>794</v>
      </c>
      <c r="L92" s="81">
        <f>VLOOKUP(B92,'OI(Value)'!$A$7:$C$226,3,0)</f>
        <v>19</v>
      </c>
      <c r="M92" s="33">
        <f t="shared" si="22"/>
        <v>2.3929471032745591</v>
      </c>
      <c r="N92" s="5">
        <f>VLOOKUP($B92,'Data Vlaue (Cr)'!$C:$FB,67)</f>
        <v>225</v>
      </c>
      <c r="O92" s="5">
        <f>VLOOKUP($B92,'Data Vlaue (Cr)'!$C:$FB,68)</f>
        <v>393</v>
      </c>
      <c r="P92" s="5">
        <f t="shared" si="30"/>
        <v>-74.666666666666671</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Others</v>
      </c>
      <c r="B93" s="79" t="str">
        <f>'Data shares'!C88</f>
        <v>HYUNDAI</v>
      </c>
      <c r="C93" s="4">
        <f>VLOOKUP($B93,'Data shares'!$C:$FB,7)</f>
        <v>1768.3</v>
      </c>
      <c r="D93" s="82">
        <f>VLOOKUP($B93,'Data shares'!$C:$FB,98)</f>
        <v>6207300</v>
      </c>
      <c r="E93" s="165">
        <f>VLOOKUP(B93,'Snapshot (Volume)'!$A$7:$G$168,7,0)</f>
        <v>5232150</v>
      </c>
      <c r="F93" s="165">
        <f t="shared" si="27"/>
        <v>975150</v>
      </c>
      <c r="G93" s="166">
        <f t="shared" si="28"/>
        <v>0.18637653736991486</v>
      </c>
      <c r="H93" s="165">
        <f>VLOOKUP($B93,'Data shares'!$C:$FB,66)</f>
        <v>4012250</v>
      </c>
      <c r="I93" s="165">
        <f>VLOOKUP($B93,'Data shares'!$C:$FB,67)</f>
        <v>4792975</v>
      </c>
      <c r="J93" s="81">
        <f t="shared" si="29"/>
        <v>-16.288943714498824</v>
      </c>
      <c r="K93" s="5">
        <f>VLOOKUP($B93,'Data Vlaue (Cr)'!$C:$FB,99)</f>
        <v>1086</v>
      </c>
      <c r="L93" s="81">
        <f>VLOOKUP(B93,'OI(Value)'!$A$7:$C$226,3,0)</f>
        <v>171</v>
      </c>
      <c r="M93" s="33">
        <f t="shared" si="22"/>
        <v>15.745856353591158</v>
      </c>
      <c r="N93" s="5">
        <f>VLOOKUP($B93,'Data Vlaue (Cr)'!$C:$FB,67)</f>
        <v>702</v>
      </c>
      <c r="O93" s="5">
        <f>VLOOKUP($B93,'Data Vlaue (Cr)'!$C:$FB,68)</f>
        <v>839</v>
      </c>
      <c r="P93" s="5">
        <f t="shared" si="30"/>
        <v>-19.515669515669515</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1281.3</v>
      </c>
      <c r="D94" s="82">
        <f>VLOOKUP($B94,'Data shares'!$C:$FB,98)</f>
        <v>153115900</v>
      </c>
      <c r="E94" s="165">
        <f>VLOOKUP(B94,'Snapshot (Volume)'!$A$7:$G$168,7,0)</f>
        <v>152256300</v>
      </c>
      <c r="F94" s="165">
        <f t="shared" si="27"/>
        <v>859600</v>
      </c>
      <c r="G94" s="166">
        <f t="shared" si="28"/>
        <v>5.6457433945262033E-3</v>
      </c>
      <c r="H94" s="165">
        <f>VLOOKUP($B94,'Data shares'!$C:$FB,66)</f>
        <v>55633900</v>
      </c>
      <c r="I94" s="165">
        <f>VLOOKUP($B94,'Data shares'!$C:$FB,67)</f>
        <v>77391300</v>
      </c>
      <c r="J94" s="81">
        <f t="shared" si="29"/>
        <v>-28.113495961432356</v>
      </c>
      <c r="K94" s="5">
        <f>VLOOKUP($B94,'Data Vlaue (Cr)'!$C:$FB,99)</f>
        <v>19704</v>
      </c>
      <c r="L94" s="81">
        <f>VLOOKUP(B94,'OI(Value)'!$A$7:$C$226,3,0)</f>
        <v>111</v>
      </c>
      <c r="M94" s="33">
        <f t="shared" ref="M94:M122" si="31">L94/K94*100</f>
        <v>0.56333739342265521</v>
      </c>
      <c r="N94" s="5">
        <f>VLOOKUP($B94,'Data Vlaue (Cr)'!$C:$FB,67)</f>
        <v>7160</v>
      </c>
      <c r="O94" s="5">
        <f>VLOOKUP($B94,'Data Vlaue (Cr)'!$C:$FB,68)</f>
        <v>9959</v>
      </c>
      <c r="P94" s="5">
        <f t="shared" si="30"/>
        <v>-39.092178770949722</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1768.6</v>
      </c>
      <c r="D95" s="82">
        <f>VLOOKUP($B95,'Data shares'!$C:$FB,98)</f>
        <v>6831500</v>
      </c>
      <c r="E95" s="165">
        <f>VLOOKUP(B95,'Snapshot (Volume)'!$A$7:$G$168,7,0)</f>
        <v>6332300</v>
      </c>
      <c r="F95" s="165">
        <f t="shared" si="27"/>
        <v>499200</v>
      </c>
      <c r="G95" s="166">
        <f t="shared" si="28"/>
        <v>7.8833915007185382E-2</v>
      </c>
      <c r="H95" s="165">
        <f>VLOOKUP($B95,'Data shares'!$C:$FB,66)</f>
        <v>4401150</v>
      </c>
      <c r="I95" s="165">
        <f>VLOOKUP($B95,'Data shares'!$C:$FB,67)</f>
        <v>2274350</v>
      </c>
      <c r="J95" s="81">
        <f t="shared" si="29"/>
        <v>93.512432123463853</v>
      </c>
      <c r="K95" s="5">
        <f>VLOOKUP($B95,'Data Vlaue (Cr)'!$C:$FB,99)</f>
        <v>1214</v>
      </c>
      <c r="L95" s="81">
        <f>VLOOKUP(B95,'OI(Value)'!$A$7:$C$226,3,0)</f>
        <v>89</v>
      </c>
      <c r="M95" s="33">
        <f t="shared" si="31"/>
        <v>7.3311367380560126</v>
      </c>
      <c r="N95" s="5">
        <f>VLOOKUP($B95,'Data Vlaue (Cr)'!$C:$FB,67)</f>
        <v>782</v>
      </c>
      <c r="O95" s="5">
        <f>VLOOKUP($B95,'Data Vlaue (Cr)'!$C:$FB,68)</f>
        <v>404</v>
      </c>
      <c r="P95" s="5">
        <f t="shared" si="30"/>
        <v>48.337595907928389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541.95000000000005</v>
      </c>
      <c r="D96" s="82">
        <f>VLOOKUP($B96,'Data shares'!$C:$FB,98)</f>
        <v>21885500</v>
      </c>
      <c r="E96" s="165">
        <f>VLOOKUP(B96,'Snapshot (Volume)'!$A$7:$G$168,7,0)</f>
        <v>21582100</v>
      </c>
      <c r="F96" s="165">
        <f t="shared" si="27"/>
        <v>303400</v>
      </c>
      <c r="G96" s="166">
        <f t="shared" si="28"/>
        <v>1.4057946168352478E-2</v>
      </c>
      <c r="H96" s="165">
        <f>VLOOKUP($B96,'Data shares'!$C:$FB,66)</f>
        <v>6968025</v>
      </c>
      <c r="I96" s="165">
        <f>VLOOKUP($B96,'Data shares'!$C:$FB,67)</f>
        <v>3830425</v>
      </c>
      <c r="J96" s="81">
        <f t="shared" si="29"/>
        <v>81.912581502052646</v>
      </c>
      <c r="K96" s="5">
        <f>VLOOKUP($B96,'Data Vlaue (Cr)'!$C:$FB,99)</f>
        <v>1192</v>
      </c>
      <c r="L96" s="81">
        <f>VLOOKUP(B96,'OI(Value)'!$A$7:$C$226,3,0)</f>
        <v>17</v>
      </c>
      <c r="M96" s="33">
        <f t="shared" si="31"/>
        <v>1.4261744966442953</v>
      </c>
      <c r="N96" s="5">
        <f>VLOOKUP($B96,'Data Vlaue (Cr)'!$C:$FB,67)</f>
        <v>380</v>
      </c>
      <c r="O96" s="5">
        <f>VLOOKUP($B96,'Data Vlaue (Cr)'!$C:$FB,68)</f>
        <v>209</v>
      </c>
      <c r="P96" s="5">
        <f t="shared" si="30"/>
        <v>45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9.1199999999999992</v>
      </c>
      <c r="D97" s="82">
        <f>VLOOKUP($B97,'Data shares'!$C:$FB,98)</f>
        <v>8734030575</v>
      </c>
      <c r="E97" s="165">
        <f>VLOOKUP(B97,'Snapshot (Volume)'!$A$7:$G$168,7,0)</f>
        <v>8658481500</v>
      </c>
      <c r="F97" s="165">
        <f t="shared" ref="F97:F105" si="32">D97-E97</f>
        <v>75549075</v>
      </c>
      <c r="G97" s="166">
        <f t="shared" ref="G97:G105" si="33">F97/E97</f>
        <v>8.725441637774476E-3</v>
      </c>
      <c r="H97" s="165">
        <f>VLOOKUP($B97,'Data shares'!$C:$FB,66)</f>
        <v>1439435025</v>
      </c>
      <c r="I97" s="165">
        <f>VLOOKUP($B97,'Data shares'!$C:$FB,67)</f>
        <v>2676667275</v>
      </c>
      <c r="J97" s="81">
        <f t="shared" ref="J97:J105" si="34">(H97-I97)/I97*100</f>
        <v>-46.222863093807575</v>
      </c>
      <c r="K97" s="5">
        <f>VLOOKUP($B97,'Data Vlaue (Cr)'!$C:$FB,99)</f>
        <v>8018</v>
      </c>
      <c r="L97" s="81">
        <f>VLOOKUP(B97,'OI(Value)'!$A$7:$C$226,3,0)</f>
        <v>69</v>
      </c>
      <c r="M97" s="33">
        <f t="shared" si="31"/>
        <v>0.86056373160389132</v>
      </c>
      <c r="N97" s="5">
        <f>VLOOKUP($B97,'Data Vlaue (Cr)'!$C:$FB,67)</f>
        <v>1321</v>
      </c>
      <c r="O97" s="5">
        <f>VLOOKUP($B97,'Data Vlaue (Cr)'!$C:$FB,68)</f>
        <v>2457</v>
      </c>
      <c r="P97" s="5">
        <f t="shared" ref="P97:P105" si="35">(N97-O97)/N97*100</f>
        <v>-85.995457986373964</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65.28</v>
      </c>
      <c r="D98" s="82">
        <f>VLOOKUP($B98,'Data shares'!$C:$FB,98)</f>
        <v>624884575</v>
      </c>
      <c r="E98" s="165">
        <f>VLOOKUP(B98,'Snapshot (Volume)'!$A$7:$G$168,7,0)</f>
        <v>616240275</v>
      </c>
      <c r="F98" s="165">
        <f t="shared" si="32"/>
        <v>8644300</v>
      </c>
      <c r="G98" s="166">
        <f t="shared" si="33"/>
        <v>1.4027483030056742E-2</v>
      </c>
      <c r="H98" s="165">
        <f>VLOOKUP($B98,'Data shares'!$C:$FB,66)</f>
        <v>150755850</v>
      </c>
      <c r="I98" s="165">
        <f>VLOOKUP($B98,'Data shares'!$C:$FB,67)</f>
        <v>346912825</v>
      </c>
      <c r="J98" s="81">
        <f t="shared" si="34"/>
        <v>-56.543592759939045</v>
      </c>
      <c r="K98" s="5">
        <f>VLOOKUP($B98,'Data Vlaue (Cr)'!$C:$FB,99)</f>
        <v>4090</v>
      </c>
      <c r="L98" s="81">
        <f>VLOOKUP(B98,'OI(Value)'!$A$7:$C$226,3,0)</f>
        <v>57</v>
      </c>
      <c r="M98" s="33">
        <f t="shared" si="31"/>
        <v>1.3936430317848409</v>
      </c>
      <c r="N98" s="5">
        <f>VLOOKUP($B98,'Data Vlaue (Cr)'!$C:$FB,67)</f>
        <v>987</v>
      </c>
      <c r="O98" s="5">
        <f>VLOOKUP($B98,'Data Vlaue (Cr)'!$C:$FB,68)</f>
        <v>2271</v>
      </c>
      <c r="P98" s="5">
        <f t="shared" si="35"/>
        <v>-130.09118541033436</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129.69</v>
      </c>
      <c r="D99" s="82">
        <f>VLOOKUP($B99,'Data shares'!$C:$FB,98)</f>
        <v>133785000</v>
      </c>
      <c r="E99" s="165">
        <f>VLOOKUP(B99,'Snapshot (Volume)'!$A$7:$G$168,7,0)</f>
        <v>133781250</v>
      </c>
      <c r="F99" s="165">
        <f t="shared" si="32"/>
        <v>3750</v>
      </c>
      <c r="G99" s="166">
        <f t="shared" si="33"/>
        <v>2.8030833917309041E-5</v>
      </c>
      <c r="H99" s="165">
        <f>VLOOKUP($B99,'Data shares'!$C:$FB,66)</f>
        <v>42483750</v>
      </c>
      <c r="I99" s="165">
        <f>VLOOKUP($B99,'Data shares'!$C:$FB,67)</f>
        <v>82406250</v>
      </c>
      <c r="J99" s="81">
        <f t="shared" si="34"/>
        <v>-48.445961319681459</v>
      </c>
      <c r="K99" s="5">
        <f>VLOOKUP($B99,'Data Vlaue (Cr)'!$C:$FB,99)</f>
        <v>1741</v>
      </c>
      <c r="L99" s="81">
        <f>VLOOKUP(B99,'OI(Value)'!$A$7:$C$226,3,0)</f>
        <v>0</v>
      </c>
      <c r="M99" s="33">
        <f t="shared" si="31"/>
        <v>0</v>
      </c>
      <c r="N99" s="5">
        <f>VLOOKUP($B99,'Data Vlaue (Cr)'!$C:$FB,67)</f>
        <v>553</v>
      </c>
      <c r="O99" s="5">
        <f>VLOOKUP($B99,'Data Vlaue (Cr)'!$C:$FB,68)</f>
        <v>1073</v>
      </c>
      <c r="P99" s="5">
        <f t="shared" si="35"/>
        <v>-94.032549728752258</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Realty</v>
      </c>
      <c r="B100" s="79" t="str">
        <f>'Data shares'!C95</f>
        <v>INDHOTEL</v>
      </c>
      <c r="C100" s="4">
        <f>VLOOKUP($B100,'Data shares'!$C:$FB,7)</f>
        <v>629.1</v>
      </c>
      <c r="D100" s="82">
        <f>VLOOKUP($B100,'Data shares'!$C:$FB,98)</f>
        <v>32257000</v>
      </c>
      <c r="E100" s="165">
        <f>VLOOKUP(B100,'Snapshot (Volume)'!$A$7:$G$168,7,0)</f>
        <v>31911000</v>
      </c>
      <c r="F100" s="165">
        <f t="shared" si="32"/>
        <v>346000</v>
      </c>
      <c r="G100" s="166">
        <f t="shared" si="33"/>
        <v>1.0842656137382094E-2</v>
      </c>
      <c r="H100" s="165">
        <f>VLOOKUP($B100,'Data shares'!$C:$FB,66)</f>
        <v>13478000</v>
      </c>
      <c r="I100" s="165">
        <f>VLOOKUP($B100,'Data shares'!$C:$FB,67)</f>
        <v>18286000</v>
      </c>
      <c r="J100" s="81">
        <f t="shared" si="34"/>
        <v>-26.293339166575525</v>
      </c>
      <c r="K100" s="5">
        <f>VLOOKUP($B100,'Data Vlaue (Cr)'!$C:$FB,99)</f>
        <v>2035</v>
      </c>
      <c r="L100" s="81">
        <f>VLOOKUP(B100,'OI(Value)'!$A$7:$C$226,3,0)</f>
        <v>22</v>
      </c>
      <c r="M100" s="33">
        <f t="shared" si="31"/>
        <v>1.0810810810810811</v>
      </c>
      <c r="N100" s="5">
        <f>VLOOKUP($B100,'Data Vlaue (Cr)'!$C:$FB,67)</f>
        <v>850</v>
      </c>
      <c r="O100" s="5">
        <f>VLOOKUP($B100,'Data Vlaue (Cr)'!$C:$FB,68)</f>
        <v>1153</v>
      </c>
      <c r="P100" s="5">
        <f t="shared" si="35"/>
        <v>-35.647058823529406</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INDIANB</v>
      </c>
      <c r="C101" s="4">
        <f>VLOOKUP($B101,'Data shares'!$C:$FB,7)</f>
        <v>941.85</v>
      </c>
      <c r="D101" s="82">
        <f>VLOOKUP($B101,'Data shares'!$C:$FB,98)</f>
        <v>14923000</v>
      </c>
      <c r="E101" s="165">
        <f>VLOOKUP(B101,'Snapshot (Volume)'!$A$7:$G$168,7,0)</f>
        <v>14759000</v>
      </c>
      <c r="F101" s="165">
        <f t="shared" si="32"/>
        <v>164000</v>
      </c>
      <c r="G101" s="166">
        <f t="shared" si="33"/>
        <v>1.1111863947421911E-2</v>
      </c>
      <c r="H101" s="165">
        <f>VLOOKUP($B101,'Data shares'!$C:$FB,66)</f>
        <v>11502000</v>
      </c>
      <c r="I101" s="165">
        <f>VLOOKUP($B101,'Data shares'!$C:$FB,67)</f>
        <v>13375000</v>
      </c>
      <c r="J101" s="81">
        <f t="shared" si="34"/>
        <v>-14.003738317757009</v>
      </c>
      <c r="K101" s="5">
        <f>VLOOKUP($B101,'Data Vlaue (Cr)'!$C:$FB,99)</f>
        <v>1412</v>
      </c>
      <c r="L101" s="81">
        <f>VLOOKUP(B101,'OI(Value)'!$A$7:$C$226,3,0)</f>
        <v>16</v>
      </c>
      <c r="M101" s="33">
        <f t="shared" si="31"/>
        <v>1.1331444759206799</v>
      </c>
      <c r="N101" s="5">
        <f>VLOOKUP($B101,'Data Vlaue (Cr)'!$C:$FB,67)</f>
        <v>1088</v>
      </c>
      <c r="O101" s="5">
        <f>VLOOKUP($B101,'Data Vlaue (Cr)'!$C:$FB,68)</f>
        <v>1265</v>
      </c>
      <c r="P101" s="5">
        <f t="shared" si="35"/>
        <v>-16.268382352941178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Index</v>
      </c>
      <c r="B102" s="79" t="str">
        <f>'Data shares'!C97</f>
        <v>INDIAVIX</v>
      </c>
      <c r="C102" s="4">
        <f>VLOOKUP($B102,'Data shares'!$C:$FB,7)</f>
        <v>20.43</v>
      </c>
      <c r="D102" s="82">
        <f>VLOOKUP($B102,'Data shares'!$C:$FB,98)</f>
        <v>0</v>
      </c>
      <c r="E102" s="165">
        <f>VLOOKUP(B102,'Snapshot (Volume)'!$A$7:$G$168,7,0)</f>
        <v>0</v>
      </c>
      <c r="F102" s="165">
        <f t="shared" si="32"/>
        <v>0</v>
      </c>
      <c r="G102" s="166" t="e">
        <f t="shared" si="33"/>
        <v>#DIV/0!</v>
      </c>
      <c r="H102" s="165">
        <f>VLOOKUP($B102,'Data shares'!$C:$FB,66)</f>
        <v>0</v>
      </c>
      <c r="I102" s="165">
        <f>VLOOKUP($B102,'Data shares'!$C:$FB,67)</f>
        <v>0</v>
      </c>
      <c r="J102" s="81" t="e">
        <f t="shared" si="34"/>
        <v>#DIV/0!</v>
      </c>
      <c r="K102" s="5">
        <f>VLOOKUP($B102,'Data Vlaue (Cr)'!$C:$FB,99)</f>
        <v>0</v>
      </c>
      <c r="L102" s="81">
        <f>VLOOKUP(B102,'OI(Value)'!$A$7:$C$226,3,0)</f>
        <v>0</v>
      </c>
      <c r="M102" s="33" t="e">
        <f t="shared" si="31"/>
        <v>#DIV/0!</v>
      </c>
      <c r="N102" s="5">
        <f>VLOOKUP($B102,'Data Vlaue (Cr)'!$C:$FB,67)</f>
        <v>0</v>
      </c>
      <c r="O102" s="5">
        <f>VLOOKUP($B102,'Data Vlaue (Cr)'!$C:$FB,68)</f>
        <v>0</v>
      </c>
      <c r="P102" s="5" t="e">
        <f t="shared" si="35"/>
        <v>#DIV/0!</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Infrastructure</v>
      </c>
      <c r="B103" s="79" t="str">
        <f>'Data shares'!C98</f>
        <v>INDIGO</v>
      </c>
      <c r="C103" s="4">
        <f>VLOOKUP($B103,'Data shares'!$C:$FB,7)</f>
        <v>4449.1000000000004</v>
      </c>
      <c r="D103" s="82">
        <f>VLOOKUP($B103,'Data shares'!$C:$FB,98)</f>
        <v>16625550</v>
      </c>
      <c r="E103" s="165">
        <f>VLOOKUP(B103,'Snapshot (Volume)'!$A$7:$G$168,7,0)</f>
        <v>14977950</v>
      </c>
      <c r="F103" s="165">
        <f t="shared" si="32"/>
        <v>1647600</v>
      </c>
      <c r="G103" s="166">
        <f t="shared" si="33"/>
        <v>0.11000170250267893</v>
      </c>
      <c r="H103" s="165">
        <f>VLOOKUP($B103,'Data shares'!$C:$FB,66)</f>
        <v>16862250</v>
      </c>
      <c r="I103" s="165">
        <f>VLOOKUP($B103,'Data shares'!$C:$FB,67)</f>
        <v>35386200</v>
      </c>
      <c r="J103" s="81">
        <f t="shared" si="34"/>
        <v>-52.347949200535801</v>
      </c>
      <c r="K103" s="5">
        <f>VLOOKUP($B103,'Data Vlaue (Cr)'!$C:$FB,99)</f>
        <v>7433</v>
      </c>
      <c r="L103" s="81">
        <f>VLOOKUP(B103,'OI(Value)'!$A$7:$C$226,3,0)</f>
        <v>737</v>
      </c>
      <c r="M103" s="33">
        <f t="shared" si="31"/>
        <v>9.9152428360016138</v>
      </c>
      <c r="N103" s="5">
        <f>VLOOKUP($B103,'Data Vlaue (Cr)'!$C:$FB,67)</f>
        <v>7538</v>
      </c>
      <c r="O103" s="5">
        <f>VLOOKUP($B103,'Data Vlaue (Cr)'!$C:$FB,68)</f>
        <v>15820</v>
      </c>
      <c r="P103" s="5">
        <f t="shared" si="35"/>
        <v>-109.869992040329</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INDUSINDBK</v>
      </c>
      <c r="C104" s="4">
        <f>VLOOKUP($B104,'Data shares'!$C:$FB,7)</f>
        <v>814.55</v>
      </c>
      <c r="D104" s="82">
        <f>VLOOKUP($B104,'Data shares'!$C:$FB,98)</f>
        <v>50598800</v>
      </c>
      <c r="E104" s="165">
        <f>VLOOKUP(B104,'Snapshot (Volume)'!$A$7:$G$168,7,0)</f>
        <v>50089200</v>
      </c>
      <c r="F104" s="165">
        <f t="shared" si="32"/>
        <v>509600</v>
      </c>
      <c r="G104" s="166">
        <f t="shared" si="33"/>
        <v>1.0173849851864274E-2</v>
      </c>
      <c r="H104" s="165">
        <f>VLOOKUP($B104,'Data shares'!$C:$FB,66)</f>
        <v>17656100</v>
      </c>
      <c r="I104" s="165">
        <f>VLOOKUP($B104,'Data shares'!$C:$FB,67)</f>
        <v>23842000</v>
      </c>
      <c r="J104" s="81">
        <f t="shared" si="34"/>
        <v>-25.945390487375221</v>
      </c>
      <c r="K104" s="5">
        <f>VLOOKUP($B104,'Data Vlaue (Cr)'!$C:$FB,99)</f>
        <v>4135</v>
      </c>
      <c r="L104" s="81">
        <f>VLOOKUP(B104,'OI(Value)'!$A$7:$C$226,3,0)</f>
        <v>42</v>
      </c>
      <c r="M104" s="33">
        <f t="shared" si="31"/>
        <v>1.0157194679564692</v>
      </c>
      <c r="N104" s="5">
        <f>VLOOKUP($B104,'Data Vlaue (Cr)'!$C:$FB,67)</f>
        <v>1443</v>
      </c>
      <c r="O104" s="5">
        <f>VLOOKUP($B104,'Data Vlaue (Cr)'!$C:$FB,68)</f>
        <v>1948</v>
      </c>
      <c r="P104" s="5">
        <f t="shared" si="35"/>
        <v>-34.996534996534997</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Telecom</v>
      </c>
      <c r="B105" s="79" t="str">
        <f>'Data shares'!C100</f>
        <v>INDUSTOWER</v>
      </c>
      <c r="C105" s="4">
        <f>VLOOKUP($B105,'Data shares'!$C:$FB,7)</f>
        <v>438.45</v>
      </c>
      <c r="D105" s="82">
        <f>VLOOKUP($B105,'Data shares'!$C:$FB,98)</f>
        <v>86795200</v>
      </c>
      <c r="E105" s="165">
        <f>VLOOKUP(B105,'Snapshot (Volume)'!$A$7:$G$168,7,0)</f>
        <v>82455100</v>
      </c>
      <c r="F105" s="165">
        <f t="shared" si="32"/>
        <v>4340100</v>
      </c>
      <c r="G105" s="166">
        <f t="shared" si="33"/>
        <v>5.2635919427664268E-2</v>
      </c>
      <c r="H105" s="165">
        <f>VLOOKUP($B105,'Data shares'!$C:$FB,66)</f>
        <v>35326000</v>
      </c>
      <c r="I105" s="165">
        <f>VLOOKUP($B105,'Data shares'!$C:$FB,67)</f>
        <v>51647700</v>
      </c>
      <c r="J105" s="81">
        <f t="shared" si="34"/>
        <v>-31.601988084658174</v>
      </c>
      <c r="K105" s="5">
        <f>VLOOKUP($B105,'Data Vlaue (Cr)'!$C:$FB,99)</f>
        <v>3816</v>
      </c>
      <c r="L105" s="81">
        <f>VLOOKUP(B105,'OI(Value)'!$A$7:$C$226,3,0)</f>
        <v>191</v>
      </c>
      <c r="M105" s="33">
        <f t="shared" si="31"/>
        <v>5.0052410901467503</v>
      </c>
      <c r="N105" s="5">
        <f>VLOOKUP($B105,'Data Vlaue (Cr)'!$C:$FB,67)</f>
        <v>1553</v>
      </c>
      <c r="O105" s="5">
        <f>VLOOKUP($B105,'Data Vlaue (Cr)'!$C:$FB,68)</f>
        <v>2271</v>
      </c>
      <c r="P105" s="5">
        <f t="shared" si="35"/>
        <v>-46.233097231165488</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Technology</v>
      </c>
      <c r="B106" s="79" t="str">
        <f>'Data shares'!C101</f>
        <v>INFY</v>
      </c>
      <c r="C106" s="79">
        <f>VLOOKUP($B106,'Data shares'!$C:$FB,7)</f>
        <v>1331.6</v>
      </c>
      <c r="D106" s="80">
        <f>VLOOKUP($B106,'Data shares'!$C:$FB,98)</f>
        <v>113833200</v>
      </c>
      <c r="E106" s="165">
        <f>VLOOKUP(B106,'Snapshot (Volume)'!$A$7:$G$168,7,0)</f>
        <v>112004800</v>
      </c>
      <c r="F106" s="165">
        <f t="shared" ref="F106:F114" si="36">D106-E106</f>
        <v>1828400</v>
      </c>
      <c r="G106" s="166">
        <f t="shared" ref="G106:G114" si="37">F106/E106</f>
        <v>1.6324300387126265E-2</v>
      </c>
      <c r="H106" s="165">
        <f>VLOOKUP($B106,'Data shares'!$C:$FB,66)</f>
        <v>49219200</v>
      </c>
      <c r="I106" s="165">
        <f>VLOOKUP($B106,'Data shares'!$C:$FB,67)</f>
        <v>58544800</v>
      </c>
      <c r="J106" s="81">
        <f t="shared" ref="J106:J114" si="38">(H106-I106)/I106*100</f>
        <v>-15.928997963952392</v>
      </c>
      <c r="K106" s="81">
        <f>VLOOKUP($B106,'Data Vlaue (Cr)'!$C:$FB,99)</f>
        <v>15168</v>
      </c>
      <c r="L106" s="81">
        <f>VLOOKUP(B106,'OI(Value)'!$A$7:$C$226,3,0)</f>
        <v>244</v>
      </c>
      <c r="M106" s="81">
        <f t="shared" si="31"/>
        <v>1.6086497890295359</v>
      </c>
      <c r="N106" s="81">
        <f>VLOOKUP($B106,'Data Vlaue (Cr)'!$C:$FB,67)</f>
        <v>6558</v>
      </c>
      <c r="O106" s="81">
        <f>VLOOKUP($B106,'Data Vlaue (Cr)'!$C:$FB,68)</f>
        <v>7801</v>
      </c>
      <c r="P106" s="81">
        <f t="shared" ref="P106:P114" si="39">(N106-O106)/N106*100</f>
        <v>-18.953949374809394</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Power</v>
      </c>
      <c r="B107" s="79" t="str">
        <f>'Data shares'!C102</f>
        <v>INOXWIND</v>
      </c>
      <c r="C107" s="79">
        <f>VLOOKUP($B107,'Data shares'!$C:$FB,7)</f>
        <v>85.39</v>
      </c>
      <c r="D107" s="80">
        <f>VLOOKUP($B107,'Data shares'!$C:$FB,98)</f>
        <v>138434725</v>
      </c>
      <c r="E107" s="165">
        <f>VLOOKUP(B107,'Snapshot (Volume)'!$A$7:$G$168,7,0)</f>
        <v>136464900</v>
      </c>
      <c r="F107" s="165">
        <f t="shared" si="36"/>
        <v>1969825</v>
      </c>
      <c r="G107" s="166">
        <f t="shared" si="37"/>
        <v>1.4434664151734255E-2</v>
      </c>
      <c r="H107" s="165">
        <f>VLOOKUP($B107,'Data shares'!$C:$FB,66)</f>
        <v>23959650</v>
      </c>
      <c r="I107" s="165">
        <f>VLOOKUP($B107,'Data shares'!$C:$FB,67)</f>
        <v>44748275</v>
      </c>
      <c r="J107" s="81">
        <f t="shared" si="38"/>
        <v>-46.456818726531921</v>
      </c>
      <c r="K107" s="81">
        <f>VLOOKUP($B107,'Data Vlaue (Cr)'!$C:$FB,99)</f>
        <v>1187</v>
      </c>
      <c r="L107" s="81">
        <f>VLOOKUP(B107,'OI(Value)'!$A$7:$C$226,3,0)</f>
        <v>17</v>
      </c>
      <c r="M107" s="81">
        <f t="shared" si="31"/>
        <v>1.4321819713563606</v>
      </c>
      <c r="N107" s="81">
        <f>VLOOKUP($B107,'Data Vlaue (Cr)'!$C:$FB,67)</f>
        <v>205</v>
      </c>
      <c r="O107" s="81">
        <f>VLOOKUP($B107,'Data Vlaue (Cr)'!$C:$FB,68)</f>
        <v>384</v>
      </c>
      <c r="P107" s="81">
        <f t="shared" si="39"/>
        <v>-87.317073170731703</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Oil_Gas</v>
      </c>
      <c r="B108" s="79" t="str">
        <f>'Data shares'!C103</f>
        <v>IOC</v>
      </c>
      <c r="C108" s="4">
        <f>VLOOKUP($B108,'Data shares'!$C:$FB,7)</f>
        <v>141.66999999999999</v>
      </c>
      <c r="D108" s="82">
        <f>VLOOKUP($B108,'Data shares'!$C:$FB,98)</f>
        <v>213573750</v>
      </c>
      <c r="E108" s="165">
        <f>VLOOKUP(B108,'Snapshot (Volume)'!$A$7:$G$168,7,0)</f>
        <v>209873625</v>
      </c>
      <c r="F108" s="165">
        <f t="shared" si="36"/>
        <v>3700125</v>
      </c>
      <c r="G108" s="166">
        <f t="shared" si="37"/>
        <v>1.7630252491231329E-2</v>
      </c>
      <c r="H108" s="165">
        <f>VLOOKUP($B108,'Data shares'!$C:$FB,66)</f>
        <v>86355750</v>
      </c>
      <c r="I108" s="165">
        <f>VLOOKUP($B108,'Data shares'!$C:$FB,67)</f>
        <v>257448750</v>
      </c>
      <c r="J108" s="81">
        <f t="shared" si="38"/>
        <v>-66.457110395758377</v>
      </c>
      <c r="K108" s="5">
        <f>VLOOKUP($B108,'Data Vlaue (Cr)'!$C:$FB,99)</f>
        <v>3031</v>
      </c>
      <c r="L108" s="81">
        <f>VLOOKUP(B108,'OI(Value)'!$A$7:$C$226,3,0)</f>
        <v>53</v>
      </c>
      <c r="M108" s="33">
        <f t="shared" si="31"/>
        <v>1.7485978225008247</v>
      </c>
      <c r="N108" s="5">
        <f>VLOOKUP($B108,'Data Vlaue (Cr)'!$C:$FB,67)</f>
        <v>1226</v>
      </c>
      <c r="O108" s="5">
        <f>VLOOKUP($B108,'Data Vlaue (Cr)'!$C:$FB,68)</f>
        <v>3654</v>
      </c>
      <c r="P108" s="5">
        <f t="shared" si="39"/>
        <v>-198.04241435562807</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Finance</v>
      </c>
      <c r="B109" s="79" t="str">
        <f>'Data shares'!C104</f>
        <v>IREDA</v>
      </c>
      <c r="C109" s="4">
        <f>VLOOKUP($B109,'Data shares'!$C:$FB,7)</f>
        <v>123.13</v>
      </c>
      <c r="D109" s="82">
        <f>VLOOKUP($B109,'Data shares'!$C:$FB,98)</f>
        <v>81223350</v>
      </c>
      <c r="E109" s="165">
        <f>VLOOKUP(B109,'Snapshot (Volume)'!$A$7:$G$168,7,0)</f>
        <v>79436250</v>
      </c>
      <c r="F109" s="165">
        <f t="shared" si="36"/>
        <v>1787100</v>
      </c>
      <c r="G109" s="166">
        <f t="shared" si="37"/>
        <v>2.2497285559174809E-2</v>
      </c>
      <c r="H109" s="165">
        <f>VLOOKUP($B109,'Data shares'!$C:$FB,66)</f>
        <v>31639950</v>
      </c>
      <c r="I109" s="165">
        <f>VLOOKUP($B109,'Data shares'!$C:$FB,67)</f>
        <v>52484850</v>
      </c>
      <c r="J109" s="81">
        <f t="shared" si="38"/>
        <v>-39.716032340761195</v>
      </c>
      <c r="K109" s="5">
        <f>VLOOKUP($B109,'Data Vlaue (Cr)'!$C:$FB,99)</f>
        <v>997</v>
      </c>
      <c r="L109" s="81">
        <f>VLOOKUP(B109,'OI(Value)'!$A$7:$C$226,3,0)</f>
        <v>22</v>
      </c>
      <c r="M109" s="33">
        <f t="shared" si="31"/>
        <v>2.2066198595787361</v>
      </c>
      <c r="N109" s="5">
        <f>VLOOKUP($B109,'Data Vlaue (Cr)'!$C:$FB,67)</f>
        <v>388</v>
      </c>
      <c r="O109" s="5">
        <f>VLOOKUP($B109,'Data Vlaue (Cr)'!$C:$FB,68)</f>
        <v>644</v>
      </c>
      <c r="P109" s="5">
        <f t="shared" si="39"/>
        <v>-65.979381443298962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Infrastructure</v>
      </c>
      <c r="B110" s="79" t="str">
        <f>'Data shares'!C105</f>
        <v>IRFC</v>
      </c>
      <c r="C110" s="4">
        <f>VLOOKUP($B110,'Data shares'!$C:$FB,7)</f>
        <v>98.49</v>
      </c>
      <c r="D110" s="82">
        <f>VLOOKUP($B110,'Data shares'!$C:$FB,98)</f>
        <v>112110750</v>
      </c>
      <c r="E110" s="165">
        <f>VLOOKUP(B110,'Snapshot (Volume)'!$A$7:$G$168,7,0)</f>
        <v>112625000</v>
      </c>
      <c r="F110" s="165">
        <f t="shared" si="36"/>
        <v>-514250</v>
      </c>
      <c r="G110" s="166">
        <f t="shared" si="37"/>
        <v>-4.5660377358490564E-3</v>
      </c>
      <c r="H110" s="165">
        <f>VLOOKUP($B110,'Data shares'!$C:$FB,66)</f>
        <v>49844000</v>
      </c>
      <c r="I110" s="165">
        <f>VLOOKUP($B110,'Data shares'!$C:$FB,67)</f>
        <v>106160750</v>
      </c>
      <c r="J110" s="81">
        <f t="shared" si="38"/>
        <v>-53.048560791064489</v>
      </c>
      <c r="K110" s="5">
        <f>VLOOKUP($B110,'Data Vlaue (Cr)'!$C:$FB,99)</f>
        <v>1105</v>
      </c>
      <c r="L110" s="81">
        <f>VLOOKUP(B110,'OI(Value)'!$A$7:$C$226,3,0)</f>
        <v>-5</v>
      </c>
      <c r="M110" s="33">
        <f t="shared" si="31"/>
        <v>-0.45248868778280549</v>
      </c>
      <c r="N110" s="5">
        <f>VLOOKUP($B110,'Data Vlaue (Cr)'!$C:$FB,67)</f>
        <v>491</v>
      </c>
      <c r="O110" s="5">
        <f>VLOOKUP($B110,'Data Vlaue (Cr)'!$C:$FB,68)</f>
        <v>1046</v>
      </c>
      <c r="P110" s="5">
        <f t="shared" si="39"/>
        <v>-113.03462321792261</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ITC</v>
      </c>
      <c r="C111" s="4">
        <f>VLOOKUP($B111,'Data shares'!$C:$FB,7)</f>
        <v>303</v>
      </c>
      <c r="D111" s="82">
        <f>VLOOKUP($B111,'Data shares'!$C:$FB,98)</f>
        <v>293433600</v>
      </c>
      <c r="E111" s="165">
        <f>VLOOKUP(B111,'Snapshot (Volume)'!$A$7:$G$168,7,0)</f>
        <v>285520000</v>
      </c>
      <c r="F111" s="165">
        <f t="shared" si="36"/>
        <v>7913600</v>
      </c>
      <c r="G111" s="166">
        <f t="shared" si="37"/>
        <v>2.7716447184085179E-2</v>
      </c>
      <c r="H111" s="165">
        <f>VLOOKUP($B111,'Data shares'!$C:$FB,66)</f>
        <v>106142400</v>
      </c>
      <c r="I111" s="165">
        <f>VLOOKUP($B111,'Data shares'!$C:$FB,67)</f>
        <v>143833600</v>
      </c>
      <c r="J111" s="81">
        <f t="shared" si="38"/>
        <v>-26.20472546053217</v>
      </c>
      <c r="K111" s="5">
        <f>VLOOKUP($B111,'Data Vlaue (Cr)'!$C:$FB,99)</f>
        <v>8913</v>
      </c>
      <c r="L111" s="81">
        <f>VLOOKUP(B111,'OI(Value)'!$A$7:$C$226,3,0)</f>
        <v>240</v>
      </c>
      <c r="M111" s="33">
        <f t="shared" si="31"/>
        <v>2.6926960619320095</v>
      </c>
      <c r="N111" s="5">
        <f>VLOOKUP($B111,'Data Vlaue (Cr)'!$C:$FB,67)</f>
        <v>3224</v>
      </c>
      <c r="O111" s="5">
        <f>VLOOKUP($B111,'Data Vlaue (Cr)'!$C:$FB,68)</f>
        <v>4369</v>
      </c>
      <c r="P111" s="5">
        <f t="shared" si="39"/>
        <v>-35.514888337468982</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JINDALSTEL</v>
      </c>
      <c r="C112" s="4">
        <f>VLOOKUP($B112,'Data shares'!$C:$FB,7)</f>
        <v>1199.5999999999999</v>
      </c>
      <c r="D112" s="82">
        <f>VLOOKUP($B112,'Data shares'!$C:$FB,98)</f>
        <v>17981250</v>
      </c>
      <c r="E112" s="165">
        <f>VLOOKUP(B112,'Snapshot (Volume)'!$A$7:$G$168,7,0)</f>
        <v>17356875</v>
      </c>
      <c r="F112" s="165">
        <f t="shared" si="36"/>
        <v>624375</v>
      </c>
      <c r="G112" s="166">
        <f t="shared" si="37"/>
        <v>3.5972777357675276E-2</v>
      </c>
      <c r="H112" s="165">
        <f>VLOOKUP($B112,'Data shares'!$C:$FB,66)</f>
        <v>8274375</v>
      </c>
      <c r="I112" s="165">
        <f>VLOOKUP($B112,'Data shares'!$C:$FB,67)</f>
        <v>12269375</v>
      </c>
      <c r="J112" s="81">
        <f t="shared" si="38"/>
        <v>-32.56074575925831</v>
      </c>
      <c r="K112" s="5">
        <f>VLOOKUP($B112,'Data Vlaue (Cr)'!$C:$FB,99)</f>
        <v>2168</v>
      </c>
      <c r="L112" s="81">
        <f>VLOOKUP(B112,'OI(Value)'!$A$7:$C$226,3,0)</f>
        <v>75</v>
      </c>
      <c r="M112" s="33">
        <f t="shared" si="31"/>
        <v>3.4594095940959413</v>
      </c>
      <c r="N112" s="5">
        <f>VLOOKUP($B112,'Data Vlaue (Cr)'!$C:$FB,67)</f>
        <v>997</v>
      </c>
      <c r="O112" s="5">
        <f>VLOOKUP($B112,'Data Vlaue (Cr)'!$C:$FB,68)</f>
        <v>1479</v>
      </c>
      <c r="P112" s="5">
        <f t="shared" si="39"/>
        <v>-48.345035105315951</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JIOFIN</v>
      </c>
      <c r="C113" s="4">
        <f>VLOOKUP($B113,'Data shares'!$C:$FB,7)</f>
        <v>238.84</v>
      </c>
      <c r="D113" s="82">
        <f>VLOOKUP($B113,'Data shares'!$C:$FB,98)</f>
        <v>227242650</v>
      </c>
      <c r="E113" s="165">
        <f>VLOOKUP(B113,'Snapshot (Volume)'!$A$7:$G$168,7,0)</f>
        <v>217870850</v>
      </c>
      <c r="F113" s="165">
        <f t="shared" si="36"/>
        <v>9371800</v>
      </c>
      <c r="G113" s="166">
        <f t="shared" si="37"/>
        <v>4.3015391916816775E-2</v>
      </c>
      <c r="H113" s="165">
        <f>VLOOKUP($B113,'Data shares'!$C:$FB,66)</f>
        <v>75761650</v>
      </c>
      <c r="I113" s="165">
        <f>VLOOKUP($B113,'Data shares'!$C:$FB,67)</f>
        <v>90691200</v>
      </c>
      <c r="J113" s="81">
        <f t="shared" si="38"/>
        <v>-16.46196102819237</v>
      </c>
      <c r="K113" s="5">
        <f>VLOOKUP($B113,'Data Vlaue (Cr)'!$C:$FB,99)</f>
        <v>5448</v>
      </c>
      <c r="L113" s="81">
        <f>VLOOKUP(B113,'OI(Value)'!$A$7:$C$226,3,0)</f>
        <v>225</v>
      </c>
      <c r="M113" s="33">
        <f t="shared" si="31"/>
        <v>4.1299559471365637</v>
      </c>
      <c r="N113" s="5">
        <f>VLOOKUP($B113,'Data Vlaue (Cr)'!$C:$FB,67)</f>
        <v>1816</v>
      </c>
      <c r="O113" s="5">
        <f>VLOOKUP($B113,'Data Vlaue (Cr)'!$C:$FB,68)</f>
        <v>2174</v>
      </c>
      <c r="P113" s="5">
        <f t="shared" si="39"/>
        <v>-19.7136563876652</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JSWENERGY</v>
      </c>
      <c r="C114" s="4">
        <f>VLOOKUP($B114,'Data shares'!$C:$FB,7)</f>
        <v>489.15</v>
      </c>
      <c r="D114" s="82">
        <f>VLOOKUP($B114,'Data shares'!$C:$FB,98)</f>
        <v>38264000</v>
      </c>
      <c r="E114" s="165">
        <f>VLOOKUP(B114,'Snapshot (Volume)'!$A$7:$G$168,7,0)</f>
        <v>35258000</v>
      </c>
      <c r="F114" s="165">
        <f t="shared" si="36"/>
        <v>3006000</v>
      </c>
      <c r="G114" s="166">
        <f t="shared" si="37"/>
        <v>8.5257246582335924E-2</v>
      </c>
      <c r="H114" s="165">
        <f>VLOOKUP($B114,'Data shares'!$C:$FB,66)</f>
        <v>15889000</v>
      </c>
      <c r="I114" s="165">
        <f>VLOOKUP($B114,'Data shares'!$C:$FB,67)</f>
        <v>11589000</v>
      </c>
      <c r="J114" s="81">
        <f t="shared" si="38"/>
        <v>37.104150487531278</v>
      </c>
      <c r="K114" s="5">
        <f>VLOOKUP($B114,'Data Vlaue (Cr)'!$C:$FB,99)</f>
        <v>1881</v>
      </c>
      <c r="L114" s="81">
        <f>VLOOKUP(B114,'OI(Value)'!$A$7:$C$226,3,0)</f>
        <v>148</v>
      </c>
      <c r="M114" s="33">
        <f t="shared" si="31"/>
        <v>7.868155236576289</v>
      </c>
      <c r="N114" s="5">
        <f>VLOOKUP($B114,'Data Vlaue (Cr)'!$C:$FB,67)</f>
        <v>781</v>
      </c>
      <c r="O114" s="5">
        <f>VLOOKUP($B114,'Data Vlaue (Cr)'!$C:$FB,68)</f>
        <v>570</v>
      </c>
      <c r="P114" s="5">
        <f t="shared" si="39"/>
        <v>27.016645326504481</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Metals</v>
      </c>
      <c r="B115" s="79" t="str">
        <f>'Data shares'!C110</f>
        <v>JSWSTEEL</v>
      </c>
      <c r="C115" s="79">
        <f>VLOOKUP($B115,'Data shares'!$C:$FB,7)</f>
        <v>1209.7</v>
      </c>
      <c r="D115" s="80">
        <f>VLOOKUP($B115,'Data shares'!$C:$FB,98)</f>
        <v>63296775</v>
      </c>
      <c r="E115" s="165">
        <f>VLOOKUP(B115,'Snapshot (Volume)'!$A$7:$G$168,7,0)</f>
        <v>63394650</v>
      </c>
      <c r="F115" s="165">
        <f t="shared" ref="F115:F126" si="40">D115-E115</f>
        <v>-97875</v>
      </c>
      <c r="G115" s="166">
        <f t="shared" ref="G115:G126" si="41">F115/E115</f>
        <v>-1.5438999978704827E-3</v>
      </c>
      <c r="H115" s="165">
        <f>VLOOKUP($B115,'Data shares'!$C:$FB,66)</f>
        <v>14635350</v>
      </c>
      <c r="I115" s="165">
        <f>VLOOKUP($B115,'Data shares'!$C:$FB,67)</f>
        <v>16347150</v>
      </c>
      <c r="J115" s="81">
        <f t="shared" ref="J115:J126" si="42">(H115-I115)/I115*100</f>
        <v>-10.471550086712362</v>
      </c>
      <c r="K115" s="81">
        <f>VLOOKUP($B115,'Data Vlaue (Cr)'!$C:$FB,99)</f>
        <v>7684</v>
      </c>
      <c r="L115" s="81">
        <f>VLOOKUP(B115,'OI(Value)'!$A$7:$C$226,3,0)</f>
        <v>-12</v>
      </c>
      <c r="M115" s="81">
        <f t="shared" si="31"/>
        <v>-0.15616866215512754</v>
      </c>
      <c r="N115" s="81">
        <f>VLOOKUP($B115,'Data Vlaue (Cr)'!$C:$FB,67)</f>
        <v>1777</v>
      </c>
      <c r="O115" s="81">
        <f>VLOOKUP($B115,'Data Vlaue (Cr)'!$C:$FB,68)</f>
        <v>1984</v>
      </c>
      <c r="P115" s="81">
        <f t="shared" ref="P115:P126" si="43">(N115-O115)/N115*100</f>
        <v>-11.648846370287</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JUBLFOOD</v>
      </c>
      <c r="C116" s="4">
        <f>VLOOKUP($B116,'Data shares'!$C:$FB,7)</f>
        <v>427.85</v>
      </c>
      <c r="D116" s="82">
        <f>VLOOKUP($B116,'Data shares'!$C:$FB,98)</f>
        <v>65807500</v>
      </c>
      <c r="E116" s="165">
        <f>VLOOKUP(B116,'Snapshot (Volume)'!$A$7:$G$168,7,0)</f>
        <v>63891250</v>
      </c>
      <c r="F116" s="165">
        <f t="shared" si="40"/>
        <v>1916250</v>
      </c>
      <c r="G116" s="166">
        <f t="shared" si="41"/>
        <v>2.99923698472013E-2</v>
      </c>
      <c r="H116" s="165">
        <f>VLOOKUP($B116,'Data shares'!$C:$FB,66)</f>
        <v>26938750</v>
      </c>
      <c r="I116" s="165">
        <f>VLOOKUP($B116,'Data shares'!$C:$FB,67)</f>
        <v>81215000</v>
      </c>
      <c r="J116" s="81">
        <f t="shared" si="42"/>
        <v>-66.830326910053557</v>
      </c>
      <c r="K116" s="5">
        <f>VLOOKUP($B116,'Data Vlaue (Cr)'!$C:$FB,99)</f>
        <v>2806</v>
      </c>
      <c r="L116" s="81">
        <f>VLOOKUP(B116,'OI(Value)'!$A$7:$C$226,3,0)</f>
        <v>82</v>
      </c>
      <c r="M116" s="33">
        <f t="shared" si="31"/>
        <v>2.9223093371347115</v>
      </c>
      <c r="N116" s="5">
        <f>VLOOKUP($B116,'Data Vlaue (Cr)'!$C:$FB,67)</f>
        <v>1149</v>
      </c>
      <c r="O116" s="5">
        <f>VLOOKUP($B116,'Data Vlaue (Cr)'!$C:$FB,68)</f>
        <v>3463</v>
      </c>
      <c r="P116" s="5">
        <f t="shared" si="43"/>
        <v>-201.39251523063533</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FMCG</v>
      </c>
      <c r="B117" s="79" t="str">
        <f>'Data shares'!C112</f>
        <v>KALYANKJIL</v>
      </c>
      <c r="C117" s="4">
        <f>VLOOKUP($B117,'Data shares'!$C:$FB,7)</f>
        <v>446.1</v>
      </c>
      <c r="D117" s="82">
        <f>VLOOKUP($B117,'Data shares'!$C:$FB,98)</f>
        <v>35285250</v>
      </c>
      <c r="E117" s="165">
        <f>VLOOKUP(B117,'Snapshot (Volume)'!$A$7:$G$168,7,0)</f>
        <v>34281800</v>
      </c>
      <c r="F117" s="165">
        <f t="shared" si="40"/>
        <v>1003450</v>
      </c>
      <c r="G117" s="166">
        <f t="shared" si="41"/>
        <v>2.927063339731286E-2</v>
      </c>
      <c r="H117" s="165">
        <f>VLOOKUP($B117,'Data shares'!$C:$FB,66)</f>
        <v>17834150</v>
      </c>
      <c r="I117" s="165">
        <f>VLOOKUP($B117,'Data shares'!$C:$FB,67)</f>
        <v>42782925</v>
      </c>
      <c r="J117" s="81">
        <f t="shared" si="42"/>
        <v>-58.314794979539151</v>
      </c>
      <c r="K117" s="5">
        <f>VLOOKUP($B117,'Data Vlaue (Cr)'!$C:$FB,99)</f>
        <v>1580</v>
      </c>
      <c r="L117" s="81">
        <f>VLOOKUP(B117,'OI(Value)'!$A$7:$C$226,3,0)</f>
        <v>45</v>
      </c>
      <c r="M117" s="33">
        <f t="shared" si="31"/>
        <v>2.8481012658227849</v>
      </c>
      <c r="N117" s="5">
        <f>VLOOKUP($B117,'Data Vlaue (Cr)'!$C:$FB,67)</f>
        <v>799</v>
      </c>
      <c r="O117" s="5">
        <f>VLOOKUP($B117,'Data Vlaue (Cr)'!$C:$FB,68)</f>
        <v>1916</v>
      </c>
      <c r="P117" s="5">
        <f t="shared" si="43"/>
        <v>-139.79974968710889</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Capital_Goods</v>
      </c>
      <c r="B118" s="79" t="str">
        <f>'Data shares'!C113</f>
        <v>KAYNES</v>
      </c>
      <c r="C118" s="4">
        <f>VLOOKUP($B118,'Data shares'!$C:$FB,7)</f>
        <v>3851.5</v>
      </c>
      <c r="D118" s="82">
        <f>VLOOKUP($B118,'Data shares'!$C:$FB,98)</f>
        <v>5518300</v>
      </c>
      <c r="E118" s="165">
        <f>VLOOKUP(B118,'Snapshot (Volume)'!$A$7:$G$168,7,0)</f>
        <v>5209700</v>
      </c>
      <c r="F118" s="165">
        <f t="shared" si="40"/>
        <v>308600</v>
      </c>
      <c r="G118" s="166">
        <f t="shared" si="41"/>
        <v>5.9235656563717681E-2</v>
      </c>
      <c r="H118" s="165">
        <f>VLOOKUP($B118,'Data shares'!$C:$FB,66)</f>
        <v>4856300</v>
      </c>
      <c r="I118" s="165">
        <f>VLOOKUP($B118,'Data shares'!$C:$FB,67)</f>
        <v>6022600</v>
      </c>
      <c r="J118" s="81">
        <f t="shared" si="42"/>
        <v>-19.36539036296616</v>
      </c>
      <c r="K118" s="5">
        <f>VLOOKUP($B118,'Data Vlaue (Cr)'!$C:$FB,99)</f>
        <v>2098</v>
      </c>
      <c r="L118" s="81">
        <f>VLOOKUP(B118,'OI(Value)'!$A$7:$C$226,3,0)</f>
        <v>117</v>
      </c>
      <c r="M118" s="33">
        <f t="shared" si="31"/>
        <v>5.5767397521449</v>
      </c>
      <c r="N118" s="5">
        <f>VLOOKUP($B118,'Data Vlaue (Cr)'!$C:$FB,67)</f>
        <v>1847</v>
      </c>
      <c r="O118" s="5">
        <f>VLOOKUP($B118,'Data Vlaue (Cr)'!$C:$FB,68)</f>
        <v>2290</v>
      </c>
      <c r="P118" s="5">
        <f t="shared" si="43"/>
        <v>-23.984840281537629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KEI</v>
      </c>
      <c r="C119" s="4">
        <f>VLOOKUP($B119,'Data shares'!$C:$FB,7)</f>
        <v>4416.8999999999996</v>
      </c>
      <c r="D119" s="82">
        <f>VLOOKUP($B119,'Data shares'!$C:$FB,98)</f>
        <v>3098725</v>
      </c>
      <c r="E119" s="165">
        <f>VLOOKUP(B119,'Snapshot (Volume)'!$A$7:$G$168,7,0)</f>
        <v>2972375</v>
      </c>
      <c r="F119" s="165">
        <f t="shared" si="40"/>
        <v>126350</v>
      </c>
      <c r="G119" s="166">
        <f t="shared" si="41"/>
        <v>4.2508095378274949E-2</v>
      </c>
      <c r="H119" s="165">
        <f>VLOOKUP($B119,'Data shares'!$C:$FB,66)</f>
        <v>1259825</v>
      </c>
      <c r="I119" s="165">
        <f>VLOOKUP($B119,'Data shares'!$C:$FB,67)</f>
        <v>2113300</v>
      </c>
      <c r="J119" s="81">
        <f t="shared" si="42"/>
        <v>-40.385889367340177</v>
      </c>
      <c r="K119" s="5">
        <f>VLOOKUP($B119,'Data Vlaue (Cr)'!$C:$FB,99)</f>
        <v>1369</v>
      </c>
      <c r="L119" s="81">
        <f>VLOOKUP(B119,'OI(Value)'!$A$7:$C$226,3,0)</f>
        <v>56</v>
      </c>
      <c r="M119" s="33">
        <f t="shared" si="31"/>
        <v>4.0905770635500369</v>
      </c>
      <c r="N119" s="5">
        <f>VLOOKUP($B119,'Data Vlaue (Cr)'!$C:$FB,67)</f>
        <v>557</v>
      </c>
      <c r="O119" s="5">
        <f>VLOOKUP($B119,'Data Vlaue (Cr)'!$C:$FB,68)</f>
        <v>934</v>
      </c>
      <c r="P119" s="5">
        <f t="shared" si="43"/>
        <v>-67.684021543985637</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KFINTECH</v>
      </c>
      <c r="C120" s="4">
        <f>VLOOKUP($B120,'Data shares'!$C:$FB,7)</f>
        <v>892.25</v>
      </c>
      <c r="D120" s="82">
        <f>VLOOKUP($B120,'Data shares'!$C:$FB,98)</f>
        <v>5386500</v>
      </c>
      <c r="E120" s="165">
        <f>VLOOKUP(B120,'Snapshot (Volume)'!$A$7:$G$168,7,0)</f>
        <v>4494000</v>
      </c>
      <c r="F120" s="165">
        <f t="shared" si="40"/>
        <v>892500</v>
      </c>
      <c r="G120" s="166">
        <f t="shared" si="41"/>
        <v>0.19859813084112149</v>
      </c>
      <c r="H120" s="165">
        <f>VLOOKUP($B120,'Data shares'!$C:$FB,66)</f>
        <v>4599000</v>
      </c>
      <c r="I120" s="165">
        <f>VLOOKUP($B120,'Data shares'!$C:$FB,67)</f>
        <v>5647000</v>
      </c>
      <c r="J120" s="81">
        <f t="shared" si="42"/>
        <v>-18.558526651319283</v>
      </c>
      <c r="K120" s="5">
        <f>VLOOKUP($B120,'Data Vlaue (Cr)'!$C:$FB,99)</f>
        <v>481</v>
      </c>
      <c r="L120" s="81">
        <f>VLOOKUP(B120,'OI(Value)'!$A$7:$C$226,3,0)</f>
        <v>80</v>
      </c>
      <c r="M120" s="33">
        <f t="shared" si="31"/>
        <v>16.632016632016633</v>
      </c>
      <c r="N120" s="5">
        <f>VLOOKUP($B120,'Data Vlaue (Cr)'!$C:$FB,67)</f>
        <v>411</v>
      </c>
      <c r="O120" s="5">
        <f>VLOOKUP($B120,'Data Vlaue (Cr)'!$C:$FB,68)</f>
        <v>505</v>
      </c>
      <c r="P120" s="5">
        <f t="shared" si="43"/>
        <v>-22.871046228710462</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Banking</v>
      </c>
      <c r="B121" s="79" t="str">
        <f>'Data shares'!C116</f>
        <v>KOTAKBANK</v>
      </c>
      <c r="C121" s="4">
        <f>VLOOKUP($B121,'Data shares'!$C:$FB,7)</f>
        <v>371.9</v>
      </c>
      <c r="D121" s="82">
        <f>VLOOKUP($B121,'Data shares'!$C:$FB,98)</f>
        <v>264730000</v>
      </c>
      <c r="E121" s="165">
        <f>VLOOKUP(B121,'Snapshot (Volume)'!$A$7:$G$168,7,0)</f>
        <v>263584000</v>
      </c>
      <c r="F121" s="165">
        <f t="shared" si="40"/>
        <v>1146000</v>
      </c>
      <c r="G121" s="166">
        <f t="shared" si="41"/>
        <v>4.3477601068350131E-3</v>
      </c>
      <c r="H121" s="165">
        <f>VLOOKUP($B121,'Data shares'!$C:$FB,66)</f>
        <v>48634000</v>
      </c>
      <c r="I121" s="165">
        <f>VLOOKUP($B121,'Data shares'!$C:$FB,67)</f>
        <v>93896000</v>
      </c>
      <c r="J121" s="81">
        <f t="shared" si="42"/>
        <v>-48.204396353412285</v>
      </c>
      <c r="K121" s="5">
        <f>VLOOKUP($B121,'Data Vlaue (Cr)'!$C:$FB,99)</f>
        <v>9876</v>
      </c>
      <c r="L121" s="81">
        <f>VLOOKUP(B121,'OI(Value)'!$A$7:$C$226,3,0)</f>
        <v>43</v>
      </c>
      <c r="M121" s="33">
        <f t="shared" si="31"/>
        <v>0.43539894694208181</v>
      </c>
      <c r="N121" s="5">
        <f>VLOOKUP($B121,'Data Vlaue (Cr)'!$C:$FB,67)</f>
        <v>1814</v>
      </c>
      <c r="O121" s="5">
        <f>VLOOKUP($B121,'Data Vlaue (Cr)'!$C:$FB,68)</f>
        <v>3503</v>
      </c>
      <c r="P121" s="5">
        <f t="shared" si="43"/>
        <v>-93.109151047409043</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Technology</v>
      </c>
      <c r="B122" s="79" t="str">
        <f>'Data shares'!C117</f>
        <v>KPITTECH</v>
      </c>
      <c r="C122" s="4">
        <f>VLOOKUP($B122,'Data shares'!$C:$FB,7)</f>
        <v>716.05</v>
      </c>
      <c r="D122" s="82">
        <f>VLOOKUP($B122,'Data shares'!$C:$FB,98)</f>
        <v>11964600</v>
      </c>
      <c r="E122" s="165">
        <f>VLOOKUP(B122,'Snapshot (Volume)'!$A$7:$G$168,7,0)</f>
        <v>11560000</v>
      </c>
      <c r="F122" s="165">
        <f t="shared" si="40"/>
        <v>404600</v>
      </c>
      <c r="G122" s="166">
        <f t="shared" si="41"/>
        <v>3.5000000000000003E-2</v>
      </c>
      <c r="H122" s="165">
        <f>VLOOKUP($B122,'Data shares'!$C:$FB,66)</f>
        <v>5369450</v>
      </c>
      <c r="I122" s="165">
        <f>VLOOKUP($B122,'Data shares'!$C:$FB,67)</f>
        <v>8583725</v>
      </c>
      <c r="J122" s="81">
        <f t="shared" si="42"/>
        <v>-37.446155369609343</v>
      </c>
      <c r="K122" s="5">
        <f>VLOOKUP($B122,'Data Vlaue (Cr)'!$C:$FB,99)</f>
        <v>860</v>
      </c>
      <c r="L122" s="81">
        <f>VLOOKUP(B122,'OI(Value)'!$A$7:$C$226,3,0)</f>
        <v>29</v>
      </c>
      <c r="M122" s="33">
        <f t="shared" si="31"/>
        <v>3.3720930232558142</v>
      </c>
      <c r="N122" s="5">
        <f>VLOOKUP($B122,'Data Vlaue (Cr)'!$C:$FB,67)</f>
        <v>386</v>
      </c>
      <c r="O122" s="5">
        <f>VLOOKUP($B122,'Data Vlaue (Cr)'!$C:$FB,68)</f>
        <v>617</v>
      </c>
      <c r="P122" s="5">
        <f t="shared" si="43"/>
        <v>-59.844559585492227</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Pharma</v>
      </c>
      <c r="B123" s="79" t="str">
        <f>'Data shares'!C118</f>
        <v>LAURUSLABS</v>
      </c>
      <c r="C123" s="4">
        <f>VLOOKUP($B123,'Data shares'!$C:$FB,7)</f>
        <v>1083.7</v>
      </c>
      <c r="D123" s="82">
        <f>VLOOKUP($B123,'Data shares'!$C:$FB,98)</f>
        <v>26026150</v>
      </c>
      <c r="E123" s="165">
        <f>VLOOKUP(B123,'Snapshot (Volume)'!$A$7:$G$168,7,0)</f>
        <v>25478750</v>
      </c>
      <c r="F123" s="165">
        <f t="shared" si="40"/>
        <v>547400</v>
      </c>
      <c r="G123" s="166">
        <f t="shared" si="41"/>
        <v>2.1484570475396165E-2</v>
      </c>
      <c r="H123" s="165">
        <f>VLOOKUP($B123,'Data shares'!$C:$FB,66)</f>
        <v>7419650</v>
      </c>
      <c r="I123" s="165">
        <f>VLOOKUP($B123,'Data shares'!$C:$FB,67)</f>
        <v>11337300</v>
      </c>
      <c r="J123" s="81">
        <f t="shared" si="42"/>
        <v>-34.555405608037191</v>
      </c>
      <c r="K123" s="5">
        <f>VLOOKUP($B123,'Data Vlaue (Cr)'!$C:$FB,99)</f>
        <v>2830</v>
      </c>
      <c r="L123" s="81">
        <f>VLOOKUP(B123,'OI(Value)'!$A$7:$C$226,3,0)</f>
        <v>60</v>
      </c>
      <c r="M123" s="33">
        <f t="shared" ref="M123:M144" si="44">L123/K123*100</f>
        <v>2.1201413427561837</v>
      </c>
      <c r="N123" s="5">
        <f>VLOOKUP($B123,'Data Vlaue (Cr)'!$C:$FB,67)</f>
        <v>807</v>
      </c>
      <c r="O123" s="5">
        <f>VLOOKUP($B123,'Data Vlaue (Cr)'!$C:$FB,68)</f>
        <v>1233</v>
      </c>
      <c r="P123" s="5">
        <f t="shared" si="43"/>
        <v>-52.788104089219331</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LICHSGFIN</v>
      </c>
      <c r="C124" s="4">
        <f>VLOOKUP($B124,'Data shares'!$C:$FB,7)</f>
        <v>532.29999999999995</v>
      </c>
      <c r="D124" s="82">
        <f>VLOOKUP($B124,'Data shares'!$C:$FB,98)</f>
        <v>42989000</v>
      </c>
      <c r="E124" s="165">
        <f>VLOOKUP(B124,'Snapshot (Volume)'!$A$7:$G$168,7,0)</f>
        <v>42985000</v>
      </c>
      <c r="F124" s="165">
        <f t="shared" si="40"/>
        <v>4000</v>
      </c>
      <c r="G124" s="166">
        <f t="shared" si="41"/>
        <v>9.3055717110619986E-5</v>
      </c>
      <c r="H124" s="165">
        <f>VLOOKUP($B124,'Data shares'!$C:$FB,66)</f>
        <v>6524000</v>
      </c>
      <c r="I124" s="165">
        <f>VLOOKUP($B124,'Data shares'!$C:$FB,67)</f>
        <v>12872000</v>
      </c>
      <c r="J124" s="81">
        <f t="shared" si="42"/>
        <v>-49.316345556246119</v>
      </c>
      <c r="K124" s="5">
        <f>VLOOKUP($B124,'Data Vlaue (Cr)'!$C:$FB,99)</f>
        <v>2293</v>
      </c>
      <c r="L124" s="81">
        <f>VLOOKUP(B124,'OI(Value)'!$A$7:$C$226,3,0)</f>
        <v>0</v>
      </c>
      <c r="M124" s="33">
        <f t="shared" si="44"/>
        <v>0</v>
      </c>
      <c r="N124" s="5">
        <f>VLOOKUP($B124,'Data Vlaue (Cr)'!$C:$FB,67)</f>
        <v>348</v>
      </c>
      <c r="O124" s="5">
        <f>VLOOKUP($B124,'Data Vlaue (Cr)'!$C:$FB,68)</f>
        <v>687</v>
      </c>
      <c r="P124" s="5">
        <f t="shared" si="43"/>
        <v>-97.41379310344827</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LICI</v>
      </c>
      <c r="C125" s="4">
        <f>VLOOKUP($B125,'Data shares'!$C:$FB,7)</f>
        <v>793.4</v>
      </c>
      <c r="D125" s="82">
        <f>VLOOKUP($B125,'Data shares'!$C:$FB,98)</f>
        <v>16384200</v>
      </c>
      <c r="E125" s="165">
        <f>VLOOKUP(B125,'Snapshot (Volume)'!$A$7:$G$168,7,0)</f>
        <v>15771000</v>
      </c>
      <c r="F125" s="165">
        <f t="shared" si="40"/>
        <v>613200</v>
      </c>
      <c r="G125" s="166">
        <f t="shared" si="41"/>
        <v>3.8881491344873502E-2</v>
      </c>
      <c r="H125" s="165">
        <f>VLOOKUP($B125,'Data shares'!$C:$FB,66)</f>
        <v>5873700</v>
      </c>
      <c r="I125" s="165">
        <f>VLOOKUP($B125,'Data shares'!$C:$FB,67)</f>
        <v>18019400</v>
      </c>
      <c r="J125" s="81">
        <f t="shared" si="42"/>
        <v>-67.403465154222673</v>
      </c>
      <c r="K125" s="5">
        <f>VLOOKUP($B125,'Data Vlaue (Cr)'!$C:$FB,99)</f>
        <v>1300</v>
      </c>
      <c r="L125" s="81">
        <f>VLOOKUP(B125,'OI(Value)'!$A$7:$C$226,3,0)</f>
        <v>49</v>
      </c>
      <c r="M125" s="33">
        <f t="shared" si="44"/>
        <v>3.7692307692307692</v>
      </c>
      <c r="N125" s="5">
        <f>VLOOKUP($B125,'Data Vlaue (Cr)'!$C:$FB,67)</f>
        <v>466</v>
      </c>
      <c r="O125" s="5">
        <f>VLOOKUP($B125,'Data Vlaue (Cr)'!$C:$FB,68)</f>
        <v>1430</v>
      </c>
      <c r="P125" s="5">
        <f t="shared" si="43"/>
        <v>-206.86695278969958</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Realty</v>
      </c>
      <c r="B126" s="79" t="str">
        <f>'Data shares'!C121</f>
        <v>LODHA</v>
      </c>
      <c r="C126" s="4">
        <f>VLOOKUP($B126,'Data shares'!$C:$FB,7)</f>
        <v>789.55</v>
      </c>
      <c r="D126" s="82">
        <f>VLOOKUP($B126,'Data shares'!$C:$FB,98)</f>
        <v>33883650</v>
      </c>
      <c r="E126" s="165">
        <f>VLOOKUP(B126,'Snapshot (Volume)'!$A$7:$G$168,7,0)</f>
        <v>33970050</v>
      </c>
      <c r="F126" s="165">
        <f t="shared" si="40"/>
        <v>-86400</v>
      </c>
      <c r="G126" s="166">
        <f t="shared" si="41"/>
        <v>-2.5434169216707069E-3</v>
      </c>
      <c r="H126" s="165">
        <f>VLOOKUP($B126,'Data shares'!$C:$FB,66)</f>
        <v>12150900</v>
      </c>
      <c r="I126" s="165">
        <f>VLOOKUP($B126,'Data shares'!$C:$FB,67)</f>
        <v>26887500</v>
      </c>
      <c r="J126" s="81">
        <f t="shared" si="42"/>
        <v>-54.808368200836824</v>
      </c>
      <c r="K126" s="5">
        <f>VLOOKUP($B126,'Data Vlaue (Cr)'!$C:$FB,99)</f>
        <v>2683</v>
      </c>
      <c r="L126" s="81">
        <f>VLOOKUP(B126,'OI(Value)'!$A$7:$C$226,3,0)</f>
        <v>-7</v>
      </c>
      <c r="M126" s="33">
        <f t="shared" si="44"/>
        <v>-0.26090197540067089</v>
      </c>
      <c r="N126" s="5">
        <f>VLOOKUP($B126,'Data Vlaue (Cr)'!$C:$FB,67)</f>
        <v>962</v>
      </c>
      <c r="O126" s="5">
        <f>VLOOKUP($B126,'Data Vlaue (Cr)'!$C:$FB,68)</f>
        <v>2129</v>
      </c>
      <c r="P126" s="5">
        <f t="shared" si="43"/>
        <v>-121.30977130977132</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Capital_Goods</v>
      </c>
      <c r="B127" s="79" t="str">
        <f>'Data shares'!C122</f>
        <v>LT</v>
      </c>
      <c r="C127" s="4">
        <f>VLOOKUP($B127,'Data shares'!$C:$FB,7)</f>
        <v>3896.2</v>
      </c>
      <c r="D127" s="82">
        <f>VLOOKUP($B127,'Data shares'!$C:$FB,98)</f>
        <v>30122050</v>
      </c>
      <c r="E127" s="165">
        <f>VLOOKUP(B127,'Snapshot (Volume)'!$A$7:$G$168,7,0)</f>
        <v>28188825</v>
      </c>
      <c r="F127" s="165">
        <f>D127-E127</f>
        <v>1933225</v>
      </c>
      <c r="G127" s="166">
        <f>F127/E127</f>
        <v>6.8581255160511306E-2</v>
      </c>
      <c r="H127" s="165">
        <f>VLOOKUP($B127,'Data shares'!$C:$FB,66)</f>
        <v>20488125</v>
      </c>
      <c r="I127" s="165">
        <f>VLOOKUP($B127,'Data shares'!$C:$FB,67)</f>
        <v>40191725</v>
      </c>
      <c r="J127" s="81">
        <f>(H127-I127)/I127*100</f>
        <v>-49.024021735817506</v>
      </c>
      <c r="K127" s="5">
        <f>VLOOKUP($B127,'Data Vlaue (Cr)'!$C:$FB,99)</f>
        <v>11769</v>
      </c>
      <c r="L127" s="81">
        <f>VLOOKUP(B127,'OI(Value)'!$A$7:$C$226,3,0)</f>
        <v>755</v>
      </c>
      <c r="M127" s="33">
        <f t="shared" si="44"/>
        <v>6.4151584671594879</v>
      </c>
      <c r="N127" s="5">
        <f>VLOOKUP($B127,'Data Vlaue (Cr)'!$C:$FB,67)</f>
        <v>8005</v>
      </c>
      <c r="O127" s="5">
        <f>VLOOKUP($B127,'Data Vlaue (Cr)'!$C:$FB,68)</f>
        <v>15704</v>
      </c>
      <c r="P127" s="5">
        <f>(N127-O127)/N127*100</f>
        <v>-96.177389131792637</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Finance</v>
      </c>
      <c r="B128" s="79" t="str">
        <f>'Data shares'!C123</f>
        <v>LTF</v>
      </c>
      <c r="C128" s="4">
        <f>VLOOKUP($B128,'Data shares'!$C:$FB,7)</f>
        <v>272.18</v>
      </c>
      <c r="D128" s="82">
        <f>VLOOKUP($B128,'Data shares'!$C:$FB,98)</f>
        <v>87423750</v>
      </c>
      <c r="E128" s="165">
        <f>VLOOKUP(B128,'Snapshot (Volume)'!$A$7:$G$168,7,0)</f>
        <v>85146750</v>
      </c>
      <c r="F128" s="165">
        <f>D128-E128</f>
        <v>2277000</v>
      </c>
      <c r="G128" s="166">
        <f>F128/E128</f>
        <v>2.6742065903865974E-2</v>
      </c>
      <c r="H128" s="165">
        <f>VLOOKUP($B128,'Data shares'!$C:$FB,66)</f>
        <v>30413250</v>
      </c>
      <c r="I128" s="165">
        <f>VLOOKUP($B128,'Data shares'!$C:$FB,67)</f>
        <v>81508500</v>
      </c>
      <c r="J128" s="81">
        <f>(H128-I128)/I128*100</f>
        <v>-62.687020372108428</v>
      </c>
      <c r="K128" s="5">
        <f>VLOOKUP($B128,'Data Vlaue (Cr)'!$C:$FB,99)</f>
        <v>2388</v>
      </c>
      <c r="L128" s="81">
        <f>VLOOKUP(B128,'OI(Value)'!$A$7:$C$226,3,0)</f>
        <v>62</v>
      </c>
      <c r="M128" s="33">
        <f t="shared" si="44"/>
        <v>2.5963149078726966</v>
      </c>
      <c r="N128" s="5">
        <f>VLOOKUP($B128,'Data Vlaue (Cr)'!$C:$FB,67)</f>
        <v>831</v>
      </c>
      <c r="O128" s="5">
        <f>VLOOKUP($B128,'Data Vlaue (Cr)'!$C:$FB,68)</f>
        <v>2226</v>
      </c>
      <c r="P128" s="5">
        <f>(N128-O128)/N128*100</f>
        <v>-167.87003610108303</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Technology</v>
      </c>
      <c r="B129" s="79" t="str">
        <f>'Data shares'!C124</f>
        <v>LTM</v>
      </c>
      <c r="C129" s="4">
        <f>VLOOKUP($B129,'Data shares'!$C:$FB,7)</f>
        <v>4572</v>
      </c>
      <c r="D129" s="82">
        <f>VLOOKUP($B129,'Data shares'!$C:$FB,98)</f>
        <v>5624550</v>
      </c>
      <c r="E129" s="165">
        <f>VLOOKUP(B129,'Snapshot (Volume)'!$A$7:$G$168,7,0)</f>
        <v>5476950</v>
      </c>
      <c r="F129" s="165">
        <f>D129-E129</f>
        <v>147600</v>
      </c>
      <c r="G129" s="166">
        <f>F129/E129</f>
        <v>2.6949305726727466E-2</v>
      </c>
      <c r="H129" s="165">
        <f>VLOOKUP($B129,'Data shares'!$C:$FB,66)</f>
        <v>2776500</v>
      </c>
      <c r="I129" s="165">
        <f>VLOOKUP($B129,'Data shares'!$C:$FB,67)</f>
        <v>2824050</v>
      </c>
      <c r="J129" s="81">
        <f>(H129-I129)/I129*100</f>
        <v>-1.6837520582142669</v>
      </c>
      <c r="K129" s="5">
        <f>VLOOKUP($B129,'Data Vlaue (Cr)'!$C:$FB,99)</f>
        <v>2563</v>
      </c>
      <c r="L129" s="81">
        <f>VLOOKUP(B129,'OI(Value)'!$A$7:$C$226,3,0)</f>
        <v>67</v>
      </c>
      <c r="M129" s="33">
        <f t="shared" si="44"/>
        <v>2.6141240733515412</v>
      </c>
      <c r="N129" s="5">
        <f>VLOOKUP($B129,'Data Vlaue (Cr)'!$C:$FB,67)</f>
        <v>1265</v>
      </c>
      <c r="O129" s="5">
        <f>VLOOKUP($B129,'Data Vlaue (Cr)'!$C:$FB,68)</f>
        <v>1287</v>
      </c>
      <c r="P129" s="5">
        <f>(N129-O129)/N129*100</f>
        <v>-1.7391304347826086</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LUPIN</v>
      </c>
      <c r="C130" s="4">
        <f>VLOOKUP($B130,'Data shares'!$C:$FB,7)</f>
        <v>2295.1</v>
      </c>
      <c r="D130" s="82">
        <f>VLOOKUP($B130,'Data shares'!$C:$FB,98)</f>
        <v>10096725</v>
      </c>
      <c r="E130" s="165">
        <f>VLOOKUP(B130,'Snapshot (Volume)'!$A$7:$G$168,7,0)</f>
        <v>9845125</v>
      </c>
      <c r="F130" s="165">
        <f>D130-E130</f>
        <v>251600</v>
      </c>
      <c r="G130" s="166">
        <f>F130/E130</f>
        <v>2.555579538096266E-2</v>
      </c>
      <c r="H130" s="165">
        <f>VLOOKUP($B130,'Data shares'!$C:$FB,66)</f>
        <v>6162500</v>
      </c>
      <c r="I130" s="165">
        <f>VLOOKUP($B130,'Data shares'!$C:$FB,67)</f>
        <v>7893950</v>
      </c>
      <c r="J130" s="81">
        <f>(H130-I130)/I130*100</f>
        <v>-21.933886077312373</v>
      </c>
      <c r="K130" s="5">
        <f>VLOOKUP($B130,'Data Vlaue (Cr)'!$C:$FB,99)</f>
        <v>2329</v>
      </c>
      <c r="L130" s="81">
        <f>VLOOKUP(B130,'OI(Value)'!$A$7:$C$226,3,0)</f>
        <v>58</v>
      </c>
      <c r="M130" s="33">
        <f t="shared" si="44"/>
        <v>2.4903392013739802</v>
      </c>
      <c r="N130" s="5">
        <f>VLOOKUP($B130,'Data Vlaue (Cr)'!$C:$FB,67)</f>
        <v>1422</v>
      </c>
      <c r="O130" s="5">
        <f>VLOOKUP($B130,'Data Vlaue (Cr)'!$C:$FB,68)</f>
        <v>1821</v>
      </c>
      <c r="P130" s="5">
        <f>(N130-O130)/N130*100</f>
        <v>-28.059071729957807</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Automobile</v>
      </c>
      <c r="B131" s="79" t="str">
        <f>'Data shares'!C126</f>
        <v>M&amp;M</v>
      </c>
      <c r="C131" s="4">
        <f>VLOOKUP($B131,'Data shares'!$C:$FB,7)</f>
        <v>3166.8</v>
      </c>
      <c r="D131" s="82">
        <f>VLOOKUP($B131,'Data shares'!$C:$FB,98)</f>
        <v>27151400</v>
      </c>
      <c r="E131" s="165">
        <f>VLOOKUP(B131,'Snapshot (Volume)'!$A$7:$G$168,7,0)</f>
        <v>26828800</v>
      </c>
      <c r="F131" s="165">
        <f>D131-E131</f>
        <v>322600</v>
      </c>
      <c r="G131" s="166">
        <f>F131/E131</f>
        <v>1.2024391698473283E-2</v>
      </c>
      <c r="H131" s="165">
        <f>VLOOKUP($B131,'Data shares'!$C:$FB,66)</f>
        <v>9769400</v>
      </c>
      <c r="I131" s="165">
        <f>VLOOKUP($B131,'Data shares'!$C:$FB,67)</f>
        <v>18564800</v>
      </c>
      <c r="J131" s="81">
        <f>(H131-I131)/I131*100</f>
        <v>-47.376756011376372</v>
      </c>
      <c r="K131" s="5">
        <f>VLOOKUP($B131,'Data Vlaue (Cr)'!$C:$FB,99)</f>
        <v>8620</v>
      </c>
      <c r="L131" s="81">
        <f>VLOOKUP(B131,'OI(Value)'!$A$7:$C$226,3,0)</f>
        <v>102</v>
      </c>
      <c r="M131" s="33">
        <f t="shared" si="44"/>
        <v>1.1832946635730859</v>
      </c>
      <c r="N131" s="5">
        <f>VLOOKUP($B131,'Data Vlaue (Cr)'!$C:$FB,67)</f>
        <v>3101</v>
      </c>
      <c r="O131" s="5">
        <f>VLOOKUP($B131,'Data Vlaue (Cr)'!$C:$FB,68)</f>
        <v>5894</v>
      </c>
      <c r="P131" s="5">
        <f>(N131-O131)/N131*100</f>
        <v>-90.067720090293463</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Finance</v>
      </c>
      <c r="B132" s="79" t="str">
        <f>'Data shares'!C127</f>
        <v>MANAPPURAM</v>
      </c>
      <c r="C132" s="79">
        <f>VLOOKUP($B132,'Data shares'!$C:$FB,7)</f>
        <v>262.95</v>
      </c>
      <c r="D132" s="165">
        <f>VLOOKUP($B132,'Data shares'!$C:$FB,98)</f>
        <v>74220000</v>
      </c>
      <c r="E132" s="165">
        <f>VLOOKUP(B132,'Snapshot (Volume)'!$A$7:$G$168,7,0)</f>
        <v>72948000</v>
      </c>
      <c r="F132" s="165">
        <f t="shared" ref="F132:F139" si="45">D132-E132</f>
        <v>1272000</v>
      </c>
      <c r="G132" s="166">
        <f t="shared" ref="G132:G139" si="46">F132/E132</f>
        <v>1.74370784668531E-2</v>
      </c>
      <c r="H132" s="165">
        <f>VLOOKUP($B132,'Data shares'!$C:$FB,66)</f>
        <v>16026000</v>
      </c>
      <c r="I132" s="165">
        <f>VLOOKUP($B132,'Data shares'!$C:$FB,67)</f>
        <v>54174000</v>
      </c>
      <c r="J132" s="81">
        <f t="shared" ref="J132:J139" si="47">(H132-I132)/I132*100</f>
        <v>-70.417543471037774</v>
      </c>
      <c r="K132" s="81">
        <f>VLOOKUP($B132,'Data Vlaue (Cr)'!$C:$FB,99)</f>
        <v>1963</v>
      </c>
      <c r="L132" s="81">
        <f>VLOOKUP(B132,'OI(Value)'!$A$7:$C$226,3,0)</f>
        <v>34</v>
      </c>
      <c r="M132" s="81">
        <f t="shared" si="44"/>
        <v>1.7320427916454408</v>
      </c>
      <c r="N132" s="81">
        <f>VLOOKUP($B132,'Data Vlaue (Cr)'!$C:$FB,67)</f>
        <v>424</v>
      </c>
      <c r="O132" s="81">
        <f>VLOOKUP($B132,'Data Vlaue (Cr)'!$C:$FB,68)</f>
        <v>1433</v>
      </c>
      <c r="P132" s="81">
        <f t="shared" ref="P132:P139" si="48">(N132-O132)/N132*100</f>
        <v>-237.97169811320754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MANKIND</v>
      </c>
      <c r="C133" s="79">
        <f>VLOOKUP($B133,'Data shares'!$C:$FB,7)</f>
        <v>2054.1999999999998</v>
      </c>
      <c r="D133" s="165">
        <f>VLOOKUP($B133,'Data shares'!$C:$FB,98)</f>
        <v>3497400</v>
      </c>
      <c r="E133" s="165">
        <f>VLOOKUP(B133,'Snapshot (Volume)'!$A$7:$G$168,7,0)</f>
        <v>3469500</v>
      </c>
      <c r="F133" s="165">
        <f t="shared" si="45"/>
        <v>27900</v>
      </c>
      <c r="G133" s="166">
        <f t="shared" si="46"/>
        <v>8.0415045395590135E-3</v>
      </c>
      <c r="H133" s="165">
        <f>VLOOKUP($B133,'Data shares'!$C:$FB,66)</f>
        <v>942300</v>
      </c>
      <c r="I133" s="165">
        <f>VLOOKUP($B133,'Data shares'!$C:$FB,67)</f>
        <v>1843425</v>
      </c>
      <c r="J133" s="81">
        <f t="shared" si="47"/>
        <v>-48.883192969608203</v>
      </c>
      <c r="K133" s="81">
        <f>VLOOKUP($B133,'Data Vlaue (Cr)'!$C:$FB,99)</f>
        <v>721</v>
      </c>
      <c r="L133" s="81">
        <f>VLOOKUP(B133,'OI(Value)'!$A$7:$C$226,3,0)</f>
        <v>6</v>
      </c>
      <c r="M133" s="81">
        <f t="shared" si="44"/>
        <v>0.83217753120665738</v>
      </c>
      <c r="N133" s="81">
        <f>VLOOKUP($B133,'Data Vlaue (Cr)'!$C:$FB,67)</f>
        <v>194</v>
      </c>
      <c r="O133" s="81">
        <f>VLOOKUP($B133,'Data Vlaue (Cr)'!$C:$FB,68)</f>
        <v>380</v>
      </c>
      <c r="P133" s="81">
        <f t="shared" si="48"/>
        <v>-95.876288659793815</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FMCG</v>
      </c>
      <c r="B134" s="79" t="str">
        <f>'Data shares'!C129</f>
        <v>MARICO</v>
      </c>
      <c r="C134" s="4">
        <f>VLOOKUP($B134,'Data shares'!$C:$FB,7)</f>
        <v>747.35</v>
      </c>
      <c r="D134" s="82">
        <f>VLOOKUP($B134,'Data shares'!$C:$FB,98)</f>
        <v>34699200</v>
      </c>
      <c r="E134" s="165">
        <f>VLOOKUP(B134,'Snapshot (Volume)'!$A$7:$G$168,7,0)</f>
        <v>34131600</v>
      </c>
      <c r="F134" s="165">
        <f t="shared" si="45"/>
        <v>567600</v>
      </c>
      <c r="G134" s="166">
        <f t="shared" si="46"/>
        <v>1.6629750729529234E-2</v>
      </c>
      <c r="H134" s="165">
        <f>VLOOKUP($B134,'Data shares'!$C:$FB,66)</f>
        <v>6644400</v>
      </c>
      <c r="I134" s="165">
        <f>VLOOKUP($B134,'Data shares'!$C:$FB,67)</f>
        <v>21955200</v>
      </c>
      <c r="J134" s="81">
        <f t="shared" si="47"/>
        <v>-69.73655443812855</v>
      </c>
      <c r="K134" s="5">
        <f>VLOOKUP($B134,'Data Vlaue (Cr)'!$C:$FB,99)</f>
        <v>2606</v>
      </c>
      <c r="L134" s="81">
        <f>VLOOKUP(B134,'OI(Value)'!$A$7:$C$226,3,0)</f>
        <v>43</v>
      </c>
      <c r="M134" s="33">
        <f t="shared" si="44"/>
        <v>1.650038372985418</v>
      </c>
      <c r="N134" s="5">
        <f>VLOOKUP($B134,'Data Vlaue (Cr)'!$C:$FB,67)</f>
        <v>499</v>
      </c>
      <c r="O134" s="5">
        <f>VLOOKUP($B134,'Data Vlaue (Cr)'!$C:$FB,68)</f>
        <v>1649</v>
      </c>
      <c r="P134" s="5">
        <f t="shared" si="48"/>
        <v>-230.46092184368737</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Automobile</v>
      </c>
      <c r="B135" s="79" t="str">
        <f>'Data shares'!C130</f>
        <v>MARUTI</v>
      </c>
      <c r="C135" s="4">
        <f>VLOOKUP($B135,'Data shares'!$C:$FB,7)</f>
        <v>13589</v>
      </c>
      <c r="D135" s="82">
        <f>VLOOKUP($B135,'Data shares'!$C:$FB,98)</f>
        <v>5764900</v>
      </c>
      <c r="E135" s="165">
        <f>VLOOKUP(B135,'Snapshot (Volume)'!$A$7:$G$168,7,0)</f>
        <v>5594000</v>
      </c>
      <c r="F135" s="165">
        <f t="shared" si="45"/>
        <v>170900</v>
      </c>
      <c r="G135" s="166">
        <f t="shared" si="46"/>
        <v>3.0550589917769037E-2</v>
      </c>
      <c r="H135" s="165">
        <f>VLOOKUP($B135,'Data shares'!$C:$FB,66)</f>
        <v>5992900</v>
      </c>
      <c r="I135" s="165">
        <f>VLOOKUP($B135,'Data shares'!$C:$FB,67)</f>
        <v>7886150</v>
      </c>
      <c r="J135" s="81">
        <f t="shared" si="47"/>
        <v>-24.007278583339144</v>
      </c>
      <c r="K135" s="5">
        <f>VLOOKUP($B135,'Data Vlaue (Cr)'!$C:$FB,99)</f>
        <v>7845</v>
      </c>
      <c r="L135" s="81">
        <f>VLOOKUP(B135,'OI(Value)'!$A$7:$C$226,3,0)</f>
        <v>233</v>
      </c>
      <c r="M135" s="33">
        <f t="shared" si="44"/>
        <v>2.9700446144040793</v>
      </c>
      <c r="N135" s="5">
        <f>VLOOKUP($B135,'Data Vlaue (Cr)'!$C:$FB,67)</f>
        <v>8156</v>
      </c>
      <c r="O135" s="5">
        <f>VLOOKUP($B135,'Data Vlaue (Cr)'!$C:$FB,68)</f>
        <v>10732</v>
      </c>
      <c r="P135" s="5">
        <f t="shared" si="48"/>
        <v>-31.584109857773417</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Pharma</v>
      </c>
      <c r="B136" s="79" t="str">
        <f>'Data shares'!C131</f>
        <v>MAXHEALTH</v>
      </c>
      <c r="C136" s="4">
        <f>VLOOKUP($B136,'Data shares'!$C:$FB,7)</f>
        <v>954.95</v>
      </c>
      <c r="D136" s="82">
        <f>VLOOKUP($B136,'Data shares'!$C:$FB,98)</f>
        <v>18619650</v>
      </c>
      <c r="E136" s="165">
        <f>VLOOKUP(B136,'Snapshot (Volume)'!$A$7:$G$168,7,0)</f>
        <v>18600750</v>
      </c>
      <c r="F136" s="165">
        <f t="shared" si="45"/>
        <v>18900</v>
      </c>
      <c r="G136" s="166">
        <f t="shared" si="46"/>
        <v>1.0160880609652837E-3</v>
      </c>
      <c r="H136" s="165">
        <f>VLOOKUP($B136,'Data shares'!$C:$FB,66)</f>
        <v>10305225</v>
      </c>
      <c r="I136" s="165">
        <f>VLOOKUP($B136,'Data shares'!$C:$FB,67)</f>
        <v>8839950</v>
      </c>
      <c r="J136" s="81">
        <f t="shared" si="47"/>
        <v>16.575602803183276</v>
      </c>
      <c r="K136" s="5">
        <f>VLOOKUP($B136,'Data Vlaue (Cr)'!$C:$FB,99)</f>
        <v>1782</v>
      </c>
      <c r="L136" s="81">
        <f>VLOOKUP(B136,'OI(Value)'!$A$7:$C$226,3,0)</f>
        <v>2</v>
      </c>
      <c r="M136" s="33">
        <f t="shared" si="44"/>
        <v>0.11223344556677892</v>
      </c>
      <c r="N136" s="5">
        <f>VLOOKUP($B136,'Data Vlaue (Cr)'!$C:$FB,67)</f>
        <v>986</v>
      </c>
      <c r="O136" s="5">
        <f>VLOOKUP($B136,'Data Vlaue (Cr)'!$C:$FB,68)</f>
        <v>846</v>
      </c>
      <c r="P136" s="5">
        <f t="shared" si="48"/>
        <v>14.198782961460447</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Infrastructure</v>
      </c>
      <c r="B137" s="79" t="str">
        <f>'Data shares'!C132</f>
        <v>MAZDOCK</v>
      </c>
      <c r="C137" s="4">
        <f>VLOOKUP($B137,'Data shares'!$C:$FB,7)</f>
        <v>2435.5</v>
      </c>
      <c r="D137" s="82">
        <f>VLOOKUP($B137,'Data shares'!$C:$FB,98)</f>
        <v>9238800</v>
      </c>
      <c r="E137" s="165">
        <f>VLOOKUP(B137,'Snapshot (Volume)'!$A$7:$G$168,7,0)</f>
        <v>8763600</v>
      </c>
      <c r="F137" s="165">
        <f t="shared" si="45"/>
        <v>475200</v>
      </c>
      <c r="G137" s="166">
        <f t="shared" si="46"/>
        <v>5.4224291387101192E-2</v>
      </c>
      <c r="H137" s="165">
        <f>VLOOKUP($B137,'Data shares'!$C:$FB,66)</f>
        <v>13184000</v>
      </c>
      <c r="I137" s="165">
        <f>VLOOKUP($B137,'Data shares'!$C:$FB,67)</f>
        <v>5856000</v>
      </c>
      <c r="J137" s="81">
        <f t="shared" si="47"/>
        <v>125.13661202185793</v>
      </c>
      <c r="K137" s="5">
        <f>VLOOKUP($B137,'Data Vlaue (Cr)'!$C:$FB,99)</f>
        <v>2262</v>
      </c>
      <c r="L137" s="81">
        <f>VLOOKUP(B137,'OI(Value)'!$A$7:$C$226,3,0)</f>
        <v>116</v>
      </c>
      <c r="M137" s="33">
        <f t="shared" si="44"/>
        <v>5.1282051282051277</v>
      </c>
      <c r="N137" s="5">
        <f>VLOOKUP($B137,'Data Vlaue (Cr)'!$C:$FB,67)</f>
        <v>3228</v>
      </c>
      <c r="O137" s="5">
        <f>VLOOKUP($B137,'Data Vlaue (Cr)'!$C:$FB,68)</f>
        <v>1434</v>
      </c>
      <c r="P137" s="5">
        <f t="shared" si="48"/>
        <v>55.576208178438655</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MCX</v>
      </c>
      <c r="C138" s="4">
        <f>VLOOKUP($B138,'Data shares'!$C:$FB,7)</f>
        <v>2657.5</v>
      </c>
      <c r="D138" s="82">
        <f>VLOOKUP($B138,'Data shares'!$C:$FB,98)</f>
        <v>24019375</v>
      </c>
      <c r="E138" s="165">
        <f>VLOOKUP(B138,'Snapshot (Volume)'!$A$7:$G$168,7,0)</f>
        <v>22724375</v>
      </c>
      <c r="F138" s="165">
        <f t="shared" si="45"/>
        <v>1295000</v>
      </c>
      <c r="G138" s="166">
        <f t="shared" si="46"/>
        <v>5.698726587639924E-2</v>
      </c>
      <c r="H138" s="165">
        <f>VLOOKUP($B138,'Data shares'!$C:$FB,66)</f>
        <v>24997500</v>
      </c>
      <c r="I138" s="165">
        <f>VLOOKUP($B138,'Data shares'!$C:$FB,67)</f>
        <v>28677500</v>
      </c>
      <c r="J138" s="81">
        <f t="shared" si="47"/>
        <v>-12.832359864004882</v>
      </c>
      <c r="K138" s="5">
        <f>VLOOKUP($B138,'Data Vlaue (Cr)'!$C:$FB,99)</f>
        <v>6406</v>
      </c>
      <c r="L138" s="81">
        <f>VLOOKUP(B138,'OI(Value)'!$A$7:$C$226,3,0)</f>
        <v>345</v>
      </c>
      <c r="M138" s="33">
        <f t="shared" si="44"/>
        <v>5.3855760224789258</v>
      </c>
      <c r="N138" s="5">
        <f>VLOOKUP($B138,'Data Vlaue (Cr)'!$C:$FB,67)</f>
        <v>6667</v>
      </c>
      <c r="O138" s="5">
        <f>VLOOKUP($B138,'Data Vlaue (Cr)'!$C:$FB,68)</f>
        <v>7648</v>
      </c>
      <c r="P138" s="5">
        <f t="shared" si="48"/>
        <v>-14.71426428678566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MFSL</v>
      </c>
      <c r="C139" s="4">
        <f>VLOOKUP($B139,'Data shares'!$C:$FB,7)</f>
        <v>1607.4</v>
      </c>
      <c r="D139" s="82">
        <f>VLOOKUP($B139,'Data shares'!$C:$FB,98)</f>
        <v>11442800</v>
      </c>
      <c r="E139" s="165">
        <f>VLOOKUP(B139,'Snapshot (Volume)'!$A$7:$G$168,7,0)</f>
        <v>11658400</v>
      </c>
      <c r="F139" s="165">
        <f t="shared" si="45"/>
        <v>-215600</v>
      </c>
      <c r="G139" s="166">
        <f t="shared" si="46"/>
        <v>-1.8493103684896726E-2</v>
      </c>
      <c r="H139" s="165">
        <f>VLOOKUP($B139,'Data shares'!$C:$FB,66)</f>
        <v>1919200</v>
      </c>
      <c r="I139" s="165">
        <f>VLOOKUP($B139,'Data shares'!$C:$FB,67)</f>
        <v>4159200</v>
      </c>
      <c r="J139" s="81">
        <f t="shared" si="47"/>
        <v>-53.856510867474519</v>
      </c>
      <c r="K139" s="5">
        <f>VLOOKUP($B139,'Data Vlaue (Cr)'!$C:$FB,99)</f>
        <v>1843</v>
      </c>
      <c r="L139" s="81">
        <f>VLOOKUP(B139,'OI(Value)'!$A$7:$C$226,3,0)</f>
        <v>-35</v>
      </c>
      <c r="M139" s="33">
        <f t="shared" si="44"/>
        <v>-1.8990775908844275</v>
      </c>
      <c r="N139" s="5">
        <f>VLOOKUP($B139,'Data Vlaue (Cr)'!$C:$FB,67)</f>
        <v>309</v>
      </c>
      <c r="O139" s="5">
        <f>VLOOKUP($B139,'Data Vlaue (Cr)'!$C:$FB,68)</f>
        <v>670</v>
      </c>
      <c r="P139" s="5">
        <f t="shared" si="48"/>
        <v>-116.8284789644013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Index</v>
      </c>
      <c r="B140" s="79" t="str">
        <f>'Data shares'!C135</f>
        <v>MIDCPNIFTY</v>
      </c>
      <c r="C140" s="79">
        <f>VLOOKUP($B140,'Data shares'!$C:$FB,7)</f>
        <v>13207.3</v>
      </c>
      <c r="D140" s="165">
        <f>VLOOKUP($B140,'Data shares'!$C:$FB,98)</f>
        <v>10378560</v>
      </c>
      <c r="E140" s="165">
        <f>VLOOKUP(B140,'Snapshot (Volume)'!$A$7:$G$168,7,0)</f>
        <v>9498720</v>
      </c>
      <c r="F140" s="165">
        <f>D140-E140</f>
        <v>879840</v>
      </c>
      <c r="G140" s="166">
        <f>F140/E140</f>
        <v>9.2627217140835813E-2</v>
      </c>
      <c r="H140" s="165">
        <f>VLOOKUP($B140,'Data shares'!$C:$FB,66)</f>
        <v>22427880</v>
      </c>
      <c r="I140" s="165">
        <f>VLOOKUP($B140,'Data shares'!$C:$FB,67)</f>
        <v>21762960</v>
      </c>
      <c r="J140" s="81">
        <f>(H140-I140)/I140*100</f>
        <v>3.0552829210732364</v>
      </c>
      <c r="K140" s="81">
        <f>VLOOKUP($B140,'Data Vlaue (Cr)'!$C:$FB,99)</f>
        <v>13734</v>
      </c>
      <c r="L140" s="81">
        <f>VLOOKUP(B140,'OI(Value)'!$A$7:$C$226,3,0)</f>
        <v>1164</v>
      </c>
      <c r="M140" s="81">
        <f t="shared" si="44"/>
        <v>8.4753167321974665</v>
      </c>
      <c r="N140" s="81">
        <f>VLOOKUP($B140,'Data Vlaue (Cr)'!$C:$FB,67)</f>
        <v>29679</v>
      </c>
      <c r="O140" s="81">
        <f>VLOOKUP($B140,'Data Vlaue (Cr)'!$C:$FB,68)</f>
        <v>28800</v>
      </c>
      <c r="P140" s="81">
        <f>(N140-O140)/N140*100</f>
        <v>2.9616900838977056</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Automobile</v>
      </c>
      <c r="B141" s="79" t="str">
        <f>'Data shares'!C136</f>
        <v>MOTHERSON</v>
      </c>
      <c r="C141" s="4">
        <f>VLOOKUP($B141,'Data shares'!$C:$FB,7)</f>
        <v>116.9</v>
      </c>
      <c r="D141" s="82">
        <f>VLOOKUP($B141,'Data shares'!$C:$FB,98)</f>
        <v>199635150</v>
      </c>
      <c r="E141" s="165">
        <f>VLOOKUP(B141,'Snapshot (Volume)'!$A$7:$G$168,7,0)</f>
        <v>199303050</v>
      </c>
      <c r="F141" s="165">
        <f>D141-E141</f>
        <v>332100</v>
      </c>
      <c r="G141" s="166">
        <f>F141/E141</f>
        <v>1.6663066621408955E-3</v>
      </c>
      <c r="H141" s="165">
        <f>VLOOKUP($B141,'Data shares'!$C:$FB,66)</f>
        <v>56063400</v>
      </c>
      <c r="I141" s="165">
        <f>VLOOKUP($B141,'Data shares'!$C:$FB,67)</f>
        <v>176129850</v>
      </c>
      <c r="J141" s="81">
        <f>(H141-I141)/I141*100</f>
        <v>-68.169279653619185</v>
      </c>
      <c r="K141" s="5">
        <f>VLOOKUP($B141,'Data Vlaue (Cr)'!$C:$FB,99)</f>
        <v>2343</v>
      </c>
      <c r="L141" s="81">
        <f>VLOOKUP(B141,'OI(Value)'!$A$7:$C$226,3,0)</f>
        <v>4</v>
      </c>
      <c r="M141" s="33">
        <f t="shared" si="44"/>
        <v>0.17072129748186088</v>
      </c>
      <c r="N141" s="5">
        <f>VLOOKUP($B141,'Data Vlaue (Cr)'!$C:$FB,67)</f>
        <v>658</v>
      </c>
      <c r="O141" s="5">
        <f>VLOOKUP($B141,'Data Vlaue (Cr)'!$C:$FB,68)</f>
        <v>2067</v>
      </c>
      <c r="P141" s="5">
        <f>(N141-O141)/N141*100</f>
        <v>-214.13373860182369</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Others</v>
      </c>
      <c r="B142" s="79" t="str">
        <f>'Data shares'!C137</f>
        <v>MOTILALOFS</v>
      </c>
      <c r="C142" s="4">
        <f>VLOOKUP($B142,'Data shares'!$C:$FB,7)</f>
        <v>761.15</v>
      </c>
      <c r="D142" s="82">
        <f>VLOOKUP($B142,'Data shares'!$C:$FB,98)</f>
        <v>2862075</v>
      </c>
      <c r="E142" s="165">
        <f>VLOOKUP(B142,'Snapshot (Volume)'!$A$7:$G$168,7,0)</f>
        <v>2347475</v>
      </c>
      <c r="F142" s="165">
        <f>D142-E142</f>
        <v>514600</v>
      </c>
      <c r="G142" s="166">
        <f>F142/E142</f>
        <v>0.21921426213271708</v>
      </c>
      <c r="H142" s="165">
        <f>VLOOKUP($B142,'Data shares'!$C:$FB,66)</f>
        <v>5318050</v>
      </c>
      <c r="I142" s="165">
        <f>VLOOKUP($B142,'Data shares'!$C:$FB,67)</f>
        <v>3930025</v>
      </c>
      <c r="J142" s="81">
        <f>(H142-I142)/I142*100</f>
        <v>35.318477617826858</v>
      </c>
      <c r="K142" s="5">
        <f>VLOOKUP($B142,'Data Vlaue (Cr)'!$C:$FB,99)</f>
        <v>219</v>
      </c>
      <c r="L142" s="81">
        <f>VLOOKUP(B142,'OI(Value)'!$A$7:$C$226,3,0)</f>
        <v>39</v>
      </c>
      <c r="M142" s="33">
        <f t="shared" si="44"/>
        <v>17.80821917808219</v>
      </c>
      <c r="N142" s="5">
        <f>VLOOKUP($B142,'Data Vlaue (Cr)'!$C:$FB,67)</f>
        <v>407</v>
      </c>
      <c r="O142" s="5">
        <f>VLOOKUP($B142,'Data Vlaue (Cr)'!$C:$FB,68)</f>
        <v>301</v>
      </c>
      <c r="P142" s="5">
        <f>(N142-O142)/N142*100</f>
        <v>26.044226044226043</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Technology</v>
      </c>
      <c r="B143" s="79" t="str">
        <f>'Data shares'!C138</f>
        <v>MPHASIS</v>
      </c>
      <c r="C143" s="4">
        <f>VLOOKUP($B143,'Data shares'!$C:$FB,7)</f>
        <v>2385.3000000000002</v>
      </c>
      <c r="D143" s="82">
        <f>VLOOKUP($B143,'Data shares'!$C:$FB,98)</f>
        <v>6593675</v>
      </c>
      <c r="E143" s="165">
        <f>VLOOKUP(B143,'Snapshot (Volume)'!$A$7:$G$168,7,0)</f>
        <v>6383850</v>
      </c>
      <c r="F143" s="165">
        <f>D143-E143</f>
        <v>209825</v>
      </c>
      <c r="G143" s="166">
        <f>F143/E143</f>
        <v>3.2868096838114931E-2</v>
      </c>
      <c r="H143" s="165">
        <f>VLOOKUP($B143,'Data shares'!$C:$FB,66)</f>
        <v>4203375</v>
      </c>
      <c r="I143" s="165">
        <f>VLOOKUP($B143,'Data shares'!$C:$FB,67)</f>
        <v>4633475</v>
      </c>
      <c r="J143" s="81">
        <f>(H143-I143)/I143*100</f>
        <v>-9.2824499970324652</v>
      </c>
      <c r="K143" s="5">
        <f>VLOOKUP($B143,'Data Vlaue (Cr)'!$C:$FB,99)</f>
        <v>1580</v>
      </c>
      <c r="L143" s="81">
        <f>VLOOKUP(B143,'OI(Value)'!$A$7:$C$226,3,0)</f>
        <v>50</v>
      </c>
      <c r="M143" s="33">
        <f t="shared" si="44"/>
        <v>3.1645569620253164</v>
      </c>
      <c r="N143" s="5">
        <f>VLOOKUP($B143,'Data Vlaue (Cr)'!$C:$FB,67)</f>
        <v>1007</v>
      </c>
      <c r="O143" s="5">
        <f>VLOOKUP($B143,'Data Vlaue (Cr)'!$C:$FB,68)</f>
        <v>1110</v>
      </c>
      <c r="P143" s="5">
        <f>(N143-O143)/N143*100</f>
        <v>-10.228401191658392</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MUTHOOTFIN</v>
      </c>
      <c r="C144" s="4">
        <f>VLOOKUP($B144,'Data shares'!$C:$FB,7)</f>
        <v>3475.2</v>
      </c>
      <c r="D144" s="82">
        <f>VLOOKUP($B144,'Data shares'!$C:$FB,98)</f>
        <v>6659675</v>
      </c>
      <c r="E144" s="165">
        <f>VLOOKUP(B144,'Snapshot (Volume)'!$A$7:$G$168,7,0)</f>
        <v>6691025</v>
      </c>
      <c r="F144" s="165">
        <f>D144-E144</f>
        <v>-31350</v>
      </c>
      <c r="G144" s="166">
        <f>F144/E144</f>
        <v>-4.6853807899387614E-3</v>
      </c>
      <c r="H144" s="165">
        <f>VLOOKUP($B144,'Data shares'!$C:$FB,66)</f>
        <v>3826625</v>
      </c>
      <c r="I144" s="165">
        <f>VLOOKUP($B144,'Data shares'!$C:$FB,67)</f>
        <v>9161350</v>
      </c>
      <c r="J144" s="81">
        <f>(H144-I144)/I144*100</f>
        <v>-58.230773848832321</v>
      </c>
      <c r="K144" s="5">
        <f>VLOOKUP($B144,'Data Vlaue (Cr)'!$C:$FB,99)</f>
        <v>2303</v>
      </c>
      <c r="L144" s="81">
        <f>VLOOKUP(B144,'OI(Value)'!$A$7:$C$226,3,0)</f>
        <v>-11</v>
      </c>
      <c r="M144" s="33">
        <f t="shared" si="44"/>
        <v>-0.47763786365610073</v>
      </c>
      <c r="N144" s="5">
        <f>VLOOKUP($B144,'Data Vlaue (Cr)'!$C:$FB,67)</f>
        <v>1323</v>
      </c>
      <c r="O144" s="5">
        <f>VLOOKUP($B144,'Data Vlaue (Cr)'!$C:$FB,68)</f>
        <v>3168</v>
      </c>
      <c r="P144" s="5">
        <f>(N144-O144)/N144*100</f>
        <v>-139.45578231292518</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Others</v>
      </c>
      <c r="B145" s="79" t="str">
        <f>'Data shares'!C140</f>
        <v>NAM-INDIA</v>
      </c>
      <c r="C145" s="4">
        <f>VLOOKUP($B145,'Data shares'!$C:$FB,7)</f>
        <v>908.65</v>
      </c>
      <c r="D145" s="82">
        <f>VLOOKUP($B145,'Data shares'!$C:$FB,98)</f>
        <v>2213125</v>
      </c>
      <c r="E145" s="165">
        <f>VLOOKUP(B145,'Snapshot (Volume)'!$A$7:$G$168,7,0)</f>
        <v>1910000</v>
      </c>
      <c r="F145" s="165">
        <f t="shared" ref="F145:F152" si="49">D145-E145</f>
        <v>303125</v>
      </c>
      <c r="G145" s="166">
        <f t="shared" ref="G145:G153" si="50">F145/E145</f>
        <v>0.15870418848167539</v>
      </c>
      <c r="H145" s="165">
        <f>VLOOKUP($B145,'Data shares'!$C:$FB,66)</f>
        <v>3278750</v>
      </c>
      <c r="I145" s="165">
        <f>VLOOKUP($B145,'Data shares'!$C:$FB,67)</f>
        <v>5198750</v>
      </c>
      <c r="J145" s="81">
        <f t="shared" ref="J145:J153" si="51">(H145-I145)/I145*100</f>
        <v>-36.931954796826162</v>
      </c>
      <c r="K145" s="5">
        <f>VLOOKUP($B145,'Data Vlaue (Cr)'!$C:$FB,99)</f>
        <v>201</v>
      </c>
      <c r="L145" s="81">
        <f>VLOOKUP(B145,'OI(Value)'!$A$7:$C$226,3,0)</f>
        <v>27</v>
      </c>
      <c r="M145" s="33">
        <f t="shared" ref="M145:M153" si="52">L145/K145*100</f>
        <v>13.432835820895523</v>
      </c>
      <c r="N145" s="5">
        <f>VLOOKUP($B145,'Data Vlaue (Cr)'!$C:$FB,67)</f>
        <v>297</v>
      </c>
      <c r="O145" s="5">
        <f>VLOOKUP($B145,'Data Vlaue (Cr)'!$C:$FB,68)</f>
        <v>472</v>
      </c>
      <c r="P145" s="5">
        <f t="shared" ref="P145:P152" si="53">(N145-O145)/N145*100</f>
        <v>-58.92255892255892</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NATIONALUM</v>
      </c>
      <c r="C146" s="4">
        <f>VLOOKUP($B146,'Data shares'!$C:$FB,7)</f>
        <v>412.35</v>
      </c>
      <c r="D146" s="82">
        <f>VLOOKUP($B146,'Data shares'!$C:$FB,98)</f>
        <v>115230000</v>
      </c>
      <c r="E146" s="165">
        <f>VLOOKUP(B146,'Snapshot (Volume)'!$A$7:$G$168,7,0)</f>
        <v>107846250</v>
      </c>
      <c r="F146" s="165">
        <f t="shared" si="49"/>
        <v>7383750</v>
      </c>
      <c r="G146" s="166">
        <f t="shared" si="50"/>
        <v>6.8465523836016548E-2</v>
      </c>
      <c r="H146" s="165">
        <f>VLOOKUP($B146,'Data shares'!$C:$FB,66)</f>
        <v>135622500</v>
      </c>
      <c r="I146" s="165">
        <f>VLOOKUP($B146,'Data shares'!$C:$FB,67)</f>
        <v>99982500</v>
      </c>
      <c r="J146" s="81">
        <f t="shared" si="51"/>
        <v>35.646238091666042</v>
      </c>
      <c r="K146" s="5">
        <f>VLOOKUP($B146,'Data Vlaue (Cr)'!$C:$FB,99)</f>
        <v>4777</v>
      </c>
      <c r="L146" s="81">
        <f>VLOOKUP(B146,'OI(Value)'!$A$7:$C$226,3,0)</f>
        <v>306</v>
      </c>
      <c r="M146" s="33">
        <f t="shared" si="52"/>
        <v>6.4056939501779357</v>
      </c>
      <c r="N146" s="5">
        <f>VLOOKUP($B146,'Data Vlaue (Cr)'!$C:$FB,67)</f>
        <v>5622</v>
      </c>
      <c r="O146" s="5">
        <f>VLOOKUP($B146,'Data Vlaue (Cr)'!$C:$FB,68)</f>
        <v>4145</v>
      </c>
      <c r="P146" s="5">
        <f t="shared" si="53"/>
        <v>26.271789398790467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New_Age</v>
      </c>
      <c r="B147" s="79" t="str">
        <f>'Data shares'!C142</f>
        <v>NAUKRI</v>
      </c>
      <c r="C147" s="4">
        <f>VLOOKUP($B147,'Data shares'!$C:$FB,7)</f>
        <v>1002.4</v>
      </c>
      <c r="D147" s="82">
        <f>VLOOKUP($B147,'Data shares'!$C:$FB,98)</f>
        <v>13364250</v>
      </c>
      <c r="E147" s="165">
        <f>VLOOKUP(B147,'Snapshot (Volume)'!$A$7:$G$168,7,0)</f>
        <v>12384750</v>
      </c>
      <c r="F147" s="165">
        <f t="shared" si="49"/>
        <v>979500</v>
      </c>
      <c r="G147" s="166">
        <f t="shared" si="50"/>
        <v>7.9089202446557261E-2</v>
      </c>
      <c r="H147" s="165">
        <f>VLOOKUP($B147,'Data shares'!$C:$FB,66)</f>
        <v>12907875</v>
      </c>
      <c r="I147" s="165">
        <f>VLOOKUP($B147,'Data shares'!$C:$FB,67)</f>
        <v>3685875</v>
      </c>
      <c r="J147" s="81">
        <f t="shared" si="51"/>
        <v>250.19839251195441</v>
      </c>
      <c r="K147" s="5">
        <f>VLOOKUP($B147,'Data Vlaue (Cr)'!$C:$FB,99)</f>
        <v>1341</v>
      </c>
      <c r="L147" s="81">
        <f>VLOOKUP(B147,'OI(Value)'!$A$7:$C$226,3,0)</f>
        <v>98</v>
      </c>
      <c r="M147" s="33">
        <f t="shared" si="52"/>
        <v>7.3079791200596569</v>
      </c>
      <c r="N147" s="5">
        <f>VLOOKUP($B147,'Data Vlaue (Cr)'!$C:$FB,67)</f>
        <v>1295</v>
      </c>
      <c r="O147" s="5">
        <f>VLOOKUP($B147,'Data Vlaue (Cr)'!$C:$FB,68)</f>
        <v>370</v>
      </c>
      <c r="P147" s="5">
        <f t="shared" si="53"/>
        <v>71.428571428571431</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Realty</v>
      </c>
      <c r="B148" s="79" t="str">
        <f>'Data shares'!C143</f>
        <v>NBCC</v>
      </c>
      <c r="C148" s="4">
        <f>VLOOKUP($B148,'Data shares'!$C:$FB,7)</f>
        <v>87.83</v>
      </c>
      <c r="D148" s="82">
        <f>VLOOKUP($B148,'Data shares'!$C:$FB,98)</f>
        <v>106353000</v>
      </c>
      <c r="E148" s="165">
        <f>VLOOKUP(B148,'Snapshot (Volume)'!$A$7:$G$168,7,0)</f>
        <v>104643500</v>
      </c>
      <c r="F148" s="165">
        <f t="shared" si="49"/>
        <v>1709500</v>
      </c>
      <c r="G148" s="166">
        <f t="shared" si="50"/>
        <v>1.6336418411081435E-2</v>
      </c>
      <c r="H148" s="165">
        <f>VLOOKUP($B148,'Data shares'!$C:$FB,66)</f>
        <v>26136500</v>
      </c>
      <c r="I148" s="165">
        <f>VLOOKUP($B148,'Data shares'!$C:$FB,67)</f>
        <v>44746000</v>
      </c>
      <c r="J148" s="81">
        <f t="shared" si="51"/>
        <v>-41.589192330040675</v>
      </c>
      <c r="K148" s="5">
        <f>VLOOKUP($B148,'Data Vlaue (Cr)'!$C:$FB,99)</f>
        <v>939</v>
      </c>
      <c r="L148" s="81">
        <f>VLOOKUP(B148,'OI(Value)'!$A$7:$C$226,3,0)</f>
        <v>15</v>
      </c>
      <c r="M148" s="33">
        <f t="shared" si="52"/>
        <v>1.5974440894568689</v>
      </c>
      <c r="N148" s="5">
        <f>VLOOKUP($B148,'Data Vlaue (Cr)'!$C:$FB,67)</f>
        <v>231</v>
      </c>
      <c r="O148" s="5">
        <f>VLOOKUP($B148,'Data Vlaue (Cr)'!$C:$FB,68)</f>
        <v>395</v>
      </c>
      <c r="P148" s="5">
        <f t="shared" si="53"/>
        <v>-70.995670995671006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FMCG</v>
      </c>
      <c r="B149" s="79" t="str">
        <f>'Data shares'!C144</f>
        <v>NESTLEIND</v>
      </c>
      <c r="C149" s="4">
        <f>VLOOKUP($B149,'Data shares'!$C:$FB,7)</f>
        <v>1228.7</v>
      </c>
      <c r="D149" s="82">
        <f>VLOOKUP($B149,'Data shares'!$C:$FB,98)</f>
        <v>22165000</v>
      </c>
      <c r="E149" s="165">
        <f>VLOOKUP(B149,'Snapshot (Volume)'!$A$7:$G$168,7,0)</f>
        <v>22412500</v>
      </c>
      <c r="F149" s="165">
        <f t="shared" si="49"/>
        <v>-247500</v>
      </c>
      <c r="G149" s="166">
        <f t="shared" si="50"/>
        <v>-1.1042944785276074E-2</v>
      </c>
      <c r="H149" s="165">
        <f>VLOOKUP($B149,'Data shares'!$C:$FB,66)</f>
        <v>4834000</v>
      </c>
      <c r="I149" s="165">
        <f>VLOOKUP($B149,'Data shares'!$C:$FB,67)</f>
        <v>7835000</v>
      </c>
      <c r="J149" s="81">
        <f t="shared" si="51"/>
        <v>-38.30248883216337</v>
      </c>
      <c r="K149" s="5">
        <f>VLOOKUP($B149,'Data Vlaue (Cr)'!$C:$FB,99)</f>
        <v>2729</v>
      </c>
      <c r="L149" s="81">
        <f>VLOOKUP(B149,'OI(Value)'!$A$7:$C$226,3,0)</f>
        <v>-30</v>
      </c>
      <c r="M149" s="33">
        <f t="shared" si="52"/>
        <v>-1.0993037742762917</v>
      </c>
      <c r="N149" s="5">
        <f>VLOOKUP($B149,'Data Vlaue (Cr)'!$C:$FB,67)</f>
        <v>595</v>
      </c>
      <c r="O149" s="5">
        <f>VLOOKUP($B149,'Data Vlaue (Cr)'!$C:$FB,68)</f>
        <v>965</v>
      </c>
      <c r="P149" s="5">
        <f t="shared" si="53"/>
        <v>-62.184873949579831</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Power</v>
      </c>
      <c r="B150" s="79" t="str">
        <f>'Data shares'!C145</f>
        <v>NHPC</v>
      </c>
      <c r="C150" s="4">
        <f>VLOOKUP($B150,'Data shares'!$C:$FB,7)</f>
        <v>77.11</v>
      </c>
      <c r="D150" s="82">
        <f>VLOOKUP($B150,'Data shares'!$C:$FB,98)</f>
        <v>139008000</v>
      </c>
      <c r="E150" s="165">
        <f>VLOOKUP(B150,'Snapshot (Volume)'!$A$7:$G$168,7,0)</f>
        <v>118246400</v>
      </c>
      <c r="F150" s="165">
        <f t="shared" si="49"/>
        <v>20761600</v>
      </c>
      <c r="G150" s="166">
        <f t="shared" si="50"/>
        <v>0.1755791296817493</v>
      </c>
      <c r="H150" s="165">
        <f>VLOOKUP($B150,'Data shares'!$C:$FB,66)</f>
        <v>106118400</v>
      </c>
      <c r="I150" s="165">
        <f>VLOOKUP($B150,'Data shares'!$C:$FB,67)</f>
        <v>52032000</v>
      </c>
      <c r="J150" s="81">
        <f t="shared" si="51"/>
        <v>103.94833948339483</v>
      </c>
      <c r="K150" s="5">
        <f>VLOOKUP($B150,'Data Vlaue (Cr)'!$C:$FB,99)</f>
        <v>1074</v>
      </c>
      <c r="L150" s="81">
        <f>VLOOKUP(B150,'OI(Value)'!$A$7:$C$226,3,0)</f>
        <v>160</v>
      </c>
      <c r="M150" s="33">
        <f t="shared" si="52"/>
        <v>14.8975791433892</v>
      </c>
      <c r="N150" s="5">
        <f>VLOOKUP($B150,'Data Vlaue (Cr)'!$C:$FB,67)</f>
        <v>820</v>
      </c>
      <c r="O150" s="5">
        <f>VLOOKUP($B150,'Data Vlaue (Cr)'!$C:$FB,68)</f>
        <v>402</v>
      </c>
      <c r="P150" s="5">
        <f t="shared" si="53"/>
        <v>50.975609756097562</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Index</v>
      </c>
      <c r="B151" s="79" t="str">
        <f>'Data shares'!C146</f>
        <v>NIFTY</v>
      </c>
      <c r="C151" s="4">
        <f>VLOOKUP($B151,'Data shares'!$C:$FB,7)</f>
        <v>23775.1</v>
      </c>
      <c r="D151" s="82">
        <f>VLOOKUP($B151,'Data shares'!$C:$FB,98)</f>
        <v>444262440</v>
      </c>
      <c r="E151" s="165">
        <f>VLOOKUP(B151,'Snapshot (Volume)'!$A$7:$G$168,7,0)</f>
        <v>385914435</v>
      </c>
      <c r="F151" s="165">
        <f t="shared" si="49"/>
        <v>58348005</v>
      </c>
      <c r="G151" s="166">
        <f t="shared" si="50"/>
        <v>0.15119415007111614</v>
      </c>
      <c r="H151" s="165">
        <f>VLOOKUP($B151,'Data shares'!$C:$FB,66)</f>
        <v>3160507610</v>
      </c>
      <c r="I151" s="165">
        <f>VLOOKUP($B151,'Data shares'!$C:$FB,67)</f>
        <v>3109985190</v>
      </c>
      <c r="J151" s="81">
        <f t="shared" si="51"/>
        <v>1.6245228486120218</v>
      </c>
      <c r="K151" s="5">
        <f>VLOOKUP($B151,'Data Vlaue (Cr)'!$C:$FB,99)</f>
        <v>1060068</v>
      </c>
      <c r="L151" s="81">
        <f>VLOOKUP(B151,'OI(Value)'!$A$7:$C$226,3,0)</f>
        <v>139226</v>
      </c>
      <c r="M151" s="33">
        <f t="shared" si="52"/>
        <v>13.133685763554793</v>
      </c>
      <c r="N151" s="5">
        <f>VLOOKUP($B151,'Data Vlaue (Cr)'!$C:$FB,67)</f>
        <v>7541382</v>
      </c>
      <c r="O151" s="5">
        <f>VLOOKUP($B151,'Data Vlaue (Cr)'!$C:$FB,68)</f>
        <v>7420829</v>
      </c>
      <c r="P151" s="5">
        <f t="shared" si="53"/>
        <v>1.5985531564373747</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Index</v>
      </c>
      <c r="B152" s="79" t="str">
        <f>'Data shares'!C147</f>
        <v>NIFTYNXT50</v>
      </c>
      <c r="C152" s="4">
        <f>VLOOKUP($B152,'Data shares'!$C:$FB,7)</f>
        <v>66268.649999999994</v>
      </c>
      <c r="D152" s="82">
        <f>VLOOKUP($B152,'Data shares'!$C:$FB,98)</f>
        <v>23750</v>
      </c>
      <c r="E152" s="165">
        <f>VLOOKUP(B152,'Snapshot (Volume)'!$A$7:$G$168,7,0)</f>
        <v>23075</v>
      </c>
      <c r="F152" s="165">
        <f t="shared" si="49"/>
        <v>675</v>
      </c>
      <c r="G152" s="166">
        <f t="shared" si="50"/>
        <v>2.9252437703141929E-2</v>
      </c>
      <c r="H152" s="165">
        <f>VLOOKUP($B152,'Data shares'!$C:$FB,66)</f>
        <v>12425</v>
      </c>
      <c r="I152" s="165">
        <f>VLOOKUP($B152,'Data shares'!$C:$FB,67)</f>
        <v>12025</v>
      </c>
      <c r="J152" s="81">
        <f t="shared" si="51"/>
        <v>3.3264033264033266</v>
      </c>
      <c r="K152" s="5">
        <f>VLOOKUP($B152,'Data Vlaue (Cr)'!$C:$FB,99)</f>
        <v>158</v>
      </c>
      <c r="L152" s="81">
        <f>VLOOKUP(B152,'OI(Value)'!$A$7:$C$226,3,0)</f>
        <v>4</v>
      </c>
      <c r="M152" s="33">
        <f t="shared" si="52"/>
        <v>2.5316455696202533</v>
      </c>
      <c r="N152" s="5">
        <f>VLOOKUP($B152,'Data Vlaue (Cr)'!$C:$FB,67)</f>
        <v>82</v>
      </c>
      <c r="O152" s="5">
        <f>VLOOKUP($B152,'Data Vlaue (Cr)'!$C:$FB,68)</f>
        <v>80</v>
      </c>
      <c r="P152" s="5">
        <f t="shared" si="53"/>
        <v>2.4390243902439024</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Metals</v>
      </c>
      <c r="B153" s="79" t="str">
        <f>'Data shares'!C148</f>
        <v>NMDC</v>
      </c>
      <c r="C153" s="4">
        <f>VLOOKUP($B153,'Data shares'!$C:$FB,7)</f>
        <v>84.44</v>
      </c>
      <c r="D153" s="82">
        <f>VLOOKUP($B153,'Data shares'!$C:$FB,98)</f>
        <v>439803000</v>
      </c>
      <c r="E153" s="165">
        <f>VLOOKUP(B153,'Snapshot (Volume)'!$A$7:$G$168,7,0)</f>
        <v>428517000</v>
      </c>
      <c r="F153" s="165">
        <f>D153-E153</f>
        <v>11286000</v>
      </c>
      <c r="G153" s="166">
        <f t="shared" si="50"/>
        <v>2.6337344842795034E-2</v>
      </c>
      <c r="H153" s="165">
        <f>VLOOKUP($B153,'Data shares'!$C:$FB,66)</f>
        <v>168284250</v>
      </c>
      <c r="I153" s="165">
        <f>VLOOKUP($B153,'Data shares'!$C:$FB,67)</f>
        <v>123855750</v>
      </c>
      <c r="J153" s="81">
        <f t="shared" si="51"/>
        <v>35.871164641124857</v>
      </c>
      <c r="K153" s="5">
        <f>VLOOKUP($B153,'Data Vlaue (Cr)'!$C:$FB,99)</f>
        <v>3737</v>
      </c>
      <c r="L153" s="81">
        <f>VLOOKUP(B153,'OI(Value)'!$A$7:$C$226,3,0)</f>
        <v>96</v>
      </c>
      <c r="M153" s="33">
        <f t="shared" si="52"/>
        <v>2.5689055392025688</v>
      </c>
      <c r="N153" s="5">
        <f>VLOOKUP($B153,'Data Vlaue (Cr)'!$C:$FB,67)</f>
        <v>1430</v>
      </c>
      <c r="O153" s="5">
        <f>VLOOKUP($B153,'Data Vlaue (Cr)'!$C:$FB,68)</f>
        <v>1052</v>
      </c>
      <c r="P153" s="5">
        <f>(N153-O153)/N153*100</f>
        <v>26.433566433566437</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NTPC</v>
      </c>
      <c r="C154" s="4">
        <f>VLOOKUP($B154,'Data shares'!$C:$FB,7)</f>
        <v>378.65</v>
      </c>
      <c r="D154" s="82">
        <f>VLOOKUP($B154,'Data shares'!$C:$FB,98)</f>
        <v>141190500</v>
      </c>
      <c r="E154" s="165">
        <f>VLOOKUP(B154,'Snapshot (Volume)'!$A$7:$G$168,7,0)</f>
        <v>132231000</v>
      </c>
      <c r="F154" s="165">
        <f t="shared" ref="F154:F166" si="54">D154-E154</f>
        <v>8959500</v>
      </c>
      <c r="G154" s="166">
        <f t="shared" ref="G154:G166" si="55">F154/E154</f>
        <v>6.7756426254055396E-2</v>
      </c>
      <c r="H154" s="165">
        <f>VLOOKUP($B154,'Data shares'!$C:$FB,66)</f>
        <v>147732000</v>
      </c>
      <c r="I154" s="165">
        <f>VLOOKUP($B154,'Data shares'!$C:$FB,67)</f>
        <v>82828500</v>
      </c>
      <c r="J154" s="81">
        <f t="shared" ref="J154:J166" si="56">(H154-I154)/I154*100</f>
        <v>78.358898205327876</v>
      </c>
      <c r="K154" s="5">
        <f>VLOOKUP($B154,'Data Vlaue (Cr)'!$C:$FB,99)</f>
        <v>5366</v>
      </c>
      <c r="L154" s="81">
        <f>VLOOKUP(B154,'OI(Value)'!$A$7:$C$226,3,0)</f>
        <v>341</v>
      </c>
      <c r="M154" s="33">
        <f t="shared" ref="M154:M166" si="57">L154/K154*100</f>
        <v>6.3548266865449126</v>
      </c>
      <c r="N154" s="5">
        <f>VLOOKUP($B154,'Data Vlaue (Cr)'!$C:$FB,67)</f>
        <v>5615</v>
      </c>
      <c r="O154" s="5">
        <f>VLOOKUP($B154,'Data Vlaue (Cr)'!$C:$FB,68)</f>
        <v>3148</v>
      </c>
      <c r="P154" s="5">
        <f t="shared" ref="P154:P161" si="58">(N154-O154)/N154*100</f>
        <v>43.935886019590384</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Finance</v>
      </c>
      <c r="B155" s="79" t="str">
        <f>'Data shares'!C150</f>
        <v>NUVAMA</v>
      </c>
      <c r="C155" s="4">
        <f>VLOOKUP($B155,'Data shares'!$C:$FB,7)</f>
        <v>1294.8</v>
      </c>
      <c r="D155" s="82">
        <f>VLOOKUP($B155,'Data shares'!$C:$FB,98)</f>
        <v>3305000</v>
      </c>
      <c r="E155" s="165">
        <f>VLOOKUP(B155,'Snapshot (Volume)'!$A$7:$G$168,7,0)</f>
        <v>3129500</v>
      </c>
      <c r="F155" s="165">
        <f t="shared" si="54"/>
        <v>175500</v>
      </c>
      <c r="G155" s="166">
        <f t="shared" si="55"/>
        <v>5.6079245885924271E-2</v>
      </c>
      <c r="H155" s="165">
        <f>VLOOKUP($B155,'Data shares'!$C:$FB,66)</f>
        <v>1999500</v>
      </c>
      <c r="I155" s="165">
        <f>VLOOKUP($B155,'Data shares'!$C:$FB,67)</f>
        <v>3166500</v>
      </c>
      <c r="J155" s="81">
        <f t="shared" si="56"/>
        <v>-36.854571293225959</v>
      </c>
      <c r="K155" s="5">
        <f>VLOOKUP($B155,'Data Vlaue (Cr)'!$C:$FB,99)</f>
        <v>430</v>
      </c>
      <c r="L155" s="81">
        <f>VLOOKUP(B155,'OI(Value)'!$A$7:$C$226,3,0)</f>
        <v>23</v>
      </c>
      <c r="M155" s="33">
        <f t="shared" si="57"/>
        <v>5.3488372093023253</v>
      </c>
      <c r="N155" s="5">
        <f>VLOOKUP($B155,'Data Vlaue (Cr)'!$C:$FB,67)</f>
        <v>260</v>
      </c>
      <c r="O155" s="5">
        <f>VLOOKUP($B155,'Data Vlaue (Cr)'!$C:$FB,68)</f>
        <v>412</v>
      </c>
      <c r="P155" s="5">
        <f t="shared" si="58"/>
        <v>-58.461538461538467</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NYKAA</v>
      </c>
      <c r="C156" s="4">
        <f>VLOOKUP($B156,'Data shares'!$C:$FB,7)</f>
        <v>254.93</v>
      </c>
      <c r="D156" s="82">
        <f>VLOOKUP($B156,'Data shares'!$C:$FB,98)</f>
        <v>57984375</v>
      </c>
      <c r="E156" s="165">
        <f>VLOOKUP(B156,'Snapshot (Volume)'!$A$7:$G$168,7,0)</f>
        <v>58015625</v>
      </c>
      <c r="F156" s="165">
        <f t="shared" si="54"/>
        <v>-31250</v>
      </c>
      <c r="G156" s="166">
        <f t="shared" si="55"/>
        <v>-5.3864799353622406E-4</v>
      </c>
      <c r="H156" s="165">
        <f>VLOOKUP($B156,'Data shares'!$C:$FB,66)</f>
        <v>19553125</v>
      </c>
      <c r="I156" s="165">
        <f>VLOOKUP($B156,'Data shares'!$C:$FB,67)</f>
        <v>25034375</v>
      </c>
      <c r="J156" s="81">
        <f t="shared" si="56"/>
        <v>-21.894894520034953</v>
      </c>
      <c r="K156" s="5">
        <f>VLOOKUP($B156,'Data Vlaue (Cr)'!$C:$FB,99)</f>
        <v>1483</v>
      </c>
      <c r="L156" s="81">
        <f>VLOOKUP(B156,'OI(Value)'!$A$7:$C$226,3,0)</f>
        <v>-1</v>
      </c>
      <c r="M156" s="33">
        <f t="shared" si="57"/>
        <v>-6.7430883344571813E-2</v>
      </c>
      <c r="N156" s="5">
        <f>VLOOKUP($B156,'Data Vlaue (Cr)'!$C:$FB,67)</f>
        <v>500</v>
      </c>
      <c r="O156" s="5">
        <f>VLOOKUP($B156,'Data Vlaue (Cr)'!$C:$FB,68)</f>
        <v>640</v>
      </c>
      <c r="P156" s="5">
        <f t="shared" si="58"/>
        <v>-28.000000000000004</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Realty</v>
      </c>
      <c r="B157" s="79" t="str">
        <f>'Data shares'!C152</f>
        <v>OBEROIRLTY</v>
      </c>
      <c r="C157" s="4">
        <f>VLOOKUP($B157,'Data shares'!$C:$FB,7)</f>
        <v>1653.5</v>
      </c>
      <c r="D157" s="82">
        <f>VLOOKUP($B157,'Data shares'!$C:$FB,98)</f>
        <v>10997350</v>
      </c>
      <c r="E157" s="165">
        <f>VLOOKUP(B157,'Snapshot (Volume)'!$A$7:$G$168,7,0)</f>
        <v>10127250</v>
      </c>
      <c r="F157" s="165">
        <f t="shared" si="54"/>
        <v>870100</v>
      </c>
      <c r="G157" s="166">
        <f t="shared" si="55"/>
        <v>8.591670986694315E-2</v>
      </c>
      <c r="H157" s="165">
        <f>VLOOKUP($B157,'Data shares'!$C:$FB,66)</f>
        <v>3052000</v>
      </c>
      <c r="I157" s="165">
        <f>VLOOKUP($B157,'Data shares'!$C:$FB,67)</f>
        <v>2888200</v>
      </c>
      <c r="J157" s="81">
        <f t="shared" si="56"/>
        <v>5.671352399418323</v>
      </c>
      <c r="K157" s="5">
        <f>VLOOKUP($B157,'Data Vlaue (Cr)'!$C:$FB,99)</f>
        <v>1782</v>
      </c>
      <c r="L157" s="81">
        <f>VLOOKUP(B157,'OI(Value)'!$A$7:$C$226,3,0)</f>
        <v>141</v>
      </c>
      <c r="M157" s="33">
        <f t="shared" si="57"/>
        <v>7.9124579124579126</v>
      </c>
      <c r="N157" s="5">
        <f>VLOOKUP($B157,'Data Vlaue (Cr)'!$C:$FB,67)</f>
        <v>495</v>
      </c>
      <c r="O157" s="5">
        <f>VLOOKUP($B157,'Data Vlaue (Cr)'!$C:$FB,68)</f>
        <v>468</v>
      </c>
      <c r="P157" s="5">
        <f t="shared" si="58"/>
        <v>5.4545454545454541</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Technology</v>
      </c>
      <c r="B158" s="79" t="str">
        <f>'Data shares'!C153</f>
        <v>OFSS</v>
      </c>
      <c r="C158" s="4">
        <f>VLOOKUP($B158,'Data shares'!$C:$FB,7)</f>
        <v>7217.5</v>
      </c>
      <c r="D158" s="82">
        <f>VLOOKUP($B158,'Data shares'!$C:$FB,98)</f>
        <v>2295750</v>
      </c>
      <c r="E158" s="165">
        <f>VLOOKUP(B158,'Snapshot (Volume)'!$A$7:$G$168,7,0)</f>
        <v>2263200</v>
      </c>
      <c r="F158" s="165">
        <f t="shared" si="54"/>
        <v>32550</v>
      </c>
      <c r="G158" s="166">
        <f t="shared" si="55"/>
        <v>1.4382290562036056E-2</v>
      </c>
      <c r="H158" s="165">
        <f>VLOOKUP($B158,'Data shares'!$C:$FB,66)</f>
        <v>1227300</v>
      </c>
      <c r="I158" s="165">
        <f>VLOOKUP($B158,'Data shares'!$C:$FB,67)</f>
        <v>1926600</v>
      </c>
      <c r="J158" s="81">
        <f t="shared" si="56"/>
        <v>-36.297103706010589</v>
      </c>
      <c r="K158" s="5">
        <f>VLOOKUP($B158,'Data Vlaue (Cr)'!$C:$FB,99)</f>
        <v>1663</v>
      </c>
      <c r="L158" s="81">
        <f>VLOOKUP(B158,'OI(Value)'!$A$7:$C$226,3,0)</f>
        <v>24</v>
      </c>
      <c r="M158" s="33">
        <f t="shared" si="57"/>
        <v>1.4431749849669273</v>
      </c>
      <c r="N158" s="5">
        <f>VLOOKUP($B158,'Data Vlaue (Cr)'!$C:$FB,67)</f>
        <v>889</v>
      </c>
      <c r="O158" s="5">
        <f>VLOOKUP($B158,'Data Vlaue (Cr)'!$C:$FB,68)</f>
        <v>1396</v>
      </c>
      <c r="P158" s="5">
        <f t="shared" si="58"/>
        <v>-57.03037120359955</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OIL</v>
      </c>
      <c r="C159" s="4">
        <f>VLOOKUP($B159,'Data shares'!$C:$FB,7)</f>
        <v>470.75</v>
      </c>
      <c r="D159" s="82">
        <f>VLOOKUP($B159,'Data shares'!$C:$FB,98)</f>
        <v>34903400</v>
      </c>
      <c r="E159" s="165">
        <f>VLOOKUP(B159,'Snapshot (Volume)'!$A$7:$G$168,7,0)</f>
        <v>35910000</v>
      </c>
      <c r="F159" s="165">
        <f t="shared" si="54"/>
        <v>-1006600</v>
      </c>
      <c r="G159" s="166">
        <f t="shared" si="55"/>
        <v>-2.8031189083820664E-2</v>
      </c>
      <c r="H159" s="165">
        <f>VLOOKUP($B159,'Data shares'!$C:$FB,66)</f>
        <v>30727200</v>
      </c>
      <c r="I159" s="165">
        <f>VLOOKUP($B159,'Data shares'!$C:$FB,67)</f>
        <v>43022000</v>
      </c>
      <c r="J159" s="81">
        <f t="shared" si="56"/>
        <v>-28.577936869508626</v>
      </c>
      <c r="K159" s="5">
        <f>VLOOKUP($B159,'Data Vlaue (Cr)'!$C:$FB,99)</f>
        <v>1650</v>
      </c>
      <c r="L159" s="81">
        <f>VLOOKUP(B159,'OI(Value)'!$A$7:$C$226,3,0)</f>
        <v>-48</v>
      </c>
      <c r="M159" s="33">
        <f t="shared" si="57"/>
        <v>-2.9090909090909092</v>
      </c>
      <c r="N159" s="5">
        <f>VLOOKUP($B159,'Data Vlaue (Cr)'!$C:$FB,67)</f>
        <v>1453</v>
      </c>
      <c r="O159" s="5">
        <f>VLOOKUP($B159,'Data Vlaue (Cr)'!$C:$FB,68)</f>
        <v>2034</v>
      </c>
      <c r="P159" s="5">
        <f t="shared" si="58"/>
        <v>-39.986235375086025</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ONGC</v>
      </c>
      <c r="C160" s="4">
        <f>VLOOKUP($B160,'Data shares'!$C:$FB,7)</f>
        <v>288.60000000000002</v>
      </c>
      <c r="D160" s="82">
        <f>VLOOKUP($B160,'Data shares'!$C:$FB,98)</f>
        <v>199548000</v>
      </c>
      <c r="E160" s="165">
        <f>VLOOKUP(B160,'Snapshot (Volume)'!$A$7:$G$168,7,0)</f>
        <v>198589500</v>
      </c>
      <c r="F160" s="165">
        <f t="shared" si="54"/>
        <v>958500</v>
      </c>
      <c r="G160" s="166">
        <f t="shared" si="55"/>
        <v>4.8265391674786433E-3</v>
      </c>
      <c r="H160" s="165">
        <f>VLOOKUP($B160,'Data shares'!$C:$FB,66)</f>
        <v>100840500</v>
      </c>
      <c r="I160" s="165">
        <f>VLOOKUP($B160,'Data shares'!$C:$FB,67)</f>
        <v>231846750</v>
      </c>
      <c r="J160" s="81">
        <f t="shared" si="56"/>
        <v>-56.505536523587239</v>
      </c>
      <c r="K160" s="5">
        <f>VLOOKUP($B160,'Data Vlaue (Cr)'!$C:$FB,99)</f>
        <v>5785</v>
      </c>
      <c r="L160" s="81">
        <f>VLOOKUP(B160,'OI(Value)'!$A$7:$C$226,3,0)</f>
        <v>28</v>
      </c>
      <c r="M160" s="33">
        <f t="shared" si="57"/>
        <v>0.48401037165082106</v>
      </c>
      <c r="N160" s="5">
        <f>VLOOKUP($B160,'Data Vlaue (Cr)'!$C:$FB,67)</f>
        <v>2923</v>
      </c>
      <c r="O160" s="5">
        <f>VLOOKUP($B160,'Data Vlaue (Cr)'!$C:$FB,68)</f>
        <v>6721</v>
      </c>
      <c r="P160" s="5">
        <f t="shared" si="58"/>
        <v>-129.93499828942868</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Textile</v>
      </c>
      <c r="B161" s="79" t="str">
        <f>'Data shares'!C156</f>
        <v>PAGEIND</v>
      </c>
      <c r="C161" s="4">
        <f>VLOOKUP($B161,'Data shares'!$C:$FB,7)</f>
        <v>35950</v>
      </c>
      <c r="D161" s="82">
        <f>VLOOKUP($B161,'Data shares'!$C:$FB,98)</f>
        <v>476760</v>
      </c>
      <c r="E161" s="165">
        <f>VLOOKUP(B161,'Snapshot (Volume)'!$A$7:$G$168,7,0)</f>
        <v>464205</v>
      </c>
      <c r="F161" s="165">
        <f t="shared" si="54"/>
        <v>12555</v>
      </c>
      <c r="G161" s="166">
        <f t="shared" si="55"/>
        <v>2.7046240346398683E-2</v>
      </c>
      <c r="H161" s="165">
        <f>VLOOKUP($B161,'Data shares'!$C:$FB,66)</f>
        <v>155730</v>
      </c>
      <c r="I161" s="165">
        <f>VLOOKUP($B161,'Data shares'!$C:$FB,67)</f>
        <v>128385</v>
      </c>
      <c r="J161" s="81">
        <f t="shared" si="56"/>
        <v>21.299217198270824</v>
      </c>
      <c r="K161" s="5">
        <f>VLOOKUP($B161,'Data Vlaue (Cr)'!$C:$FB,99)</f>
        <v>1715</v>
      </c>
      <c r="L161" s="81">
        <f>VLOOKUP(B161,'OI(Value)'!$A$7:$C$226,3,0)</f>
        <v>45</v>
      </c>
      <c r="M161" s="33">
        <f t="shared" si="57"/>
        <v>2.6239067055393588</v>
      </c>
      <c r="N161" s="5">
        <f>VLOOKUP($B161,'Data Vlaue (Cr)'!$C:$FB,67)</f>
        <v>560</v>
      </c>
      <c r="O161" s="5">
        <f>VLOOKUP($B161,'Data Vlaue (Cr)'!$C:$FB,68)</f>
        <v>462</v>
      </c>
      <c r="P161" s="5">
        <f t="shared" si="58"/>
        <v>17.5</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PATANJALI</v>
      </c>
      <c r="C162" s="4">
        <f>VLOOKUP($B162,'Data shares'!$C:$FB,7)</f>
        <v>459.7</v>
      </c>
      <c r="D162" s="82">
        <f>VLOOKUP($B162,'Data shares'!$C:$FB,98)</f>
        <v>39402900</v>
      </c>
      <c r="E162" s="165">
        <f>VLOOKUP(B162,'Snapshot (Volume)'!$A$7:$G$168,7,0)</f>
        <v>38910600</v>
      </c>
      <c r="F162" s="165">
        <f t="shared" si="54"/>
        <v>492300</v>
      </c>
      <c r="G162" s="166">
        <f t="shared" si="55"/>
        <v>1.2652079381967895E-2</v>
      </c>
      <c r="H162" s="165">
        <f>VLOOKUP($B162,'Data shares'!$C:$FB,66)</f>
        <v>7526700</v>
      </c>
      <c r="I162" s="165">
        <f>VLOOKUP($B162,'Data shares'!$C:$FB,67)</f>
        <v>12959100</v>
      </c>
      <c r="J162" s="81">
        <f t="shared" si="56"/>
        <v>-41.919577748454756</v>
      </c>
      <c r="K162" s="5">
        <f>VLOOKUP($B162,'Data Vlaue (Cr)'!$C:$FB,99)</f>
        <v>1812</v>
      </c>
      <c r="L162" s="81">
        <f>VLOOKUP(B162,'OI(Value)'!$A$7:$C$226,3,0)</f>
        <v>23</v>
      </c>
      <c r="M162" s="33">
        <f t="shared" si="57"/>
        <v>1.2693156732891833</v>
      </c>
      <c r="N162" s="5">
        <f>VLOOKUP($B162,'Data Vlaue (Cr)'!$C:$FB,67)</f>
        <v>346</v>
      </c>
      <c r="O162" s="5">
        <f>VLOOKUP($B162,'Data Vlaue (Cr)'!$C:$FB,68)</f>
        <v>596</v>
      </c>
      <c r="P162" s="5">
        <f>(N162-O162)/N162*100</f>
        <v>-72.25433526011561</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New_Age</v>
      </c>
      <c r="B163" s="79" t="str">
        <f>'Data shares'!C158</f>
        <v>PAYTM</v>
      </c>
      <c r="C163" s="4">
        <f>VLOOKUP($B163,'Data shares'!$C:$FB,7)</f>
        <v>1097.95</v>
      </c>
      <c r="D163" s="82">
        <f>VLOOKUP($B163,'Data shares'!$C:$FB,98)</f>
        <v>27451400</v>
      </c>
      <c r="E163" s="165">
        <f>VLOOKUP(B163,'Snapshot (Volume)'!$A$7:$G$168,7,0)</f>
        <v>25849150</v>
      </c>
      <c r="F163" s="165">
        <f t="shared" si="54"/>
        <v>1602250</v>
      </c>
      <c r="G163" s="166">
        <f t="shared" si="55"/>
        <v>6.1984630055533743E-2</v>
      </c>
      <c r="H163" s="165">
        <f>VLOOKUP($B163,'Data shares'!$C:$FB,66)</f>
        <v>22807775</v>
      </c>
      <c r="I163" s="165">
        <f>VLOOKUP($B163,'Data shares'!$C:$FB,67)</f>
        <v>26854725</v>
      </c>
      <c r="J163" s="81">
        <f t="shared" si="56"/>
        <v>-15.069787532733997</v>
      </c>
      <c r="K163" s="5">
        <f>VLOOKUP($B163,'Data Vlaue (Cr)'!$C:$FB,99)</f>
        <v>3027</v>
      </c>
      <c r="L163" s="81">
        <f>VLOOKUP(B163,'OI(Value)'!$A$7:$C$226,3,0)</f>
        <v>177</v>
      </c>
      <c r="M163" s="33">
        <f t="shared" si="57"/>
        <v>5.8473736372646181</v>
      </c>
      <c r="N163" s="5">
        <f>VLOOKUP($B163,'Data Vlaue (Cr)'!$C:$FB,67)</f>
        <v>2515</v>
      </c>
      <c r="O163" s="5">
        <f>VLOOKUP($B163,'Data Vlaue (Cr)'!$C:$FB,68)</f>
        <v>2961</v>
      </c>
      <c r="P163" s="5">
        <f>(N163-O163)/N163*100</f>
        <v>-17.733598409542743</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Technology</v>
      </c>
      <c r="B164" s="79" t="str">
        <f>'Data shares'!C159</f>
        <v>PERSISTENT</v>
      </c>
      <c r="C164" s="4">
        <f>VLOOKUP($B164,'Data shares'!$C:$FB,7)</f>
        <v>5471.1</v>
      </c>
      <c r="D164" s="82">
        <f>VLOOKUP($B164,'Data shares'!$C:$FB,98)</f>
        <v>7325100</v>
      </c>
      <c r="E164" s="165">
        <f>VLOOKUP(B164,'Snapshot (Volume)'!$A$7:$G$168,7,0)</f>
        <v>7214600</v>
      </c>
      <c r="F164" s="165">
        <f t="shared" si="54"/>
        <v>110500</v>
      </c>
      <c r="G164" s="166">
        <f t="shared" si="55"/>
        <v>1.5316164444321238E-2</v>
      </c>
      <c r="H164" s="165">
        <f>VLOOKUP($B164,'Data shares'!$C:$FB,66)</f>
        <v>3461300</v>
      </c>
      <c r="I164" s="165">
        <f>VLOOKUP($B164,'Data shares'!$C:$FB,67)</f>
        <v>4064400</v>
      </c>
      <c r="J164" s="81">
        <f t="shared" si="56"/>
        <v>-14.838598563133552</v>
      </c>
      <c r="K164" s="5">
        <f>VLOOKUP($B164,'Data Vlaue (Cr)'!$C:$FB,99)</f>
        <v>4006</v>
      </c>
      <c r="L164" s="81">
        <f>VLOOKUP(B164,'OI(Value)'!$A$7:$C$226,3,0)</f>
        <v>60</v>
      </c>
      <c r="M164" s="33">
        <f t="shared" si="57"/>
        <v>1.4977533699450822</v>
      </c>
      <c r="N164" s="5">
        <f>VLOOKUP($B164,'Data Vlaue (Cr)'!$C:$FB,67)</f>
        <v>1893</v>
      </c>
      <c r="O164" s="5">
        <f>VLOOKUP($B164,'Data Vlaue (Cr)'!$C:$FB,68)</f>
        <v>2223</v>
      </c>
      <c r="P164" s="5">
        <f>(N164-O164)/N164*100</f>
        <v>-17.432646592709986</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VLOOKUP(B165,'OI(Value)'!$A$7:$C$226,3,0)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shares'!B220</f>
        <v>Pharma</v>
      </c>
      <c r="B166" s="79" t="str">
        <f>'Data shares'!C220</f>
        <v>ZYDUSLIFE</v>
      </c>
      <c r="C166" s="4">
        <f>VLOOKUP($B166,'Data shares'!$C:$FB,7)</f>
        <v>902.25</v>
      </c>
      <c r="D166" s="82">
        <f>VLOOKUP($B166,'Data shares'!$C:$FB,98)</f>
        <v>13689900</v>
      </c>
      <c r="E166" s="165" t="e">
        <f>VLOOKUP(B166,'Snapshot (Volume)'!$A$7:$G$168,7,0)</f>
        <v>#N/A</v>
      </c>
      <c r="F166" s="165" t="e">
        <f t="shared" si="54"/>
        <v>#N/A</v>
      </c>
      <c r="G166" s="166" t="e">
        <f t="shared" si="55"/>
        <v>#N/A</v>
      </c>
      <c r="H166" s="165">
        <f>VLOOKUP($B166,'Data shares'!$C:$FB,66)</f>
        <v>8385300</v>
      </c>
      <c r="I166" s="165">
        <f>VLOOKUP($B166,'Data shares'!$C:$FB,67)</f>
        <v>4683600</v>
      </c>
      <c r="J166" s="81">
        <f t="shared" si="56"/>
        <v>79.035357417371259</v>
      </c>
      <c r="K166" s="5">
        <f>VLOOKUP($B166,'Data Vlaue (Cr)'!$C:$FB,99)</f>
        <v>1240</v>
      </c>
      <c r="L166" s="81">
        <f>VLOOKUP(B166,'OI(Value)'!$A$7:$C$226,3,0)</f>
        <v>17</v>
      </c>
      <c r="M166" s="33">
        <f t="shared" si="57"/>
        <v>1.370967741935484</v>
      </c>
      <c r="N166" s="5">
        <f>VLOOKUP($B166,'Data Vlaue (Cr)'!$C:$FB,67)</f>
        <v>759</v>
      </c>
      <c r="O166" s="5">
        <f>VLOOKUP($B166,'Data Vlaue (Cr)'!$C:$FB,68)</f>
        <v>424</v>
      </c>
      <c r="P166" s="5">
        <f>(N166-O166)/N166*100</f>
        <v>44.137022397891961</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zoomScale="85" zoomScaleNormal="85" workbookViewId="0">
      <pane ySplit="6" topLeftCell="A25" activePane="bottomLeft" state="frozen"/>
      <selection activeCell="Q163" sqref="Q163"/>
      <selection pane="bottomLeft" activeCell="A34" sqref="A34"/>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6" t="s">
        <v>334</v>
      </c>
      <c r="B3" s="277"/>
      <c r="C3" s="277"/>
      <c r="D3" s="278"/>
      <c r="E3" s="279"/>
      <c r="F3" s="279"/>
      <c r="G3" s="279"/>
      <c r="H3" s="279"/>
      <c r="I3" s="279"/>
      <c r="J3" s="279"/>
      <c r="K3" s="279"/>
      <c r="L3" s="279"/>
      <c r="M3" s="279"/>
      <c r="N3" s="279"/>
      <c r="O3" s="280"/>
    </row>
    <row r="4" spans="1:15" s="84" customFormat="1" x14ac:dyDescent="0.25">
      <c r="A4" s="273" t="s">
        <v>330</v>
      </c>
      <c r="B4" s="273" t="s">
        <v>340</v>
      </c>
      <c r="C4" s="273"/>
      <c r="D4" s="273"/>
      <c r="E4" s="273"/>
      <c r="F4" s="273"/>
      <c r="G4" s="273"/>
      <c r="H4" s="273"/>
      <c r="I4" s="273"/>
      <c r="J4" s="273"/>
      <c r="K4" s="273"/>
      <c r="L4" s="273"/>
      <c r="M4" s="273"/>
      <c r="N4" s="273"/>
      <c r="O4" s="273"/>
    </row>
    <row r="5" spans="1:15" s="84" customFormat="1" x14ac:dyDescent="0.25">
      <c r="A5" s="274"/>
      <c r="B5" s="274" t="s">
        <v>314</v>
      </c>
      <c r="C5" s="274"/>
      <c r="D5" s="274"/>
      <c r="E5" s="274" t="s">
        <v>341</v>
      </c>
      <c r="F5" s="274"/>
      <c r="G5" s="274"/>
      <c r="H5" s="274" t="s">
        <v>336</v>
      </c>
      <c r="I5" s="274"/>
      <c r="J5" s="274"/>
      <c r="K5" s="274" t="s">
        <v>342</v>
      </c>
      <c r="L5" s="274"/>
      <c r="M5" s="274"/>
      <c r="N5" s="274" t="s">
        <v>338</v>
      </c>
      <c r="O5" s="274"/>
    </row>
    <row r="6" spans="1:15" s="84" customFormat="1" x14ac:dyDescent="0.25">
      <c r="A6" s="71" t="s">
        <v>318</v>
      </c>
      <c r="B6" s="66">
        <f>'OI(Value)'!B6</f>
        <v>46121</v>
      </c>
      <c r="C6" s="71" t="s">
        <v>333</v>
      </c>
      <c r="D6" s="71" t="s">
        <v>328</v>
      </c>
      <c r="E6" s="66">
        <f>B6</f>
        <v>46121</v>
      </c>
      <c r="F6" s="71" t="s">
        <v>333</v>
      </c>
      <c r="G6" s="71" t="s">
        <v>328</v>
      </c>
      <c r="H6" s="66">
        <f>B6</f>
        <v>46121</v>
      </c>
      <c r="I6" s="71" t="s">
        <v>333</v>
      </c>
      <c r="J6" s="71" t="s">
        <v>328</v>
      </c>
      <c r="K6" s="66">
        <f>B6</f>
        <v>46121</v>
      </c>
      <c r="L6" s="71" t="s">
        <v>333</v>
      </c>
      <c r="M6" s="71" t="s">
        <v>328</v>
      </c>
      <c r="N6" s="71" t="s">
        <v>339</v>
      </c>
      <c r="O6" s="71" t="s">
        <v>328</v>
      </c>
    </row>
    <row r="7" spans="1:15" x14ac:dyDescent="0.25">
      <c r="A7" s="100" t="str">
        <f>'Data Vlaue (Cr)'!C2</f>
        <v>360ONE</v>
      </c>
      <c r="B7" s="82">
        <f>VLOOKUP(A7,'Data shares'!$C$2:$CV$220,98,0)</f>
        <v>6540500</v>
      </c>
      <c r="C7" s="82">
        <f>VLOOKUP(A7,'Data shares'!$C$2:$CX$220,100,0)</f>
        <v>541000</v>
      </c>
      <c r="D7" s="141">
        <f>VLOOKUP(A7,'Data shares'!$C$2:$CY$543,101,0)</f>
        <v>9.0200000000000002E-2</v>
      </c>
      <c r="E7" s="86">
        <f>VLOOKUP($A7,'Data shares'!$C:$FA,74)</f>
        <v>5022500</v>
      </c>
      <c r="F7" s="86">
        <f>VLOOKUP($A7,'Data shares'!$C:$FA,76)</f>
        <v>441000</v>
      </c>
      <c r="G7" s="87">
        <f>VLOOKUP(A7,'Data shares'!$C$2:$CA$220,77,0)</f>
        <v>9.6299999999999997E-2</v>
      </c>
      <c r="H7" s="86">
        <f>VLOOKUP($A7,'Data shares'!$C:$FA,90)</f>
        <v>855000</v>
      </c>
      <c r="I7" s="86">
        <f>VLOOKUP($A7,'Data shares'!$C:$FA,92)</f>
        <v>-48500</v>
      </c>
      <c r="J7" s="87">
        <f>VLOOKUP($A7,'Data shares'!$C:$FA,93)</f>
        <v>-5.3699999999999998E-2</v>
      </c>
      <c r="K7" s="86">
        <f>VLOOKUP($A7,'Data shares'!$C:$FA,94)</f>
        <v>663000</v>
      </c>
      <c r="L7" s="86">
        <f>VLOOKUP($A7,'Data shares'!$C:$FA,96)</f>
        <v>148500</v>
      </c>
      <c r="M7" s="87">
        <f>VLOOKUP($A7,'Data shares'!$C:$FA,97)</f>
        <v>0.28860000000000002</v>
      </c>
      <c r="N7" s="86">
        <f>VLOOKUP($A7,'Data shares'!$C:$FA,78)</f>
        <v>4907000</v>
      </c>
      <c r="O7" s="87">
        <f>VLOOKUP($A7,'Data shares'!$C:$FA,81)</f>
        <v>8.6099999999999996E-2</v>
      </c>
    </row>
    <row r="8" spans="1:15" x14ac:dyDescent="0.25">
      <c r="A8" s="100" t="str">
        <f>'Data Vlaue (Cr)'!C3</f>
        <v>ABB</v>
      </c>
      <c r="B8" s="82">
        <f>VLOOKUP(A8,'Data shares'!$C$2:$CV$220,98,0)</f>
        <v>3538250</v>
      </c>
      <c r="C8" s="82">
        <f>VLOOKUP(A8,'Data shares'!$C$2:$CX$220,100,0)</f>
        <v>167125</v>
      </c>
      <c r="D8" s="141">
        <f>VLOOKUP(A8,'Data shares'!$C$2:$CY$543,101,0)</f>
        <v>4.9599999999999998E-2</v>
      </c>
      <c r="E8" s="86">
        <f>VLOOKUP($A8,'Data shares'!$C:$FA,74)</f>
        <v>2174625</v>
      </c>
      <c r="F8" s="86">
        <f>VLOOKUP($A8,'Data shares'!$C:$FA,76)</f>
        <v>47500</v>
      </c>
      <c r="G8" s="87">
        <f>VLOOKUP(A8,'Data shares'!$C$2:$CA$220,77,0)</f>
        <v>2.23E-2</v>
      </c>
      <c r="H8" s="86">
        <f>VLOOKUP($A8,'Data shares'!$C:$FA,90)</f>
        <v>665500</v>
      </c>
      <c r="I8" s="86">
        <f>VLOOKUP($A8,'Data shares'!$C:$FA,92)</f>
        <v>34500</v>
      </c>
      <c r="J8" s="87">
        <f>VLOOKUP($A8,'Data shares'!$C:$FA,93)</f>
        <v>5.4699999999999999E-2</v>
      </c>
      <c r="K8" s="86">
        <f>VLOOKUP($A8,'Data shares'!$C:$FA,94)</f>
        <v>698125</v>
      </c>
      <c r="L8" s="86">
        <f>VLOOKUP($A8,'Data shares'!$C:$FA,96)</f>
        <v>85125</v>
      </c>
      <c r="M8" s="87">
        <f>VLOOKUP($A8,'Data shares'!$C:$FA,97)</f>
        <v>0.1389</v>
      </c>
      <c r="N8" s="86">
        <f>VLOOKUP($A8,'Data shares'!$C:$FA,78)</f>
        <v>2100000</v>
      </c>
      <c r="O8" s="87">
        <f>VLOOKUP($A8,'Data shares'!$C:$FA,81)</f>
        <v>1.9699999999999999E-2</v>
      </c>
    </row>
    <row r="9" spans="1:15" x14ac:dyDescent="0.25">
      <c r="A9" s="100" t="str">
        <f>'Data Vlaue (Cr)'!C4</f>
        <v>ABCAPITAL</v>
      </c>
      <c r="B9" s="82">
        <f>VLOOKUP(A9,'Data shares'!$C$2:$CV$220,98,0)</f>
        <v>60171000</v>
      </c>
      <c r="C9" s="82">
        <f>VLOOKUP(A9,'Data shares'!$C$2:$CX$220,100,0)</f>
        <v>2049100</v>
      </c>
      <c r="D9" s="141">
        <f>VLOOKUP(A9,'Data shares'!$C$2:$CY$543,101,0)</f>
        <v>3.5299999999999998E-2</v>
      </c>
      <c r="E9" s="86">
        <f>VLOOKUP($A9,'Data shares'!$C:$FA,74)</f>
        <v>43970400</v>
      </c>
      <c r="F9" s="86">
        <f>VLOOKUP($A9,'Data shares'!$C:$FA,76)</f>
        <v>1460100</v>
      </c>
      <c r="G9" s="87">
        <f>VLOOKUP(A9,'Data shares'!$C$2:$CA$220,77,0)</f>
        <v>3.4299999999999997E-2</v>
      </c>
      <c r="H9" s="86">
        <f>VLOOKUP($A9,'Data shares'!$C:$FA,90)</f>
        <v>8224300</v>
      </c>
      <c r="I9" s="86">
        <f>VLOOKUP($A9,'Data shares'!$C:$FA,92)</f>
        <v>334800</v>
      </c>
      <c r="J9" s="87">
        <f>VLOOKUP($A9,'Data shares'!$C:$FA,93)</f>
        <v>4.24E-2</v>
      </c>
      <c r="K9" s="86">
        <f>VLOOKUP($A9,'Data shares'!$C:$FA,94)</f>
        <v>7976300</v>
      </c>
      <c r="L9" s="86">
        <f>VLOOKUP($A9,'Data shares'!$C:$FA,96)</f>
        <v>254200</v>
      </c>
      <c r="M9" s="87">
        <f>VLOOKUP($A9,'Data shares'!$C:$FA,97)</f>
        <v>3.2899999999999999E-2</v>
      </c>
      <c r="N9" s="86">
        <f>VLOOKUP($A9,'Data shares'!$C:$FA,78)</f>
        <v>43344200</v>
      </c>
      <c r="O9" s="87">
        <f>VLOOKUP($A9,'Data shares'!$C:$FA,81)</f>
        <v>3.2300000000000002E-2</v>
      </c>
    </row>
    <row r="10" spans="1:15" x14ac:dyDescent="0.25">
      <c r="A10" s="100" t="str">
        <f>'Data Vlaue (Cr)'!C5</f>
        <v>ADANIENSOL</v>
      </c>
      <c r="B10" s="82">
        <f>VLOOKUP(A10,'Data shares'!$C$2:$CV$220,98,0)</f>
        <v>24261525</v>
      </c>
      <c r="C10" s="82">
        <f>VLOOKUP(A10,'Data shares'!$C$2:$CX$220,100,0)</f>
        <v>-67500</v>
      </c>
      <c r="D10" s="141">
        <f>VLOOKUP(A10,'Data shares'!$C$2:$CY$543,101,0)</f>
        <v>-2.8E-3</v>
      </c>
      <c r="E10" s="86">
        <f>VLOOKUP($A10,'Data shares'!$C:$FA,74)</f>
        <v>19913175</v>
      </c>
      <c r="F10" s="86">
        <f>VLOOKUP($A10,'Data shares'!$C:$FA,76)</f>
        <v>-186975</v>
      </c>
      <c r="G10" s="87">
        <f>VLOOKUP(A10,'Data shares'!$C$2:$CA$220,77,0)</f>
        <v>-9.2999999999999992E-3</v>
      </c>
      <c r="H10" s="86">
        <f>VLOOKUP($A10,'Data shares'!$C:$FA,90)</f>
        <v>2832975</v>
      </c>
      <c r="I10" s="86">
        <f>VLOOKUP($A10,'Data shares'!$C:$FA,92)</f>
        <v>-29025</v>
      </c>
      <c r="J10" s="87">
        <f>VLOOKUP($A10,'Data shares'!$C:$FA,93)</f>
        <v>-1.01E-2</v>
      </c>
      <c r="K10" s="86">
        <f>VLOOKUP($A10,'Data shares'!$C:$FA,94)</f>
        <v>1515375</v>
      </c>
      <c r="L10" s="86">
        <f>VLOOKUP($A10,'Data shares'!$C:$FA,96)</f>
        <v>148500</v>
      </c>
      <c r="M10" s="87">
        <f>VLOOKUP($A10,'Data shares'!$C:$FA,97)</f>
        <v>0.1086</v>
      </c>
      <c r="N10" s="86">
        <f>VLOOKUP($A10,'Data shares'!$C:$FA,78)</f>
        <v>16708950</v>
      </c>
      <c r="O10" s="87">
        <f>VLOOKUP($A10,'Data shares'!$C:$FA,81)</f>
        <v>-1.12E-2</v>
      </c>
    </row>
    <row r="11" spans="1:15" x14ac:dyDescent="0.25">
      <c r="A11" s="100" t="str">
        <f>'Data Vlaue (Cr)'!C6</f>
        <v>ADANIENT</v>
      </c>
      <c r="B11" s="82">
        <f>VLOOKUP(A11,'Data shares'!$C$2:$CV$220,98,0)</f>
        <v>28226841</v>
      </c>
      <c r="C11" s="82">
        <f>VLOOKUP(A11,'Data shares'!$C$2:$CX$220,100,0)</f>
        <v>-106914</v>
      </c>
      <c r="D11" s="141">
        <f>VLOOKUP(A11,'Data shares'!$C$2:$CY$543,101,0)</f>
        <v>-3.8E-3</v>
      </c>
      <c r="E11" s="86">
        <f>VLOOKUP($A11,'Data shares'!$C:$FA,74)</f>
        <v>16554366</v>
      </c>
      <c r="F11" s="86">
        <f>VLOOKUP($A11,'Data shares'!$C:$FA,76)</f>
        <v>-351024</v>
      </c>
      <c r="G11" s="87">
        <f>VLOOKUP(A11,'Data shares'!$C$2:$CA$220,77,0)</f>
        <v>-2.0799999999999999E-2</v>
      </c>
      <c r="H11" s="86">
        <f>VLOOKUP($A11,'Data shares'!$C:$FA,90)</f>
        <v>6207810</v>
      </c>
      <c r="I11" s="86">
        <f>VLOOKUP($A11,'Data shares'!$C:$FA,92)</f>
        <v>36153</v>
      </c>
      <c r="J11" s="87">
        <f>VLOOKUP($A11,'Data shares'!$C:$FA,93)</f>
        <v>5.8999999999999999E-3</v>
      </c>
      <c r="K11" s="86">
        <f>VLOOKUP($A11,'Data shares'!$C:$FA,94)</f>
        <v>5464665</v>
      </c>
      <c r="L11" s="86">
        <f>VLOOKUP($A11,'Data shares'!$C:$FA,96)</f>
        <v>207957</v>
      </c>
      <c r="M11" s="87">
        <f>VLOOKUP($A11,'Data shares'!$C:$FA,97)</f>
        <v>3.9600000000000003E-2</v>
      </c>
      <c r="N11" s="86">
        <f>VLOOKUP($A11,'Data shares'!$C:$FA,78)</f>
        <v>15829143</v>
      </c>
      <c r="O11" s="87">
        <f>VLOOKUP($A11,'Data shares'!$C:$FA,81)</f>
        <v>-2.58E-2</v>
      </c>
    </row>
    <row r="12" spans="1:15" x14ac:dyDescent="0.25">
      <c r="A12" s="100" t="str">
        <f>'Data Vlaue (Cr)'!C7</f>
        <v>ADANIGREEN</v>
      </c>
      <c r="B12" s="82">
        <f>VLOOKUP(A12,'Data shares'!$C$2:$CV$220,98,0)</f>
        <v>32394000</v>
      </c>
      <c r="C12" s="82">
        <f>VLOOKUP(A12,'Data shares'!$C$2:$CX$220,100,0)</f>
        <v>-678600</v>
      </c>
      <c r="D12" s="141">
        <f>VLOOKUP(A12,'Data shares'!$C$2:$CY$543,101,0)</f>
        <v>-2.0500000000000001E-2</v>
      </c>
      <c r="E12" s="86">
        <f>VLOOKUP($A12,'Data shares'!$C:$FA,74)</f>
        <v>21348000</v>
      </c>
      <c r="F12" s="86">
        <f>VLOOKUP($A12,'Data shares'!$C:$FA,76)</f>
        <v>-783600</v>
      </c>
      <c r="G12" s="87">
        <f>VLOOKUP(A12,'Data shares'!$C$2:$CA$220,77,0)</f>
        <v>-3.5400000000000001E-2</v>
      </c>
      <c r="H12" s="86">
        <f>VLOOKUP($A12,'Data shares'!$C:$FA,90)</f>
        <v>5898000</v>
      </c>
      <c r="I12" s="86">
        <f>VLOOKUP($A12,'Data shares'!$C:$FA,92)</f>
        <v>-369600</v>
      </c>
      <c r="J12" s="87">
        <f>VLOOKUP($A12,'Data shares'!$C:$FA,93)</f>
        <v>-5.8999999999999997E-2</v>
      </c>
      <c r="K12" s="86">
        <f>VLOOKUP($A12,'Data shares'!$C:$FA,94)</f>
        <v>5148000</v>
      </c>
      <c r="L12" s="86">
        <f>VLOOKUP($A12,'Data shares'!$C:$FA,96)</f>
        <v>474600</v>
      </c>
      <c r="M12" s="87">
        <f>VLOOKUP($A12,'Data shares'!$C:$FA,97)</f>
        <v>0.1016</v>
      </c>
      <c r="N12" s="86">
        <f>VLOOKUP($A12,'Data shares'!$C:$FA,78)</f>
        <v>20800200</v>
      </c>
      <c r="O12" s="87">
        <f>VLOOKUP($A12,'Data shares'!$C:$FA,81)</f>
        <v>-3.6900000000000002E-2</v>
      </c>
    </row>
    <row r="13" spans="1:15" x14ac:dyDescent="0.25">
      <c r="A13" s="100" t="str">
        <f>'Data Vlaue (Cr)'!C8</f>
        <v>ADANIPORTS</v>
      </c>
      <c r="B13" s="82">
        <f>VLOOKUP(A13,'Data shares'!$C$2:$CV$220,98,0)</f>
        <v>35379900</v>
      </c>
      <c r="C13" s="82">
        <f>VLOOKUP(A13,'Data shares'!$C$2:$CX$220,100,0)</f>
        <v>267900</v>
      </c>
      <c r="D13" s="141">
        <f>VLOOKUP(A13,'Data shares'!$C$2:$CY$543,101,0)</f>
        <v>7.6E-3</v>
      </c>
      <c r="E13" s="86">
        <f>VLOOKUP($A13,'Data shares'!$C:$FA,74)</f>
        <v>20925175</v>
      </c>
      <c r="F13" s="86">
        <f>VLOOKUP($A13,'Data shares'!$C:$FA,76)</f>
        <v>96900</v>
      </c>
      <c r="G13" s="87">
        <f>VLOOKUP(A13,'Data shares'!$C$2:$CA$220,77,0)</f>
        <v>4.7000000000000002E-3</v>
      </c>
      <c r="H13" s="86">
        <f>VLOOKUP($A13,'Data shares'!$C:$FA,90)</f>
        <v>8843550</v>
      </c>
      <c r="I13" s="86">
        <f>VLOOKUP($A13,'Data shares'!$C:$FA,92)</f>
        <v>-252700</v>
      </c>
      <c r="J13" s="87">
        <f>VLOOKUP($A13,'Data shares'!$C:$FA,93)</f>
        <v>-2.7799999999999998E-2</v>
      </c>
      <c r="K13" s="86">
        <f>VLOOKUP($A13,'Data shares'!$C:$FA,94)</f>
        <v>5611175</v>
      </c>
      <c r="L13" s="86">
        <f>VLOOKUP($A13,'Data shares'!$C:$FA,96)</f>
        <v>423700</v>
      </c>
      <c r="M13" s="87">
        <f>VLOOKUP($A13,'Data shares'!$C:$FA,97)</f>
        <v>8.1699999999999995E-2</v>
      </c>
      <c r="N13" s="86">
        <f>VLOOKUP($A13,'Data shares'!$C:$FA,78)</f>
        <v>18930650</v>
      </c>
      <c r="O13" s="87">
        <f>VLOOKUP($A13,'Data shares'!$C:$FA,81)</f>
        <v>-1E-4</v>
      </c>
    </row>
    <row r="14" spans="1:15" x14ac:dyDescent="0.25">
      <c r="A14" s="100" t="str">
        <f>'Data Vlaue (Cr)'!C9</f>
        <v>ADANIPOWER</v>
      </c>
      <c r="B14" s="82">
        <f>VLOOKUP(A14,'Data shares'!$C$2:$CV$220,98,0)</f>
        <v>75196100</v>
      </c>
      <c r="C14" s="82">
        <f>VLOOKUP(A14,'Data shares'!$C$2:$CX$220,100,0)</f>
        <v>2577300</v>
      </c>
      <c r="D14" s="141">
        <f>VLOOKUP(A14,'Data shares'!$C$2:$CY$543,101,0)</f>
        <v>3.5499999999999997E-2</v>
      </c>
      <c r="E14" s="86">
        <f>VLOOKUP($A14,'Data shares'!$C:$FA,74)</f>
        <v>53715050</v>
      </c>
      <c r="F14" s="86">
        <f>VLOOKUP($A14,'Data shares'!$C:$FA,76)</f>
        <v>1139550</v>
      </c>
      <c r="G14" s="87">
        <f>VLOOKUP(A14,'Data shares'!$C$2:$CA$220,77,0)</f>
        <v>2.1700000000000001E-2</v>
      </c>
      <c r="H14" s="86">
        <f>VLOOKUP($A14,'Data shares'!$C:$FA,90)</f>
        <v>15765550</v>
      </c>
      <c r="I14" s="86">
        <f>VLOOKUP($A14,'Data shares'!$C:$FA,92)</f>
        <v>397600</v>
      </c>
      <c r="J14" s="87">
        <f>VLOOKUP($A14,'Data shares'!$C:$FA,93)</f>
        <v>2.5899999999999999E-2</v>
      </c>
      <c r="K14" s="86">
        <f>VLOOKUP($A14,'Data shares'!$C:$FA,94)</f>
        <v>5715500</v>
      </c>
      <c r="L14" s="86">
        <f>VLOOKUP($A14,'Data shares'!$C:$FA,96)</f>
        <v>1040150</v>
      </c>
      <c r="M14" s="87">
        <f>VLOOKUP($A14,'Data shares'!$C:$FA,97)</f>
        <v>0.2225</v>
      </c>
      <c r="N14" s="86">
        <f>VLOOKUP($A14,'Data shares'!$C:$FA,78)</f>
        <v>51322350</v>
      </c>
      <c r="O14" s="87">
        <f>VLOOKUP($A14,'Data shares'!$C:$FA,81)</f>
        <v>2.18E-2</v>
      </c>
    </row>
    <row r="15" spans="1:15" x14ac:dyDescent="0.25">
      <c r="A15" s="100" t="str">
        <f>'Data Vlaue (Cr)'!C10</f>
        <v>ALKEM</v>
      </c>
      <c r="B15" s="82">
        <f>VLOOKUP(A15,'Data shares'!$C$2:$CV$220,98,0)</f>
        <v>1438375</v>
      </c>
      <c r="C15" s="82">
        <f>VLOOKUP(A15,'Data shares'!$C$2:$CX$220,100,0)</f>
        <v>8250</v>
      </c>
      <c r="D15" s="141">
        <f>VLOOKUP(A15,'Data shares'!$C$2:$CY$543,101,0)</f>
        <v>5.7999999999999996E-3</v>
      </c>
      <c r="E15" s="86">
        <f>VLOOKUP($A15,'Data shares'!$C:$FA,74)</f>
        <v>1153125</v>
      </c>
      <c r="F15" s="86">
        <f>VLOOKUP($A15,'Data shares'!$C:$FA,76)</f>
        <v>-3625</v>
      </c>
      <c r="G15" s="87">
        <f>VLOOKUP(A15,'Data shares'!$C$2:$CA$220,77,0)</f>
        <v>-3.0999999999999999E-3</v>
      </c>
      <c r="H15" s="86">
        <f>VLOOKUP($A15,'Data shares'!$C:$FA,90)</f>
        <v>146375</v>
      </c>
      <c r="I15" s="86">
        <f>VLOOKUP($A15,'Data shares'!$C:$FA,92)</f>
        <v>14000</v>
      </c>
      <c r="J15" s="87">
        <f>VLOOKUP($A15,'Data shares'!$C:$FA,93)</f>
        <v>0.10580000000000001</v>
      </c>
      <c r="K15" s="86">
        <f>VLOOKUP($A15,'Data shares'!$C:$FA,94)</f>
        <v>138875</v>
      </c>
      <c r="L15" s="86">
        <f>VLOOKUP($A15,'Data shares'!$C:$FA,96)</f>
        <v>-2125</v>
      </c>
      <c r="M15" s="87">
        <f>VLOOKUP($A15,'Data shares'!$C:$FA,97)</f>
        <v>-1.5100000000000001E-2</v>
      </c>
      <c r="N15" s="86">
        <f>VLOOKUP($A15,'Data shares'!$C:$FA,78)</f>
        <v>1145125</v>
      </c>
      <c r="O15" s="87">
        <f>VLOOKUP($A15,'Data shares'!$C:$FA,81)</f>
        <v>-5.3E-3</v>
      </c>
    </row>
    <row r="16" spans="1:15" x14ac:dyDescent="0.25">
      <c r="A16" s="100" t="str">
        <f>'Data Vlaue (Cr)'!C11</f>
        <v>AMBER</v>
      </c>
      <c r="B16" s="82">
        <f>VLOOKUP(A16,'Data shares'!$C$2:$CV$220,98,0)</f>
        <v>2045400</v>
      </c>
      <c r="C16" s="82">
        <f>VLOOKUP(A16,'Data shares'!$C$2:$CX$220,100,0)</f>
        <v>185300</v>
      </c>
      <c r="D16" s="141">
        <f>VLOOKUP(A16,'Data shares'!$C$2:$CY$543,101,0)</f>
        <v>9.9599999999999994E-2</v>
      </c>
      <c r="E16" s="86">
        <f>VLOOKUP($A16,'Data shares'!$C:$FA,74)</f>
        <v>1212300</v>
      </c>
      <c r="F16" s="86">
        <f>VLOOKUP($A16,'Data shares'!$C:$FA,76)</f>
        <v>86100</v>
      </c>
      <c r="G16" s="87">
        <f>VLOOKUP(A16,'Data shares'!$C$2:$CA$220,77,0)</f>
        <v>7.6499999999999999E-2</v>
      </c>
      <c r="H16" s="86">
        <f>VLOOKUP($A16,'Data shares'!$C:$FA,90)</f>
        <v>507500</v>
      </c>
      <c r="I16" s="86">
        <f>VLOOKUP($A16,'Data shares'!$C:$FA,92)</f>
        <v>56400</v>
      </c>
      <c r="J16" s="87">
        <f>VLOOKUP($A16,'Data shares'!$C:$FA,93)</f>
        <v>0.125</v>
      </c>
      <c r="K16" s="86">
        <f>VLOOKUP($A16,'Data shares'!$C:$FA,94)</f>
        <v>325600</v>
      </c>
      <c r="L16" s="86">
        <f>VLOOKUP($A16,'Data shares'!$C:$FA,96)</f>
        <v>42800</v>
      </c>
      <c r="M16" s="87">
        <f>VLOOKUP($A16,'Data shares'!$C:$FA,97)</f>
        <v>0.15129999999999999</v>
      </c>
      <c r="N16" s="86">
        <f>VLOOKUP($A16,'Data shares'!$C:$FA,78)</f>
        <v>1158800</v>
      </c>
      <c r="O16" s="87">
        <f>VLOOKUP($A16,'Data shares'!$C:$FA,81)</f>
        <v>6.2E-2</v>
      </c>
    </row>
    <row r="17" spans="1:15" x14ac:dyDescent="0.25">
      <c r="A17" s="100" t="str">
        <f>'Data Vlaue (Cr)'!C12</f>
        <v>AMBUJACEM</v>
      </c>
      <c r="B17" s="82">
        <f>VLOOKUP(A17,'Data shares'!$C$2:$CV$220,98,0)</f>
        <v>80358600</v>
      </c>
      <c r="C17" s="82">
        <f>VLOOKUP(A17,'Data shares'!$C$2:$CX$220,100,0)</f>
        <v>778050</v>
      </c>
      <c r="D17" s="141">
        <f>VLOOKUP(A17,'Data shares'!$C$2:$CY$543,101,0)</f>
        <v>9.7999999999999997E-3</v>
      </c>
      <c r="E17" s="86">
        <f>VLOOKUP($A17,'Data shares'!$C:$FA,74)</f>
        <v>60715200</v>
      </c>
      <c r="F17" s="86">
        <f>VLOOKUP($A17,'Data shares'!$C:$FA,76)</f>
        <v>213150</v>
      </c>
      <c r="G17" s="87">
        <f>VLOOKUP(A17,'Data shares'!$C$2:$CA$220,77,0)</f>
        <v>3.5000000000000001E-3</v>
      </c>
      <c r="H17" s="86">
        <f>VLOOKUP($A17,'Data shares'!$C:$FA,90)</f>
        <v>10494750</v>
      </c>
      <c r="I17" s="86">
        <f>VLOOKUP($A17,'Data shares'!$C:$FA,92)</f>
        <v>533400</v>
      </c>
      <c r="J17" s="87">
        <f>VLOOKUP($A17,'Data shares'!$C:$FA,93)</f>
        <v>5.3499999999999999E-2</v>
      </c>
      <c r="K17" s="86">
        <f>VLOOKUP($A17,'Data shares'!$C:$FA,94)</f>
        <v>9148650</v>
      </c>
      <c r="L17" s="86">
        <f>VLOOKUP($A17,'Data shares'!$C:$FA,96)</f>
        <v>31500</v>
      </c>
      <c r="M17" s="87">
        <f>VLOOKUP($A17,'Data shares'!$C:$FA,97)</f>
        <v>3.5000000000000001E-3</v>
      </c>
      <c r="N17" s="86">
        <f>VLOOKUP($A17,'Data shares'!$C:$FA,78)</f>
        <v>53001900</v>
      </c>
      <c r="O17" s="87">
        <f>VLOOKUP($A17,'Data shares'!$C:$FA,81)</f>
        <v>-1.5E-3</v>
      </c>
    </row>
    <row r="18" spans="1:15" x14ac:dyDescent="0.25">
      <c r="A18" s="100" t="str">
        <f>'Data Vlaue (Cr)'!C13</f>
        <v>ANGELONE</v>
      </c>
      <c r="B18" s="82">
        <f>VLOOKUP(A18,'Data shares'!$C$2:$CV$220,98,0)</f>
        <v>48937500</v>
      </c>
      <c r="C18" s="82">
        <f>VLOOKUP(A18,'Data shares'!$C$2:$CX$220,100,0)</f>
        <v>6440000</v>
      </c>
      <c r="D18" s="141">
        <f>VLOOKUP(A18,'Data shares'!$C$2:$CY$543,101,0)</f>
        <v>0.1515</v>
      </c>
      <c r="E18" s="86">
        <f>VLOOKUP($A18,'Data shares'!$C:$FA,74)</f>
        <v>23800000</v>
      </c>
      <c r="F18" s="86">
        <f>VLOOKUP($A18,'Data shares'!$C:$FA,76)</f>
        <v>1272500</v>
      </c>
      <c r="G18" s="87">
        <f>VLOOKUP(A18,'Data shares'!$C$2:$CA$220,77,0)</f>
        <v>5.6500000000000002E-2</v>
      </c>
      <c r="H18" s="86">
        <f>VLOOKUP($A18,'Data shares'!$C:$FA,90)</f>
        <v>13785000</v>
      </c>
      <c r="I18" s="86">
        <f>VLOOKUP($A18,'Data shares'!$C:$FA,92)</f>
        <v>3060000</v>
      </c>
      <c r="J18" s="87">
        <f>VLOOKUP($A18,'Data shares'!$C:$FA,93)</f>
        <v>0.2853</v>
      </c>
      <c r="K18" s="86">
        <f>VLOOKUP($A18,'Data shares'!$C:$FA,94)</f>
        <v>11352500</v>
      </c>
      <c r="L18" s="86">
        <f>VLOOKUP($A18,'Data shares'!$C:$FA,96)</f>
        <v>2107500</v>
      </c>
      <c r="M18" s="87">
        <f>VLOOKUP($A18,'Data shares'!$C:$FA,97)</f>
        <v>0.22800000000000001</v>
      </c>
      <c r="N18" s="86">
        <f>VLOOKUP($A18,'Data shares'!$C:$FA,78)</f>
        <v>21830000</v>
      </c>
      <c r="O18" s="87">
        <f>VLOOKUP($A18,'Data shares'!$C:$FA,81)</f>
        <v>2.3900000000000001E-2</v>
      </c>
    </row>
    <row r="19" spans="1:15" x14ac:dyDescent="0.25">
      <c r="A19" s="100" t="str">
        <f>'Data Vlaue (Cr)'!C14</f>
        <v>APLAPOLLO</v>
      </c>
      <c r="B19" s="82">
        <f>VLOOKUP(A19,'Data shares'!$C$2:$CV$220,98,0)</f>
        <v>6423550</v>
      </c>
      <c r="C19" s="82">
        <f>VLOOKUP(A19,'Data shares'!$C$2:$CX$220,100,0)</f>
        <v>103600</v>
      </c>
      <c r="D19" s="141">
        <f>VLOOKUP(A19,'Data shares'!$C$2:$CY$543,101,0)</f>
        <v>1.6400000000000001E-2</v>
      </c>
      <c r="E19" s="86">
        <f>VLOOKUP($A19,'Data shares'!$C:$FA,74)</f>
        <v>4849950</v>
      </c>
      <c r="F19" s="86">
        <f>VLOOKUP($A19,'Data shares'!$C:$FA,76)</f>
        <v>58100</v>
      </c>
      <c r="G19" s="87">
        <f>VLOOKUP(A19,'Data shares'!$C$2:$CA$220,77,0)</f>
        <v>1.21E-2</v>
      </c>
      <c r="H19" s="86">
        <f>VLOOKUP($A19,'Data shares'!$C:$FA,90)</f>
        <v>878500</v>
      </c>
      <c r="I19" s="86">
        <f>VLOOKUP($A19,'Data shares'!$C:$FA,92)</f>
        <v>9100</v>
      </c>
      <c r="J19" s="87">
        <f>VLOOKUP($A19,'Data shares'!$C:$FA,93)</f>
        <v>1.0500000000000001E-2</v>
      </c>
      <c r="K19" s="86">
        <f>VLOOKUP($A19,'Data shares'!$C:$FA,94)</f>
        <v>695100</v>
      </c>
      <c r="L19" s="86">
        <f>VLOOKUP($A19,'Data shares'!$C:$FA,96)</f>
        <v>36400</v>
      </c>
      <c r="M19" s="87">
        <f>VLOOKUP($A19,'Data shares'!$C:$FA,97)</f>
        <v>5.5300000000000002E-2</v>
      </c>
      <c r="N19" s="86">
        <f>VLOOKUP($A19,'Data shares'!$C:$FA,78)</f>
        <v>4784150</v>
      </c>
      <c r="O19" s="87">
        <f>VLOOKUP($A19,'Data shares'!$C:$FA,81)</f>
        <v>1.1599999999999999E-2</v>
      </c>
    </row>
    <row r="20" spans="1:15" x14ac:dyDescent="0.25">
      <c r="A20" s="100" t="str">
        <f>'Data Vlaue (Cr)'!C15</f>
        <v>APOLLOHOSP</v>
      </c>
      <c r="B20" s="82">
        <f>VLOOKUP(A20,'Data shares'!$C$2:$CV$220,98,0)</f>
        <v>3852625</v>
      </c>
      <c r="C20" s="82">
        <f>VLOOKUP(A20,'Data shares'!$C$2:$CX$220,100,0)</f>
        <v>-2875</v>
      </c>
      <c r="D20" s="141">
        <f>VLOOKUP(A20,'Data shares'!$C$2:$CY$543,101,0)</f>
        <v>-6.9999999999999999E-4</v>
      </c>
      <c r="E20" s="86">
        <f>VLOOKUP($A20,'Data shares'!$C:$FA,74)</f>
        <v>2514250</v>
      </c>
      <c r="F20" s="86">
        <f>VLOOKUP($A20,'Data shares'!$C:$FA,76)</f>
        <v>-19875</v>
      </c>
      <c r="G20" s="87">
        <f>VLOOKUP(A20,'Data shares'!$C$2:$CA$220,77,0)</f>
        <v>-7.7999999999999996E-3</v>
      </c>
      <c r="H20" s="86">
        <f>VLOOKUP($A20,'Data shares'!$C:$FA,90)</f>
        <v>697500</v>
      </c>
      <c r="I20" s="86">
        <f>VLOOKUP($A20,'Data shares'!$C:$FA,92)</f>
        <v>18000</v>
      </c>
      <c r="J20" s="87">
        <f>VLOOKUP($A20,'Data shares'!$C:$FA,93)</f>
        <v>2.6499999999999999E-2</v>
      </c>
      <c r="K20" s="86">
        <f>VLOOKUP($A20,'Data shares'!$C:$FA,94)</f>
        <v>640875</v>
      </c>
      <c r="L20" s="86">
        <f>VLOOKUP($A20,'Data shares'!$C:$FA,96)</f>
        <v>-1000</v>
      </c>
      <c r="M20" s="87">
        <f>VLOOKUP($A20,'Data shares'!$C:$FA,97)</f>
        <v>-1.6000000000000001E-3</v>
      </c>
      <c r="N20" s="86">
        <f>VLOOKUP($A20,'Data shares'!$C:$FA,78)</f>
        <v>2431000</v>
      </c>
      <c r="O20" s="87">
        <f>VLOOKUP($A20,'Data shares'!$C:$FA,81)</f>
        <v>-8.8000000000000005E-3</v>
      </c>
    </row>
    <row r="21" spans="1:15" x14ac:dyDescent="0.25">
      <c r="A21" s="100" t="str">
        <f>'Data Vlaue (Cr)'!C16</f>
        <v>ASHOKLEY</v>
      </c>
      <c r="B21" s="82">
        <f>VLOOKUP(A21,'Data shares'!$C$2:$CV$220,98,0)</f>
        <v>290605000</v>
      </c>
      <c r="C21" s="82">
        <f>VLOOKUP(A21,'Data shares'!$C$2:$CX$220,100,0)</f>
        <v>3400000</v>
      </c>
      <c r="D21" s="141">
        <f>VLOOKUP(A21,'Data shares'!$C$2:$CY$543,101,0)</f>
        <v>1.18E-2</v>
      </c>
      <c r="E21" s="86">
        <f>VLOOKUP($A21,'Data shares'!$C:$FA,74)</f>
        <v>148460000</v>
      </c>
      <c r="F21" s="86">
        <f>VLOOKUP($A21,'Data shares'!$C:$FA,76)</f>
        <v>2340000</v>
      </c>
      <c r="G21" s="87">
        <f>VLOOKUP(A21,'Data shares'!$C$2:$CA$220,77,0)</f>
        <v>1.6E-2</v>
      </c>
      <c r="H21" s="86">
        <f>VLOOKUP($A21,'Data shares'!$C:$FA,90)</f>
        <v>83885000</v>
      </c>
      <c r="I21" s="86">
        <f>VLOOKUP($A21,'Data shares'!$C:$FA,92)</f>
        <v>3575000</v>
      </c>
      <c r="J21" s="87">
        <f>VLOOKUP($A21,'Data shares'!$C:$FA,93)</f>
        <v>4.4499999999999998E-2</v>
      </c>
      <c r="K21" s="86">
        <f>VLOOKUP($A21,'Data shares'!$C:$FA,94)</f>
        <v>58260000</v>
      </c>
      <c r="L21" s="86">
        <f>VLOOKUP($A21,'Data shares'!$C:$FA,96)</f>
        <v>-2515000</v>
      </c>
      <c r="M21" s="87">
        <f>VLOOKUP($A21,'Data shares'!$C:$FA,97)</f>
        <v>-4.1399999999999999E-2</v>
      </c>
      <c r="N21" s="86">
        <f>VLOOKUP($A21,'Data shares'!$C:$FA,78)</f>
        <v>141305000</v>
      </c>
      <c r="O21" s="87">
        <f>VLOOKUP($A21,'Data shares'!$C:$FA,81)</f>
        <v>8.9999999999999993E-3</v>
      </c>
    </row>
    <row r="22" spans="1:15" x14ac:dyDescent="0.25">
      <c r="A22" s="100" t="str">
        <f>'Data Vlaue (Cr)'!C17</f>
        <v>ASIANPAINT</v>
      </c>
      <c r="B22" s="82">
        <f>VLOOKUP(A22,'Data shares'!$C$2:$CV$220,98,0)</f>
        <v>21999000</v>
      </c>
      <c r="C22" s="82">
        <f>VLOOKUP(A22,'Data shares'!$C$2:$CX$220,100,0)</f>
        <v>267250</v>
      </c>
      <c r="D22" s="141">
        <f>VLOOKUP(A22,'Data shares'!$C$2:$CY$543,101,0)</f>
        <v>1.23E-2</v>
      </c>
      <c r="E22" s="86">
        <f>VLOOKUP($A22,'Data shares'!$C:$FA,74)</f>
        <v>14943250</v>
      </c>
      <c r="F22" s="86">
        <f>VLOOKUP($A22,'Data shares'!$C:$FA,76)</f>
        <v>-76500</v>
      </c>
      <c r="G22" s="87">
        <f>VLOOKUP(A22,'Data shares'!$C$2:$CA$220,77,0)</f>
        <v>-5.1000000000000004E-3</v>
      </c>
      <c r="H22" s="86">
        <f>VLOOKUP($A22,'Data shares'!$C:$FA,90)</f>
        <v>3393250</v>
      </c>
      <c r="I22" s="86">
        <f>VLOOKUP($A22,'Data shares'!$C:$FA,92)</f>
        <v>157000</v>
      </c>
      <c r="J22" s="87">
        <f>VLOOKUP($A22,'Data shares'!$C:$FA,93)</f>
        <v>4.8500000000000001E-2</v>
      </c>
      <c r="K22" s="86">
        <f>VLOOKUP($A22,'Data shares'!$C:$FA,94)</f>
        <v>3662500</v>
      </c>
      <c r="L22" s="86">
        <f>VLOOKUP($A22,'Data shares'!$C:$FA,96)</f>
        <v>186750</v>
      </c>
      <c r="M22" s="87">
        <f>VLOOKUP($A22,'Data shares'!$C:$FA,97)</f>
        <v>5.3699999999999998E-2</v>
      </c>
      <c r="N22" s="86">
        <f>VLOOKUP($A22,'Data shares'!$C:$FA,78)</f>
        <v>13789250</v>
      </c>
      <c r="O22" s="87">
        <f>VLOOKUP($A22,'Data shares'!$C:$FA,81)</f>
        <v>-7.3000000000000001E-3</v>
      </c>
    </row>
    <row r="23" spans="1:15" x14ac:dyDescent="0.25">
      <c r="A23" s="100" t="str">
        <f>'Data Vlaue (Cr)'!C18</f>
        <v>ASTRAL</v>
      </c>
      <c r="B23" s="82">
        <f>VLOOKUP(A23,'Data shares'!$C$2:$CV$220,98,0)</f>
        <v>12245525</v>
      </c>
      <c r="C23" s="82">
        <f>VLOOKUP(A23,'Data shares'!$C$2:$CX$220,100,0)</f>
        <v>65450</v>
      </c>
      <c r="D23" s="141">
        <f>VLOOKUP(A23,'Data shares'!$C$2:$CY$543,101,0)</f>
        <v>5.4000000000000003E-3</v>
      </c>
      <c r="E23" s="86">
        <f>VLOOKUP($A23,'Data shares'!$C:$FA,74)</f>
        <v>9101375</v>
      </c>
      <c r="F23" s="86">
        <f>VLOOKUP($A23,'Data shares'!$C:$FA,76)</f>
        <v>276250</v>
      </c>
      <c r="G23" s="87">
        <f>VLOOKUP(A23,'Data shares'!$C$2:$CA$220,77,0)</f>
        <v>3.1300000000000001E-2</v>
      </c>
      <c r="H23" s="86">
        <f>VLOOKUP($A23,'Data shares'!$C:$FA,90)</f>
        <v>1881900</v>
      </c>
      <c r="I23" s="86">
        <f>VLOOKUP($A23,'Data shares'!$C:$FA,92)</f>
        <v>-131750</v>
      </c>
      <c r="J23" s="87">
        <f>VLOOKUP($A23,'Data shares'!$C:$FA,93)</f>
        <v>-6.54E-2</v>
      </c>
      <c r="K23" s="86">
        <f>VLOOKUP($A23,'Data shares'!$C:$FA,94)</f>
        <v>1262250</v>
      </c>
      <c r="L23" s="86">
        <f>VLOOKUP($A23,'Data shares'!$C:$FA,96)</f>
        <v>-79050</v>
      </c>
      <c r="M23" s="87">
        <f>VLOOKUP($A23,'Data shares'!$C:$FA,97)</f>
        <v>-5.8900000000000001E-2</v>
      </c>
      <c r="N23" s="86">
        <f>VLOOKUP($A23,'Data shares'!$C:$FA,78)</f>
        <v>8406925</v>
      </c>
      <c r="O23" s="87">
        <f>VLOOKUP($A23,'Data shares'!$C:$FA,81)</f>
        <v>1.8200000000000001E-2</v>
      </c>
    </row>
    <row r="24" spans="1:15" x14ac:dyDescent="0.25">
      <c r="A24" s="100" t="str">
        <f>'Data Vlaue (Cr)'!C19</f>
        <v>AUBANK</v>
      </c>
      <c r="B24" s="82">
        <f>VLOOKUP(A24,'Data shares'!$C$2:$CV$220,98,0)</f>
        <v>35446000</v>
      </c>
      <c r="C24" s="82">
        <f>VLOOKUP(A24,'Data shares'!$C$2:$CX$220,100,0)</f>
        <v>647000</v>
      </c>
      <c r="D24" s="141">
        <f>VLOOKUP(A24,'Data shares'!$C$2:$CY$543,101,0)</f>
        <v>1.8599999999999998E-2</v>
      </c>
      <c r="E24" s="86">
        <f>VLOOKUP($A24,'Data shares'!$C:$FA,74)</f>
        <v>25322000</v>
      </c>
      <c r="F24" s="86">
        <f>VLOOKUP($A24,'Data shares'!$C:$FA,76)</f>
        <v>163000</v>
      </c>
      <c r="G24" s="87">
        <f>VLOOKUP(A24,'Data shares'!$C$2:$CA$220,77,0)</f>
        <v>6.4999999999999997E-3</v>
      </c>
      <c r="H24" s="86">
        <f>VLOOKUP($A24,'Data shares'!$C:$FA,90)</f>
        <v>5348000</v>
      </c>
      <c r="I24" s="86">
        <f>VLOOKUP($A24,'Data shares'!$C:$FA,92)</f>
        <v>90000</v>
      </c>
      <c r="J24" s="87">
        <f>VLOOKUP($A24,'Data shares'!$C:$FA,93)</f>
        <v>1.7100000000000001E-2</v>
      </c>
      <c r="K24" s="86">
        <f>VLOOKUP($A24,'Data shares'!$C:$FA,94)</f>
        <v>4776000</v>
      </c>
      <c r="L24" s="86">
        <f>VLOOKUP($A24,'Data shares'!$C:$FA,96)</f>
        <v>394000</v>
      </c>
      <c r="M24" s="87">
        <f>VLOOKUP($A24,'Data shares'!$C:$FA,97)</f>
        <v>8.9899999999999994E-2</v>
      </c>
      <c r="N24" s="86">
        <f>VLOOKUP($A24,'Data shares'!$C:$FA,78)</f>
        <v>24632000</v>
      </c>
      <c r="O24" s="87">
        <f>VLOOKUP($A24,'Data shares'!$C:$FA,81)</f>
        <v>2.3E-3</v>
      </c>
    </row>
    <row r="25" spans="1:15" x14ac:dyDescent="0.25">
      <c r="A25" s="100" t="str">
        <f>'Data Vlaue (Cr)'!C20</f>
        <v>AUROPHARMA</v>
      </c>
      <c r="B25" s="82">
        <f>VLOOKUP(A25,'Data shares'!$C$2:$CV$220,98,0)</f>
        <v>27310800</v>
      </c>
      <c r="C25" s="82">
        <f>VLOOKUP(A25,'Data shares'!$C$2:$CX$220,100,0)</f>
        <v>-51150</v>
      </c>
      <c r="D25" s="141">
        <f>VLOOKUP(A25,'Data shares'!$C$2:$CY$543,101,0)</f>
        <v>-1.9E-3</v>
      </c>
      <c r="E25" s="86">
        <f>VLOOKUP($A25,'Data shares'!$C:$FA,74)</f>
        <v>21367500</v>
      </c>
      <c r="F25" s="86">
        <f>VLOOKUP($A25,'Data shares'!$C:$FA,76)</f>
        <v>56650</v>
      </c>
      <c r="G25" s="87">
        <f>VLOOKUP(A25,'Data shares'!$C$2:$CA$220,77,0)</f>
        <v>2.7000000000000001E-3</v>
      </c>
      <c r="H25" s="86">
        <f>VLOOKUP($A25,'Data shares'!$C:$FA,90)</f>
        <v>3554100</v>
      </c>
      <c r="I25" s="86">
        <f>VLOOKUP($A25,'Data shares'!$C:$FA,92)</f>
        <v>-165000</v>
      </c>
      <c r="J25" s="87">
        <f>VLOOKUP($A25,'Data shares'!$C:$FA,93)</f>
        <v>-4.4400000000000002E-2</v>
      </c>
      <c r="K25" s="86">
        <f>VLOOKUP($A25,'Data shares'!$C:$FA,94)</f>
        <v>2389200</v>
      </c>
      <c r="L25" s="86">
        <f>VLOOKUP($A25,'Data shares'!$C:$FA,96)</f>
        <v>57200</v>
      </c>
      <c r="M25" s="87">
        <f>VLOOKUP($A25,'Data shares'!$C:$FA,97)</f>
        <v>2.4500000000000001E-2</v>
      </c>
      <c r="N25" s="86">
        <f>VLOOKUP($A25,'Data shares'!$C:$FA,78)</f>
        <v>21173350</v>
      </c>
      <c r="O25" s="87">
        <f>VLOOKUP($A25,'Data shares'!$C:$FA,81)</f>
        <v>1.9E-3</v>
      </c>
    </row>
    <row r="26" spans="1:15" x14ac:dyDescent="0.25">
      <c r="A26" s="100" t="str">
        <f>'Data Vlaue (Cr)'!C21</f>
        <v>AXISBANK</v>
      </c>
      <c r="B26" s="82">
        <f>VLOOKUP(A26,'Data shares'!$C$2:$CV$220,98,0)</f>
        <v>92249375</v>
      </c>
      <c r="C26" s="82">
        <f>VLOOKUP(A26,'Data shares'!$C$2:$CX$220,100,0)</f>
        <v>380625</v>
      </c>
      <c r="D26" s="141">
        <f>VLOOKUP(A26,'Data shares'!$C$2:$CY$543,101,0)</f>
        <v>4.1000000000000003E-3</v>
      </c>
      <c r="E26" s="86">
        <f>VLOOKUP($A26,'Data shares'!$C:$FA,74)</f>
        <v>68890000</v>
      </c>
      <c r="F26" s="86">
        <f>VLOOKUP($A26,'Data shares'!$C:$FA,76)</f>
        <v>-19375</v>
      </c>
      <c r="G26" s="87">
        <f>VLOOKUP(A26,'Data shares'!$C$2:$CA$220,77,0)</f>
        <v>-2.9999999999999997E-4</v>
      </c>
      <c r="H26" s="86">
        <f>VLOOKUP($A26,'Data shares'!$C:$FA,90)</f>
        <v>12319375</v>
      </c>
      <c r="I26" s="86">
        <f>VLOOKUP($A26,'Data shares'!$C:$FA,92)</f>
        <v>852500</v>
      </c>
      <c r="J26" s="87">
        <f>VLOOKUP($A26,'Data shares'!$C:$FA,93)</f>
        <v>7.4300000000000005E-2</v>
      </c>
      <c r="K26" s="86">
        <f>VLOOKUP($A26,'Data shares'!$C:$FA,94)</f>
        <v>11040000</v>
      </c>
      <c r="L26" s="86">
        <f>VLOOKUP($A26,'Data shares'!$C:$FA,96)</f>
        <v>-452500</v>
      </c>
      <c r="M26" s="87">
        <f>VLOOKUP($A26,'Data shares'!$C:$FA,97)</f>
        <v>-3.9399999999999998E-2</v>
      </c>
      <c r="N26" s="86">
        <f>VLOOKUP($A26,'Data shares'!$C:$FA,78)</f>
        <v>54603125</v>
      </c>
      <c r="O26" s="87">
        <f>VLOOKUP($A26,'Data shares'!$C:$FA,81)</f>
        <v>-4.8999999999999998E-3</v>
      </c>
    </row>
    <row r="27" spans="1:15" x14ac:dyDescent="0.25">
      <c r="A27" s="100" t="str">
        <f>'Data Vlaue (Cr)'!C22</f>
        <v>BAJAJ-AUTO</v>
      </c>
      <c r="B27" s="82">
        <f>VLOOKUP(A27,'Data shares'!$C$2:$CV$220,98,0)</f>
        <v>4895925</v>
      </c>
      <c r="C27" s="82">
        <f>VLOOKUP(A27,'Data shares'!$C$2:$CX$220,100,0)</f>
        <v>258375</v>
      </c>
      <c r="D27" s="141">
        <f>VLOOKUP(A27,'Data shares'!$C$2:$CY$543,101,0)</f>
        <v>5.57E-2</v>
      </c>
      <c r="E27" s="86">
        <f>VLOOKUP($A27,'Data shares'!$C:$FA,74)</f>
        <v>3323325</v>
      </c>
      <c r="F27" s="86">
        <f>VLOOKUP($A27,'Data shares'!$C:$FA,76)</f>
        <v>37575</v>
      </c>
      <c r="G27" s="87">
        <f>VLOOKUP(A27,'Data shares'!$C$2:$CA$220,77,0)</f>
        <v>1.14E-2</v>
      </c>
      <c r="H27" s="86">
        <f>VLOOKUP($A27,'Data shares'!$C:$FA,90)</f>
        <v>835650</v>
      </c>
      <c r="I27" s="86">
        <f>VLOOKUP($A27,'Data shares'!$C:$FA,92)</f>
        <v>116400</v>
      </c>
      <c r="J27" s="87">
        <f>VLOOKUP($A27,'Data shares'!$C:$FA,93)</f>
        <v>0.1618</v>
      </c>
      <c r="K27" s="86">
        <f>VLOOKUP($A27,'Data shares'!$C:$FA,94)</f>
        <v>736950</v>
      </c>
      <c r="L27" s="86">
        <f>VLOOKUP($A27,'Data shares'!$C:$FA,96)</f>
        <v>104400</v>
      </c>
      <c r="M27" s="87">
        <f>VLOOKUP($A27,'Data shares'!$C:$FA,97)</f>
        <v>0.16500000000000001</v>
      </c>
      <c r="N27" s="86">
        <f>VLOOKUP($A27,'Data shares'!$C:$FA,78)</f>
        <v>3249300</v>
      </c>
      <c r="O27" s="87">
        <f>VLOOKUP($A27,'Data shares'!$C:$FA,81)</f>
        <v>5.8999999999999999E-3</v>
      </c>
    </row>
    <row r="28" spans="1:15" x14ac:dyDescent="0.25">
      <c r="A28" s="100" t="str">
        <f>'Data Vlaue (Cr)'!C23</f>
        <v>BAJAJFINSV</v>
      </c>
      <c r="B28" s="82">
        <f>VLOOKUP(A28,'Data shares'!$C$2:$CV$220,98,0)</f>
        <v>18158000</v>
      </c>
      <c r="C28" s="82">
        <f>VLOOKUP(A28,'Data shares'!$C$2:$CX$220,100,0)</f>
        <v>551000</v>
      </c>
      <c r="D28" s="141">
        <f>VLOOKUP(A28,'Data shares'!$C$2:$CY$543,101,0)</f>
        <v>3.1300000000000001E-2</v>
      </c>
      <c r="E28" s="86">
        <f>VLOOKUP($A28,'Data shares'!$C:$FA,74)</f>
        <v>11751750</v>
      </c>
      <c r="F28" s="86">
        <f>VLOOKUP($A28,'Data shares'!$C:$FA,76)</f>
        <v>124250</v>
      </c>
      <c r="G28" s="87">
        <f>VLOOKUP(A28,'Data shares'!$C$2:$CA$220,77,0)</f>
        <v>1.0699999999999999E-2</v>
      </c>
      <c r="H28" s="86">
        <f>VLOOKUP($A28,'Data shares'!$C:$FA,90)</f>
        <v>3050250</v>
      </c>
      <c r="I28" s="86">
        <f>VLOOKUP($A28,'Data shares'!$C:$FA,92)</f>
        <v>73500</v>
      </c>
      <c r="J28" s="87">
        <f>VLOOKUP($A28,'Data shares'!$C:$FA,93)</f>
        <v>2.47E-2</v>
      </c>
      <c r="K28" s="86">
        <f>VLOOKUP($A28,'Data shares'!$C:$FA,94)</f>
        <v>3356000</v>
      </c>
      <c r="L28" s="86">
        <f>VLOOKUP($A28,'Data shares'!$C:$FA,96)</f>
        <v>353250</v>
      </c>
      <c r="M28" s="87">
        <f>VLOOKUP($A28,'Data shares'!$C:$FA,97)</f>
        <v>0.1176</v>
      </c>
      <c r="N28" s="86">
        <f>VLOOKUP($A28,'Data shares'!$C:$FA,78)</f>
        <v>10101750</v>
      </c>
      <c r="O28" s="87">
        <f>VLOOKUP($A28,'Data shares'!$C:$FA,81)</f>
        <v>1.03E-2</v>
      </c>
    </row>
    <row r="29" spans="1:15" x14ac:dyDescent="0.25">
      <c r="A29" s="100" t="str">
        <f>'Data Vlaue (Cr)'!C24</f>
        <v>BAJAJHLDNG</v>
      </c>
      <c r="B29" s="82">
        <f>VLOOKUP(A29,'Data shares'!$C$2:$CV$220,98,0)</f>
        <v>368800</v>
      </c>
      <c r="C29" s="82">
        <f>VLOOKUP(A29,'Data shares'!$C$2:$CX$220,100,0)</f>
        <v>13600</v>
      </c>
      <c r="D29" s="141">
        <f>VLOOKUP(A29,'Data shares'!$C$2:$CY$543,101,0)</f>
        <v>3.8300000000000001E-2</v>
      </c>
      <c r="E29" s="86">
        <f>VLOOKUP($A29,'Data shares'!$C:$FA,74)</f>
        <v>283750</v>
      </c>
      <c r="F29" s="86">
        <f>VLOOKUP($A29,'Data shares'!$C:$FA,76)</f>
        <v>8100</v>
      </c>
      <c r="G29" s="87">
        <f>VLOOKUP(A29,'Data shares'!$C$2:$CA$220,77,0)</f>
        <v>2.9399999999999999E-2</v>
      </c>
      <c r="H29" s="86">
        <f>VLOOKUP($A29,'Data shares'!$C:$FA,90)</f>
        <v>51000</v>
      </c>
      <c r="I29" s="86">
        <f>VLOOKUP($A29,'Data shares'!$C:$FA,92)</f>
        <v>3500</v>
      </c>
      <c r="J29" s="87">
        <f>VLOOKUP($A29,'Data shares'!$C:$FA,93)</f>
        <v>7.3700000000000002E-2</v>
      </c>
      <c r="K29" s="86">
        <f>VLOOKUP($A29,'Data shares'!$C:$FA,94)</f>
        <v>34050</v>
      </c>
      <c r="L29" s="86">
        <f>VLOOKUP($A29,'Data shares'!$C:$FA,96)</f>
        <v>2000</v>
      </c>
      <c r="M29" s="87">
        <f>VLOOKUP($A29,'Data shares'!$C:$FA,97)</f>
        <v>6.2399999999999997E-2</v>
      </c>
      <c r="N29" s="86">
        <f>VLOOKUP($A29,'Data shares'!$C:$FA,78)</f>
        <v>251700</v>
      </c>
      <c r="O29" s="87">
        <f>VLOOKUP($A29,'Data shares'!$C:$FA,81)</f>
        <v>3.0700000000000002E-2</v>
      </c>
    </row>
    <row r="30" spans="1:15" x14ac:dyDescent="0.25">
      <c r="A30" s="100" t="str">
        <f>'Data Vlaue (Cr)'!C25</f>
        <v>BAJFINANCE</v>
      </c>
      <c r="B30" s="82">
        <f>VLOOKUP(A30,'Data shares'!$C$2:$CV$220,98,0)</f>
        <v>104595000</v>
      </c>
      <c r="C30" s="82">
        <f>VLOOKUP(A30,'Data shares'!$C$2:$CX$220,100,0)</f>
        <v>2280750</v>
      </c>
      <c r="D30" s="141">
        <f>VLOOKUP(A30,'Data shares'!$C$2:$CY$543,101,0)</f>
        <v>2.23E-2</v>
      </c>
      <c r="E30" s="86">
        <f>VLOOKUP($A30,'Data shares'!$C:$FA,74)</f>
        <v>71964000</v>
      </c>
      <c r="F30" s="86">
        <f>VLOOKUP($A30,'Data shares'!$C:$FA,76)</f>
        <v>552000</v>
      </c>
      <c r="G30" s="87">
        <f>VLOOKUP(A30,'Data shares'!$C$2:$CA$220,77,0)</f>
        <v>7.7000000000000002E-3</v>
      </c>
      <c r="H30" s="86">
        <f>VLOOKUP($A30,'Data shares'!$C:$FA,90)</f>
        <v>17810250</v>
      </c>
      <c r="I30" s="86">
        <f>VLOOKUP($A30,'Data shares'!$C:$FA,92)</f>
        <v>875250</v>
      </c>
      <c r="J30" s="87">
        <f>VLOOKUP($A30,'Data shares'!$C:$FA,93)</f>
        <v>5.1700000000000003E-2</v>
      </c>
      <c r="K30" s="86">
        <f>VLOOKUP($A30,'Data shares'!$C:$FA,94)</f>
        <v>14820750</v>
      </c>
      <c r="L30" s="86">
        <f>VLOOKUP($A30,'Data shares'!$C:$FA,96)</f>
        <v>853500</v>
      </c>
      <c r="M30" s="87">
        <f>VLOOKUP($A30,'Data shares'!$C:$FA,97)</f>
        <v>6.1100000000000002E-2</v>
      </c>
      <c r="N30" s="86">
        <f>VLOOKUP($A30,'Data shares'!$C:$FA,78)</f>
        <v>67948500</v>
      </c>
      <c r="O30" s="87">
        <f>VLOOKUP($A30,'Data shares'!$C:$FA,81)</f>
        <v>6.4000000000000003E-3</v>
      </c>
    </row>
    <row r="31" spans="1:15" x14ac:dyDescent="0.25">
      <c r="A31" s="100" t="str">
        <f>'Data Vlaue (Cr)'!C26</f>
        <v>BANDHANBNK</v>
      </c>
      <c r="B31" s="82">
        <f>VLOOKUP(A31,'Data shares'!$C$2:$CV$220,98,0)</f>
        <v>131428800</v>
      </c>
      <c r="C31" s="82">
        <f>VLOOKUP(A31,'Data shares'!$C$2:$CX$220,100,0)</f>
        <v>2800800</v>
      </c>
      <c r="D31" s="141">
        <f>VLOOKUP(A31,'Data shares'!$C$2:$CY$543,101,0)</f>
        <v>2.18E-2</v>
      </c>
      <c r="E31" s="86">
        <f>VLOOKUP($A31,'Data shares'!$C:$FA,74)</f>
        <v>91450800</v>
      </c>
      <c r="F31" s="86">
        <f>VLOOKUP($A31,'Data shares'!$C:$FA,76)</f>
        <v>-572400</v>
      </c>
      <c r="G31" s="87">
        <f>VLOOKUP(A31,'Data shares'!$C$2:$CA$220,77,0)</f>
        <v>-6.1999999999999998E-3</v>
      </c>
      <c r="H31" s="86">
        <f>VLOOKUP($A31,'Data shares'!$C:$FA,90)</f>
        <v>22654800</v>
      </c>
      <c r="I31" s="86">
        <f>VLOOKUP($A31,'Data shares'!$C:$FA,92)</f>
        <v>1904400</v>
      </c>
      <c r="J31" s="87">
        <f>VLOOKUP($A31,'Data shares'!$C:$FA,93)</f>
        <v>9.1800000000000007E-2</v>
      </c>
      <c r="K31" s="86">
        <f>VLOOKUP($A31,'Data shares'!$C:$FA,94)</f>
        <v>17323200</v>
      </c>
      <c r="L31" s="86">
        <f>VLOOKUP($A31,'Data shares'!$C:$FA,96)</f>
        <v>1468800</v>
      </c>
      <c r="M31" s="87">
        <f>VLOOKUP($A31,'Data shares'!$C:$FA,97)</f>
        <v>9.2600000000000002E-2</v>
      </c>
      <c r="N31" s="86">
        <f>VLOOKUP($A31,'Data shares'!$C:$FA,78)</f>
        <v>87775200</v>
      </c>
      <c r="O31" s="87">
        <f>VLOOKUP($A31,'Data shares'!$C:$FA,81)</f>
        <v>-7.3000000000000001E-3</v>
      </c>
    </row>
    <row r="32" spans="1:15" x14ac:dyDescent="0.25">
      <c r="A32" s="100" t="str">
        <f>'Data Vlaue (Cr)'!C27</f>
        <v>BANKBARODA</v>
      </c>
      <c r="B32" s="82">
        <f>VLOOKUP(A32,'Data shares'!$C$2:$CV$220,98,0)</f>
        <v>175508775</v>
      </c>
      <c r="C32" s="82">
        <f>VLOOKUP(A32,'Data shares'!$C$2:$CX$220,100,0)</f>
        <v>4952025</v>
      </c>
      <c r="D32" s="141">
        <f>VLOOKUP(A32,'Data shares'!$C$2:$CY$543,101,0)</f>
        <v>2.9000000000000001E-2</v>
      </c>
      <c r="E32" s="86">
        <f>VLOOKUP($A32,'Data shares'!$C:$FA,74)</f>
        <v>106800525</v>
      </c>
      <c r="F32" s="86">
        <f>VLOOKUP($A32,'Data shares'!$C:$FA,76)</f>
        <v>962325</v>
      </c>
      <c r="G32" s="87">
        <f>VLOOKUP(A32,'Data shares'!$C$2:$CA$220,77,0)</f>
        <v>9.1000000000000004E-3</v>
      </c>
      <c r="H32" s="86">
        <f>VLOOKUP($A32,'Data shares'!$C:$FA,90)</f>
        <v>35617725</v>
      </c>
      <c r="I32" s="86">
        <f>VLOOKUP($A32,'Data shares'!$C:$FA,92)</f>
        <v>2761200</v>
      </c>
      <c r="J32" s="87">
        <f>VLOOKUP($A32,'Data shares'!$C:$FA,93)</f>
        <v>8.4000000000000005E-2</v>
      </c>
      <c r="K32" s="86">
        <f>VLOOKUP($A32,'Data shares'!$C:$FA,94)</f>
        <v>33090525</v>
      </c>
      <c r="L32" s="86">
        <f>VLOOKUP($A32,'Data shares'!$C:$FA,96)</f>
        <v>1228500</v>
      </c>
      <c r="M32" s="87">
        <f>VLOOKUP($A32,'Data shares'!$C:$FA,97)</f>
        <v>3.8600000000000002E-2</v>
      </c>
      <c r="N32" s="86">
        <f>VLOOKUP($A32,'Data shares'!$C:$FA,78)</f>
        <v>103027275</v>
      </c>
      <c r="O32" s="87">
        <f>VLOOKUP($A32,'Data shares'!$C:$FA,81)</f>
        <v>5.3E-3</v>
      </c>
    </row>
    <row r="33" spans="1:15" x14ac:dyDescent="0.25">
      <c r="A33" s="100" t="str">
        <f>'Data Vlaue (Cr)'!C28</f>
        <v>BANKINDIA</v>
      </c>
      <c r="B33" s="82">
        <f>VLOOKUP(A33,'Data shares'!$C$2:$CV$220,98,0)</f>
        <v>96454800</v>
      </c>
      <c r="C33" s="82">
        <f>VLOOKUP(A33,'Data shares'!$C$2:$CX$220,100,0)</f>
        <v>7051200</v>
      </c>
      <c r="D33" s="141">
        <f>VLOOKUP(A33,'Data shares'!$C$2:$CY$543,101,0)</f>
        <v>7.8899999999999998E-2</v>
      </c>
      <c r="E33" s="86">
        <f>VLOOKUP($A33,'Data shares'!$C:$FA,74)</f>
        <v>58099600</v>
      </c>
      <c r="F33" s="86">
        <f>VLOOKUP($A33,'Data shares'!$C:$FA,76)</f>
        <v>2090400</v>
      </c>
      <c r="G33" s="87">
        <f>VLOOKUP(A33,'Data shares'!$C$2:$CA$220,77,0)</f>
        <v>3.73E-2</v>
      </c>
      <c r="H33" s="86">
        <f>VLOOKUP($A33,'Data shares'!$C:$FA,90)</f>
        <v>17492800</v>
      </c>
      <c r="I33" s="86">
        <f>VLOOKUP($A33,'Data shares'!$C:$FA,92)</f>
        <v>1123200</v>
      </c>
      <c r="J33" s="87">
        <f>VLOOKUP($A33,'Data shares'!$C:$FA,93)</f>
        <v>6.8599999999999994E-2</v>
      </c>
      <c r="K33" s="86">
        <f>VLOOKUP($A33,'Data shares'!$C:$FA,94)</f>
        <v>20862400</v>
      </c>
      <c r="L33" s="86">
        <f>VLOOKUP($A33,'Data shares'!$C:$FA,96)</f>
        <v>3837600</v>
      </c>
      <c r="M33" s="87">
        <f>VLOOKUP($A33,'Data shares'!$C:$FA,97)</f>
        <v>0.22539999999999999</v>
      </c>
      <c r="N33" s="86">
        <f>VLOOKUP($A33,'Data shares'!$C:$FA,78)</f>
        <v>55936400</v>
      </c>
      <c r="O33" s="87">
        <f>VLOOKUP($A33,'Data shares'!$C:$FA,81)</f>
        <v>3.0800000000000001E-2</v>
      </c>
    </row>
    <row r="34" spans="1:15" x14ac:dyDescent="0.25">
      <c r="A34" s="100" t="str">
        <f>'Data Vlaue (Cr)'!C29</f>
        <v>BANKNIFTY</v>
      </c>
      <c r="B34" s="82">
        <f>VLOOKUP(A34,'Data shares'!$C$2:$CV$220,98,0)</f>
        <v>32350950</v>
      </c>
      <c r="C34" s="82">
        <f>VLOOKUP(A34,'Data shares'!$C$2:$CX$220,100,0)</f>
        <v>1430670</v>
      </c>
      <c r="D34" s="141">
        <f>VLOOKUP(A34,'Data shares'!$C$2:$CY$543,101,0)</f>
        <v>4.6300000000000001E-2</v>
      </c>
      <c r="E34" s="86">
        <f>VLOOKUP($A34,'Data shares'!$C:$FA,74)</f>
        <v>2506380</v>
      </c>
      <c r="F34" s="86">
        <f>VLOOKUP($A34,'Data shares'!$C:$FA,76)</f>
        <v>15600</v>
      </c>
      <c r="G34" s="87">
        <f>VLOOKUP(A34,'Data shares'!$C$2:$CA$220,77,0)</f>
        <v>6.3E-3</v>
      </c>
      <c r="H34" s="86">
        <f>VLOOKUP($A34,'Data shares'!$C:$FA,90)</f>
        <v>16838670</v>
      </c>
      <c r="I34" s="86">
        <f>VLOOKUP($A34,'Data shares'!$C:$FA,92)</f>
        <v>1083420</v>
      </c>
      <c r="J34" s="87">
        <f>VLOOKUP($A34,'Data shares'!$C:$FA,93)</f>
        <v>6.88E-2</v>
      </c>
      <c r="K34" s="86">
        <f>VLOOKUP($A34,'Data shares'!$C:$FA,94)</f>
        <v>13005900</v>
      </c>
      <c r="L34" s="86">
        <f>VLOOKUP($A34,'Data shares'!$C:$FA,96)</f>
        <v>331650</v>
      </c>
      <c r="M34" s="87">
        <f>VLOOKUP($A34,'Data shares'!$C:$FA,97)</f>
        <v>2.6200000000000001E-2</v>
      </c>
      <c r="N34" s="86">
        <f>VLOOKUP($A34,'Data shares'!$C:$FA,78)</f>
        <v>2105550</v>
      </c>
      <c r="O34" s="87">
        <f>VLOOKUP($A34,'Data shares'!$C:$FA,81)</f>
        <v>-4.1999999999999997E-3</v>
      </c>
    </row>
    <row r="35" spans="1:15" x14ac:dyDescent="0.25">
      <c r="A35" s="100" t="str">
        <f>'Data Vlaue (Cr)'!C30</f>
        <v>BDL</v>
      </c>
      <c r="B35" s="82">
        <f>VLOOKUP(A35,'Data shares'!$C$2:$CV$220,98,0)</f>
        <v>8701350</v>
      </c>
      <c r="C35" s="82">
        <f>VLOOKUP(A35,'Data shares'!$C$2:$CX$220,100,0)</f>
        <v>239050</v>
      </c>
      <c r="D35" s="141">
        <f>VLOOKUP(A35,'Data shares'!$C$2:$CY$543,101,0)</f>
        <v>2.8199999999999999E-2</v>
      </c>
      <c r="E35" s="86">
        <f>VLOOKUP($A35,'Data shares'!$C:$FA,74)</f>
        <v>4003300</v>
      </c>
      <c r="F35" s="86">
        <f>VLOOKUP($A35,'Data shares'!$C:$FA,76)</f>
        <v>55650</v>
      </c>
      <c r="G35" s="87">
        <f>VLOOKUP(A35,'Data shares'!$C$2:$CA$220,77,0)</f>
        <v>1.41E-2</v>
      </c>
      <c r="H35" s="86">
        <f>VLOOKUP($A35,'Data shares'!$C:$FA,90)</f>
        <v>2551150</v>
      </c>
      <c r="I35" s="86">
        <f>VLOOKUP($A35,'Data shares'!$C:$FA,92)</f>
        <v>4550</v>
      </c>
      <c r="J35" s="87">
        <f>VLOOKUP($A35,'Data shares'!$C:$FA,93)</f>
        <v>1.8E-3</v>
      </c>
      <c r="K35" s="86">
        <f>VLOOKUP($A35,'Data shares'!$C:$FA,94)</f>
        <v>2146900</v>
      </c>
      <c r="L35" s="86">
        <f>VLOOKUP($A35,'Data shares'!$C:$FA,96)</f>
        <v>178850</v>
      </c>
      <c r="M35" s="87">
        <f>VLOOKUP($A35,'Data shares'!$C:$FA,97)</f>
        <v>9.0899999999999995E-2</v>
      </c>
      <c r="N35" s="86">
        <f>VLOOKUP($A35,'Data shares'!$C:$FA,78)</f>
        <v>3463250</v>
      </c>
      <c r="O35" s="87">
        <f>VLOOKUP($A35,'Data shares'!$C:$FA,81)</f>
        <v>-4.7999999999999996E-3</v>
      </c>
    </row>
    <row r="36" spans="1:15" x14ac:dyDescent="0.25">
      <c r="A36" s="100" t="str">
        <f>'Data Vlaue (Cr)'!C31</f>
        <v>BEL</v>
      </c>
      <c r="B36" s="82">
        <f>VLOOKUP(A36,'Data shares'!$C$2:$CV$220,98,0)</f>
        <v>167494500</v>
      </c>
      <c r="C36" s="82">
        <f>VLOOKUP(A36,'Data shares'!$C$2:$CX$220,100,0)</f>
        <v>2701800</v>
      </c>
      <c r="D36" s="141">
        <f>VLOOKUP(A36,'Data shares'!$C$2:$CY$543,101,0)</f>
        <v>1.6400000000000001E-2</v>
      </c>
      <c r="E36" s="86">
        <f>VLOOKUP($A36,'Data shares'!$C:$FA,74)</f>
        <v>102547275</v>
      </c>
      <c r="F36" s="86">
        <f>VLOOKUP($A36,'Data shares'!$C:$FA,76)</f>
        <v>-1338075</v>
      </c>
      <c r="G36" s="87">
        <f>VLOOKUP(A36,'Data shares'!$C$2:$CA$220,77,0)</f>
        <v>-1.29E-2</v>
      </c>
      <c r="H36" s="86">
        <f>VLOOKUP($A36,'Data shares'!$C:$FA,90)</f>
        <v>39213150</v>
      </c>
      <c r="I36" s="86">
        <f>VLOOKUP($A36,'Data shares'!$C:$FA,92)</f>
        <v>1422150</v>
      </c>
      <c r="J36" s="87">
        <f>VLOOKUP($A36,'Data shares'!$C:$FA,93)</f>
        <v>3.7600000000000001E-2</v>
      </c>
      <c r="K36" s="86">
        <f>VLOOKUP($A36,'Data shares'!$C:$FA,94)</f>
        <v>25734075</v>
      </c>
      <c r="L36" s="86">
        <f>VLOOKUP($A36,'Data shares'!$C:$FA,96)</f>
        <v>2617725</v>
      </c>
      <c r="M36" s="87">
        <f>VLOOKUP($A36,'Data shares'!$C:$FA,97)</f>
        <v>0.1132</v>
      </c>
      <c r="N36" s="86">
        <f>VLOOKUP($A36,'Data shares'!$C:$FA,78)</f>
        <v>93829125</v>
      </c>
      <c r="O36" s="87">
        <f>VLOOKUP($A36,'Data shares'!$C:$FA,81)</f>
        <v>-1.9800000000000002E-2</v>
      </c>
    </row>
    <row r="37" spans="1:15" x14ac:dyDescent="0.25">
      <c r="A37" s="100" t="str">
        <f>'Data Vlaue (Cr)'!C32</f>
        <v>BHARATFORG</v>
      </c>
      <c r="B37" s="82">
        <f>VLOOKUP(A37,'Data shares'!$C$2:$CV$220,98,0)</f>
        <v>12773500</v>
      </c>
      <c r="C37" s="82">
        <f>VLOOKUP(A37,'Data shares'!$C$2:$CX$220,100,0)</f>
        <v>423000</v>
      </c>
      <c r="D37" s="141">
        <f>VLOOKUP(A37,'Data shares'!$C$2:$CY$543,101,0)</f>
        <v>3.4200000000000001E-2</v>
      </c>
      <c r="E37" s="86">
        <f>VLOOKUP($A37,'Data shares'!$C:$FA,74)</f>
        <v>8248000</v>
      </c>
      <c r="F37" s="86">
        <f>VLOOKUP($A37,'Data shares'!$C:$FA,76)</f>
        <v>203000</v>
      </c>
      <c r="G37" s="87">
        <f>VLOOKUP(A37,'Data shares'!$C$2:$CA$220,77,0)</f>
        <v>2.52E-2</v>
      </c>
      <c r="H37" s="86">
        <f>VLOOKUP($A37,'Data shares'!$C:$FA,90)</f>
        <v>2945500</v>
      </c>
      <c r="I37" s="86">
        <f>VLOOKUP($A37,'Data shares'!$C:$FA,92)</f>
        <v>231500</v>
      </c>
      <c r="J37" s="87">
        <f>VLOOKUP($A37,'Data shares'!$C:$FA,93)</f>
        <v>8.5300000000000001E-2</v>
      </c>
      <c r="K37" s="86">
        <f>VLOOKUP($A37,'Data shares'!$C:$FA,94)</f>
        <v>1580000</v>
      </c>
      <c r="L37" s="86">
        <f>VLOOKUP($A37,'Data shares'!$C:$FA,96)</f>
        <v>-11500</v>
      </c>
      <c r="M37" s="87">
        <f>VLOOKUP($A37,'Data shares'!$C:$FA,97)</f>
        <v>-7.1999999999999998E-3</v>
      </c>
      <c r="N37" s="86">
        <f>VLOOKUP($A37,'Data shares'!$C:$FA,78)</f>
        <v>8116000</v>
      </c>
      <c r="O37" s="87">
        <f>VLOOKUP($A37,'Data shares'!$C:$FA,81)</f>
        <v>2.24E-2</v>
      </c>
    </row>
    <row r="38" spans="1:15" x14ac:dyDescent="0.25">
      <c r="A38" s="100" t="str">
        <f>'Data Vlaue (Cr)'!C33</f>
        <v>BHARTIARTL</v>
      </c>
      <c r="B38" s="82">
        <f>VLOOKUP(A38,'Data shares'!$C$2:$CV$220,98,0)</f>
        <v>75458025</v>
      </c>
      <c r="C38" s="82">
        <f>VLOOKUP(A38,'Data shares'!$C$2:$CX$220,100,0)</f>
        <v>135850</v>
      </c>
      <c r="D38" s="141">
        <f>VLOOKUP(A38,'Data shares'!$C$2:$CY$543,101,0)</f>
        <v>1.8E-3</v>
      </c>
      <c r="E38" s="86">
        <f>VLOOKUP($A38,'Data shares'!$C:$FA,74)</f>
        <v>59022550</v>
      </c>
      <c r="F38" s="86">
        <f>VLOOKUP($A38,'Data shares'!$C:$FA,76)</f>
        <v>-30875</v>
      </c>
      <c r="G38" s="87">
        <f>VLOOKUP(A38,'Data shares'!$C$2:$CA$220,77,0)</f>
        <v>-5.0000000000000001E-4</v>
      </c>
      <c r="H38" s="86">
        <f>VLOOKUP($A38,'Data shares'!$C:$FA,90)</f>
        <v>8754250</v>
      </c>
      <c r="I38" s="86">
        <f>VLOOKUP($A38,'Data shares'!$C:$FA,92)</f>
        <v>73150</v>
      </c>
      <c r="J38" s="87">
        <f>VLOOKUP($A38,'Data shares'!$C:$FA,93)</f>
        <v>8.3999999999999995E-3</v>
      </c>
      <c r="K38" s="86">
        <f>VLOOKUP($A38,'Data shares'!$C:$FA,94)</f>
        <v>7681225</v>
      </c>
      <c r="L38" s="86">
        <f>VLOOKUP($A38,'Data shares'!$C:$FA,96)</f>
        <v>93575</v>
      </c>
      <c r="M38" s="87">
        <f>VLOOKUP($A38,'Data shares'!$C:$FA,97)</f>
        <v>1.23E-2</v>
      </c>
      <c r="N38" s="86">
        <f>VLOOKUP($A38,'Data shares'!$C:$FA,78)</f>
        <v>50047425</v>
      </c>
      <c r="O38" s="87">
        <f>VLOOKUP($A38,'Data shares'!$C:$FA,81)</f>
        <v>-1.18E-2</v>
      </c>
    </row>
    <row r="39" spans="1:15" x14ac:dyDescent="0.25">
      <c r="A39" s="100" t="str">
        <f>'Data Vlaue (Cr)'!C34</f>
        <v>BHEL</v>
      </c>
      <c r="B39" s="82">
        <f>VLOOKUP(A39,'Data shares'!$C$2:$CV$220,98,0)</f>
        <v>155284500</v>
      </c>
      <c r="C39" s="82">
        <f>VLOOKUP(A39,'Data shares'!$C$2:$CX$220,100,0)</f>
        <v>3958500</v>
      </c>
      <c r="D39" s="141">
        <f>VLOOKUP(A39,'Data shares'!$C$2:$CY$543,101,0)</f>
        <v>2.6200000000000001E-2</v>
      </c>
      <c r="E39" s="86">
        <f>VLOOKUP($A39,'Data shares'!$C:$FA,74)</f>
        <v>98366625</v>
      </c>
      <c r="F39" s="86">
        <f>VLOOKUP($A39,'Data shares'!$C:$FA,76)</f>
        <v>-359625</v>
      </c>
      <c r="G39" s="87">
        <f>VLOOKUP(A39,'Data shares'!$C$2:$CA$220,77,0)</f>
        <v>-3.5999999999999999E-3</v>
      </c>
      <c r="H39" s="86">
        <f>VLOOKUP($A39,'Data shares'!$C:$FA,90)</f>
        <v>31410750</v>
      </c>
      <c r="I39" s="86">
        <f>VLOOKUP($A39,'Data shares'!$C:$FA,92)</f>
        <v>2328375</v>
      </c>
      <c r="J39" s="87">
        <f>VLOOKUP($A39,'Data shares'!$C:$FA,93)</f>
        <v>8.0100000000000005E-2</v>
      </c>
      <c r="K39" s="86">
        <f>VLOOKUP($A39,'Data shares'!$C:$FA,94)</f>
        <v>25507125</v>
      </c>
      <c r="L39" s="86">
        <f>VLOOKUP($A39,'Data shares'!$C:$FA,96)</f>
        <v>1989750</v>
      </c>
      <c r="M39" s="87">
        <f>VLOOKUP($A39,'Data shares'!$C:$FA,97)</f>
        <v>8.4599999999999995E-2</v>
      </c>
      <c r="N39" s="86">
        <f>VLOOKUP($A39,'Data shares'!$C:$FA,78)</f>
        <v>96203625</v>
      </c>
      <c r="O39" s="87">
        <f>VLOOKUP($A39,'Data shares'!$C:$FA,81)</f>
        <v>-7.6E-3</v>
      </c>
    </row>
    <row r="40" spans="1:15" x14ac:dyDescent="0.25">
      <c r="A40" s="100" t="str">
        <f>'Data Vlaue (Cr)'!C35</f>
        <v>BIOCON</v>
      </c>
      <c r="B40" s="82">
        <f>VLOOKUP(A40,'Data shares'!$C$2:$CV$220,98,0)</f>
        <v>72302500</v>
      </c>
      <c r="C40" s="82">
        <f>VLOOKUP(A40,'Data shares'!$C$2:$CX$220,100,0)</f>
        <v>3532500</v>
      </c>
      <c r="D40" s="141">
        <f>VLOOKUP(A40,'Data shares'!$C$2:$CY$543,101,0)</f>
        <v>5.1400000000000001E-2</v>
      </c>
      <c r="E40" s="86">
        <f>VLOOKUP($A40,'Data shares'!$C:$FA,74)</f>
        <v>37610000</v>
      </c>
      <c r="F40" s="86">
        <f>VLOOKUP($A40,'Data shares'!$C:$FA,76)</f>
        <v>1030000</v>
      </c>
      <c r="G40" s="87">
        <f>VLOOKUP(A40,'Data shares'!$C$2:$CA$220,77,0)</f>
        <v>2.8199999999999999E-2</v>
      </c>
      <c r="H40" s="86">
        <f>VLOOKUP($A40,'Data shares'!$C:$FA,90)</f>
        <v>20432500</v>
      </c>
      <c r="I40" s="86">
        <f>VLOOKUP($A40,'Data shares'!$C:$FA,92)</f>
        <v>1897500</v>
      </c>
      <c r="J40" s="87">
        <f>VLOOKUP($A40,'Data shares'!$C:$FA,93)</f>
        <v>0.1024</v>
      </c>
      <c r="K40" s="86">
        <f>VLOOKUP($A40,'Data shares'!$C:$FA,94)</f>
        <v>14260000</v>
      </c>
      <c r="L40" s="86">
        <f>VLOOKUP($A40,'Data shares'!$C:$FA,96)</f>
        <v>605000</v>
      </c>
      <c r="M40" s="87">
        <f>VLOOKUP($A40,'Data shares'!$C:$FA,97)</f>
        <v>4.4299999999999999E-2</v>
      </c>
      <c r="N40" s="86">
        <f>VLOOKUP($A40,'Data shares'!$C:$FA,78)</f>
        <v>35772500</v>
      </c>
      <c r="O40" s="87">
        <f>VLOOKUP($A40,'Data shares'!$C:$FA,81)</f>
        <v>2.0799999999999999E-2</v>
      </c>
    </row>
    <row r="41" spans="1:15" x14ac:dyDescent="0.25">
      <c r="A41" s="100" t="str">
        <f>'Data Vlaue (Cr)'!C36</f>
        <v>BLUESTARCO</v>
      </c>
      <c r="B41" s="82">
        <f>VLOOKUP(A41,'Data shares'!$C$2:$CV$220,98,0)</f>
        <v>4521725</v>
      </c>
      <c r="C41" s="82">
        <f>VLOOKUP(A41,'Data shares'!$C$2:$CX$220,100,0)</f>
        <v>225875</v>
      </c>
      <c r="D41" s="141">
        <f>VLOOKUP(A41,'Data shares'!$C$2:$CY$543,101,0)</f>
        <v>5.2600000000000001E-2</v>
      </c>
      <c r="E41" s="86">
        <f>VLOOKUP($A41,'Data shares'!$C:$FA,74)</f>
        <v>2842450</v>
      </c>
      <c r="F41" s="86">
        <f>VLOOKUP($A41,'Data shares'!$C:$FA,76)</f>
        <v>260975</v>
      </c>
      <c r="G41" s="87">
        <f>VLOOKUP(A41,'Data shares'!$C$2:$CA$220,77,0)</f>
        <v>0.1011</v>
      </c>
      <c r="H41" s="86">
        <f>VLOOKUP($A41,'Data shares'!$C:$FA,90)</f>
        <v>1053325</v>
      </c>
      <c r="I41" s="86">
        <f>VLOOKUP($A41,'Data shares'!$C:$FA,92)</f>
        <v>-55575</v>
      </c>
      <c r="J41" s="87">
        <f>VLOOKUP($A41,'Data shares'!$C:$FA,93)</f>
        <v>-5.0099999999999999E-2</v>
      </c>
      <c r="K41" s="86">
        <f>VLOOKUP($A41,'Data shares'!$C:$FA,94)</f>
        <v>625950</v>
      </c>
      <c r="L41" s="86">
        <f>VLOOKUP($A41,'Data shares'!$C:$FA,96)</f>
        <v>20475</v>
      </c>
      <c r="M41" s="87">
        <f>VLOOKUP($A41,'Data shares'!$C:$FA,97)</f>
        <v>3.3799999999999997E-2</v>
      </c>
      <c r="N41" s="86">
        <f>VLOOKUP($A41,'Data shares'!$C:$FA,78)</f>
        <v>2602925</v>
      </c>
      <c r="O41" s="87">
        <f>VLOOKUP($A41,'Data shares'!$C:$FA,81)</f>
        <v>7.6799999999999993E-2</v>
      </c>
    </row>
    <row r="42" spans="1:15" x14ac:dyDescent="0.25">
      <c r="A42" s="100" t="str">
        <f>'Data Vlaue (Cr)'!C37</f>
        <v>BOSCHLTD</v>
      </c>
      <c r="B42" s="82">
        <f>VLOOKUP(A42,'Data shares'!$C$2:$CV$220,98,0)</f>
        <v>812200</v>
      </c>
      <c r="C42" s="82">
        <f>VLOOKUP(A42,'Data shares'!$C$2:$CX$220,100,0)</f>
        <v>48200</v>
      </c>
      <c r="D42" s="141">
        <f>VLOOKUP(A42,'Data shares'!$C$2:$CY$543,101,0)</f>
        <v>6.3100000000000003E-2</v>
      </c>
      <c r="E42" s="86">
        <f>VLOOKUP($A42,'Data shares'!$C:$FA,74)</f>
        <v>365900</v>
      </c>
      <c r="F42" s="86">
        <f>VLOOKUP($A42,'Data shares'!$C:$FA,76)</f>
        <v>2200</v>
      </c>
      <c r="G42" s="87">
        <f>VLOOKUP(A42,'Data shares'!$C$2:$CA$220,77,0)</f>
        <v>6.0000000000000001E-3</v>
      </c>
      <c r="H42" s="86">
        <f>VLOOKUP($A42,'Data shares'!$C:$FA,90)</f>
        <v>261675</v>
      </c>
      <c r="I42" s="86">
        <f>VLOOKUP($A42,'Data shares'!$C:$FA,92)</f>
        <v>15500</v>
      </c>
      <c r="J42" s="87">
        <f>VLOOKUP($A42,'Data shares'!$C:$FA,93)</f>
        <v>6.3E-2</v>
      </c>
      <c r="K42" s="86">
        <f>VLOOKUP($A42,'Data shares'!$C:$FA,94)</f>
        <v>184625</v>
      </c>
      <c r="L42" s="86">
        <f>VLOOKUP($A42,'Data shares'!$C:$FA,96)</f>
        <v>30500</v>
      </c>
      <c r="M42" s="87">
        <f>VLOOKUP($A42,'Data shares'!$C:$FA,97)</f>
        <v>0.19789999999999999</v>
      </c>
      <c r="N42" s="86">
        <f>VLOOKUP($A42,'Data shares'!$C:$FA,78)</f>
        <v>356475</v>
      </c>
      <c r="O42" s="87">
        <f>VLOOKUP($A42,'Data shares'!$C:$FA,81)</f>
        <v>-8.9999999999999998E-4</v>
      </c>
    </row>
    <row r="43" spans="1:15" x14ac:dyDescent="0.25">
      <c r="A43" s="100" t="str">
        <f>'Data Vlaue (Cr)'!C38</f>
        <v>BPCL</v>
      </c>
      <c r="B43" s="82">
        <f>VLOOKUP(A43,'Data shares'!$C$2:$CV$220,98,0)</f>
        <v>88049450</v>
      </c>
      <c r="C43" s="82">
        <f>VLOOKUP(A43,'Data shares'!$C$2:$CX$220,100,0)</f>
        <v>3067175</v>
      </c>
      <c r="D43" s="141">
        <f>VLOOKUP(A43,'Data shares'!$C$2:$CY$543,101,0)</f>
        <v>3.61E-2</v>
      </c>
      <c r="E43" s="86">
        <f>VLOOKUP($A43,'Data shares'!$C:$FA,74)</f>
        <v>52167650</v>
      </c>
      <c r="F43" s="86">
        <f>VLOOKUP($A43,'Data shares'!$C:$FA,76)</f>
        <v>302175</v>
      </c>
      <c r="G43" s="87">
        <f>VLOOKUP(A43,'Data shares'!$C$2:$CA$220,77,0)</f>
        <v>5.7999999999999996E-3</v>
      </c>
      <c r="H43" s="86">
        <f>VLOOKUP($A43,'Data shares'!$C:$FA,90)</f>
        <v>19667050</v>
      </c>
      <c r="I43" s="86">
        <f>VLOOKUP($A43,'Data shares'!$C:$FA,92)</f>
        <v>-671500</v>
      </c>
      <c r="J43" s="87">
        <f>VLOOKUP($A43,'Data shares'!$C:$FA,93)</f>
        <v>-3.3000000000000002E-2</v>
      </c>
      <c r="K43" s="86">
        <f>VLOOKUP($A43,'Data shares'!$C:$FA,94)</f>
        <v>16214750</v>
      </c>
      <c r="L43" s="86">
        <f>VLOOKUP($A43,'Data shares'!$C:$FA,96)</f>
        <v>3436500</v>
      </c>
      <c r="M43" s="87">
        <f>VLOOKUP($A43,'Data shares'!$C:$FA,97)</f>
        <v>0.26889999999999997</v>
      </c>
      <c r="N43" s="86">
        <f>VLOOKUP($A43,'Data shares'!$C:$FA,78)</f>
        <v>50785150</v>
      </c>
      <c r="O43" s="87">
        <f>VLOOKUP($A43,'Data shares'!$C:$FA,81)</f>
        <v>1.6000000000000001E-3</v>
      </c>
    </row>
    <row r="44" spans="1:15" x14ac:dyDescent="0.25">
      <c r="A44" s="100" t="str">
        <f>'Data Vlaue (Cr)'!C39</f>
        <v>BRITANNIA</v>
      </c>
      <c r="B44" s="82">
        <f>VLOOKUP(A44,'Data shares'!$C$2:$CV$220,98,0)</f>
        <v>4036750</v>
      </c>
      <c r="C44" s="82">
        <f>VLOOKUP(A44,'Data shares'!$C$2:$CX$220,100,0)</f>
        <v>479125</v>
      </c>
      <c r="D44" s="141">
        <f>VLOOKUP(A44,'Data shares'!$C$2:$CY$543,101,0)</f>
        <v>0.13469999999999999</v>
      </c>
      <c r="E44" s="86">
        <f>VLOOKUP($A44,'Data shares'!$C:$FA,74)</f>
        <v>2933750</v>
      </c>
      <c r="F44" s="86">
        <f>VLOOKUP($A44,'Data shares'!$C:$FA,76)</f>
        <v>132375</v>
      </c>
      <c r="G44" s="87">
        <f>VLOOKUP(A44,'Data shares'!$C$2:$CA$220,77,0)</f>
        <v>4.7300000000000002E-2</v>
      </c>
      <c r="H44" s="86">
        <f>VLOOKUP($A44,'Data shares'!$C:$FA,90)</f>
        <v>519625</v>
      </c>
      <c r="I44" s="86">
        <f>VLOOKUP($A44,'Data shares'!$C:$FA,92)</f>
        <v>193625</v>
      </c>
      <c r="J44" s="87">
        <f>VLOOKUP($A44,'Data shares'!$C:$FA,93)</f>
        <v>0.59389999999999998</v>
      </c>
      <c r="K44" s="86">
        <f>VLOOKUP($A44,'Data shares'!$C:$FA,94)</f>
        <v>583375</v>
      </c>
      <c r="L44" s="86">
        <f>VLOOKUP($A44,'Data shares'!$C:$FA,96)</f>
        <v>153125</v>
      </c>
      <c r="M44" s="87">
        <f>VLOOKUP($A44,'Data shares'!$C:$FA,97)</f>
        <v>0.35589999999999999</v>
      </c>
      <c r="N44" s="86">
        <f>VLOOKUP($A44,'Data shares'!$C:$FA,78)</f>
        <v>2874875</v>
      </c>
      <c r="O44" s="87">
        <f>VLOOKUP($A44,'Data shares'!$C:$FA,81)</f>
        <v>4.3900000000000002E-2</v>
      </c>
    </row>
    <row r="45" spans="1:15" x14ac:dyDescent="0.25">
      <c r="A45" s="100" t="str">
        <f>'Data Vlaue (Cr)'!C40</f>
        <v>BSE</v>
      </c>
      <c r="B45" s="82">
        <f>VLOOKUP(A45,'Data shares'!$C$2:$CV$220,98,0)</f>
        <v>20118375</v>
      </c>
      <c r="C45" s="82">
        <f>VLOOKUP(A45,'Data shares'!$C$2:$CX$220,100,0)</f>
        <v>2548500</v>
      </c>
      <c r="D45" s="141">
        <f>VLOOKUP(A45,'Data shares'!$C$2:$CY$543,101,0)</f>
        <v>0.14499999999999999</v>
      </c>
      <c r="E45" s="86">
        <f>VLOOKUP($A45,'Data shares'!$C:$FA,74)</f>
        <v>8020125</v>
      </c>
      <c r="F45" s="86">
        <f>VLOOKUP($A45,'Data shares'!$C:$FA,76)</f>
        <v>633750</v>
      </c>
      <c r="G45" s="87">
        <f>VLOOKUP(A45,'Data shares'!$C$2:$CA$220,77,0)</f>
        <v>8.5800000000000001E-2</v>
      </c>
      <c r="H45" s="86">
        <f>VLOOKUP($A45,'Data shares'!$C:$FA,90)</f>
        <v>5812125</v>
      </c>
      <c r="I45" s="86">
        <f>VLOOKUP($A45,'Data shares'!$C:$FA,92)</f>
        <v>841875</v>
      </c>
      <c r="J45" s="87">
        <f>VLOOKUP($A45,'Data shares'!$C:$FA,93)</f>
        <v>0.1694</v>
      </c>
      <c r="K45" s="86">
        <f>VLOOKUP($A45,'Data shares'!$C:$FA,94)</f>
        <v>6286125</v>
      </c>
      <c r="L45" s="86">
        <f>VLOOKUP($A45,'Data shares'!$C:$FA,96)</f>
        <v>1072875</v>
      </c>
      <c r="M45" s="87">
        <f>VLOOKUP($A45,'Data shares'!$C:$FA,97)</f>
        <v>0.20580000000000001</v>
      </c>
      <c r="N45" s="86">
        <f>VLOOKUP($A45,'Data shares'!$C:$FA,78)</f>
        <v>7491000</v>
      </c>
      <c r="O45" s="87">
        <f>VLOOKUP($A45,'Data shares'!$C:$FA,81)</f>
        <v>8.3000000000000004E-2</v>
      </c>
    </row>
    <row r="46" spans="1:15" x14ac:dyDescent="0.25">
      <c r="A46" s="100" t="str">
        <f>'Data Vlaue (Cr)'!C41</f>
        <v>CAMS</v>
      </c>
      <c r="B46" s="82">
        <f>VLOOKUP(A46,'Data shares'!$C$2:$CV$220,98,0)</f>
        <v>10529250</v>
      </c>
      <c r="C46" s="82">
        <f>VLOOKUP(A46,'Data shares'!$C$2:$CX$220,100,0)</f>
        <v>826500</v>
      </c>
      <c r="D46" s="141">
        <f>VLOOKUP(A46,'Data shares'!$C$2:$CY$543,101,0)</f>
        <v>8.5199999999999998E-2</v>
      </c>
      <c r="E46" s="86">
        <f>VLOOKUP($A46,'Data shares'!$C:$FA,74)</f>
        <v>6751500</v>
      </c>
      <c r="F46" s="86">
        <f>VLOOKUP($A46,'Data shares'!$C:$FA,76)</f>
        <v>268500</v>
      </c>
      <c r="G46" s="87">
        <f>VLOOKUP(A46,'Data shares'!$C$2:$CA$220,77,0)</f>
        <v>4.1399999999999999E-2</v>
      </c>
      <c r="H46" s="86">
        <f>VLOOKUP($A46,'Data shares'!$C:$FA,90)</f>
        <v>2114250</v>
      </c>
      <c r="I46" s="86">
        <f>VLOOKUP($A46,'Data shares'!$C:$FA,92)</f>
        <v>208500</v>
      </c>
      <c r="J46" s="87">
        <f>VLOOKUP($A46,'Data shares'!$C:$FA,93)</f>
        <v>0.1094</v>
      </c>
      <c r="K46" s="86">
        <f>VLOOKUP($A46,'Data shares'!$C:$FA,94)</f>
        <v>1663500</v>
      </c>
      <c r="L46" s="86">
        <f>VLOOKUP($A46,'Data shares'!$C:$FA,96)</f>
        <v>349500</v>
      </c>
      <c r="M46" s="87">
        <f>VLOOKUP($A46,'Data shares'!$C:$FA,97)</f>
        <v>0.26600000000000001</v>
      </c>
      <c r="N46" s="86">
        <f>VLOOKUP($A46,'Data shares'!$C:$FA,78)</f>
        <v>6214500</v>
      </c>
      <c r="O46" s="87">
        <f>VLOOKUP($A46,'Data shares'!$C:$FA,81)</f>
        <v>7.4999999999999997E-3</v>
      </c>
    </row>
    <row r="47" spans="1:15" x14ac:dyDescent="0.25">
      <c r="A47" s="100" t="str">
        <f>'Data Vlaue (Cr)'!C42</f>
        <v>CANBK</v>
      </c>
      <c r="B47" s="82">
        <f>VLOOKUP(A47,'Data shares'!$C$2:$CV$220,98,0)</f>
        <v>328117500</v>
      </c>
      <c r="C47" s="82">
        <f>VLOOKUP(A47,'Data shares'!$C$2:$CX$220,100,0)</f>
        <v>10908000</v>
      </c>
      <c r="D47" s="141">
        <f>VLOOKUP(A47,'Data shares'!$C$2:$CY$543,101,0)</f>
        <v>3.44E-2</v>
      </c>
      <c r="E47" s="86">
        <f>VLOOKUP($A47,'Data shares'!$C:$FA,74)</f>
        <v>204052500</v>
      </c>
      <c r="F47" s="86">
        <f>VLOOKUP($A47,'Data shares'!$C:$FA,76)</f>
        <v>1721250</v>
      </c>
      <c r="G47" s="87">
        <f>VLOOKUP(A47,'Data shares'!$C$2:$CA$220,77,0)</f>
        <v>8.5000000000000006E-3</v>
      </c>
      <c r="H47" s="86">
        <f>VLOOKUP($A47,'Data shares'!$C:$FA,90)</f>
        <v>65218500</v>
      </c>
      <c r="I47" s="86">
        <f>VLOOKUP($A47,'Data shares'!$C:$FA,92)</f>
        <v>6142500</v>
      </c>
      <c r="J47" s="87">
        <f>VLOOKUP($A47,'Data shares'!$C:$FA,93)</f>
        <v>0.104</v>
      </c>
      <c r="K47" s="86">
        <f>VLOOKUP($A47,'Data shares'!$C:$FA,94)</f>
        <v>58846500</v>
      </c>
      <c r="L47" s="86">
        <f>VLOOKUP($A47,'Data shares'!$C:$FA,96)</f>
        <v>3044250</v>
      </c>
      <c r="M47" s="87">
        <f>VLOOKUP($A47,'Data shares'!$C:$FA,97)</f>
        <v>5.4600000000000003E-2</v>
      </c>
      <c r="N47" s="86">
        <f>VLOOKUP($A47,'Data shares'!$C:$FA,78)</f>
        <v>195129000</v>
      </c>
      <c r="O47" s="87">
        <f>VLOOKUP($A47,'Data shares'!$C:$FA,81)</f>
        <v>1.9E-3</v>
      </c>
    </row>
    <row r="48" spans="1:15" x14ac:dyDescent="0.25">
      <c r="A48" s="100" t="str">
        <f>'Data Vlaue (Cr)'!C43</f>
        <v>CDSL</v>
      </c>
      <c r="B48" s="82">
        <f>VLOOKUP(A48,'Data shares'!$C$2:$CV$220,98,0)</f>
        <v>19883025</v>
      </c>
      <c r="C48" s="82">
        <f>VLOOKUP(A48,'Data shares'!$C$2:$CX$220,100,0)</f>
        <v>765700</v>
      </c>
      <c r="D48" s="141">
        <f>VLOOKUP(A48,'Data shares'!$C$2:$CY$543,101,0)</f>
        <v>4.0099999999999997E-2</v>
      </c>
      <c r="E48" s="86">
        <f>VLOOKUP($A48,'Data shares'!$C:$FA,74)</f>
        <v>12035550</v>
      </c>
      <c r="F48" s="86">
        <f>VLOOKUP($A48,'Data shares'!$C:$FA,76)</f>
        <v>409450</v>
      </c>
      <c r="G48" s="87">
        <f>VLOOKUP(A48,'Data shares'!$C$2:$CA$220,77,0)</f>
        <v>3.5200000000000002E-2</v>
      </c>
      <c r="H48" s="86">
        <f>VLOOKUP($A48,'Data shares'!$C:$FA,90)</f>
        <v>4348150</v>
      </c>
      <c r="I48" s="86">
        <f>VLOOKUP($A48,'Data shares'!$C:$FA,92)</f>
        <v>256975</v>
      </c>
      <c r="J48" s="87">
        <f>VLOOKUP($A48,'Data shares'!$C:$FA,93)</f>
        <v>6.2799999999999995E-2</v>
      </c>
      <c r="K48" s="86">
        <f>VLOOKUP($A48,'Data shares'!$C:$FA,94)</f>
        <v>3499325</v>
      </c>
      <c r="L48" s="86">
        <f>VLOOKUP($A48,'Data shares'!$C:$FA,96)</f>
        <v>99275</v>
      </c>
      <c r="M48" s="87">
        <f>VLOOKUP($A48,'Data shares'!$C:$FA,97)</f>
        <v>2.92E-2</v>
      </c>
      <c r="N48" s="86">
        <f>VLOOKUP($A48,'Data shares'!$C:$FA,78)</f>
        <v>9771225</v>
      </c>
      <c r="O48" s="87">
        <f>VLOOKUP($A48,'Data shares'!$C:$FA,81)</f>
        <v>0</v>
      </c>
    </row>
    <row r="49" spans="1:15" x14ac:dyDescent="0.25">
      <c r="A49" s="100" t="str">
        <f>'Data Vlaue (Cr)'!C44</f>
        <v>CGPOWER</v>
      </c>
      <c r="B49" s="82">
        <f>VLOOKUP(A49,'Data shares'!$C$2:$CV$220,98,0)</f>
        <v>23811900</v>
      </c>
      <c r="C49" s="82">
        <f>VLOOKUP(A49,'Data shares'!$C$2:$CX$220,100,0)</f>
        <v>709750</v>
      </c>
      <c r="D49" s="141">
        <f>VLOOKUP(A49,'Data shares'!$C$2:$CY$543,101,0)</f>
        <v>3.0700000000000002E-2</v>
      </c>
      <c r="E49" s="86">
        <f>VLOOKUP($A49,'Data shares'!$C:$FA,74)</f>
        <v>19063800</v>
      </c>
      <c r="F49" s="86">
        <f>VLOOKUP($A49,'Data shares'!$C:$FA,76)</f>
        <v>272850</v>
      </c>
      <c r="G49" s="87">
        <f>VLOOKUP(A49,'Data shares'!$C$2:$CA$220,77,0)</f>
        <v>1.4500000000000001E-2</v>
      </c>
      <c r="H49" s="86">
        <f>VLOOKUP($A49,'Data shares'!$C:$FA,90)</f>
        <v>2780350</v>
      </c>
      <c r="I49" s="86">
        <f>VLOOKUP($A49,'Data shares'!$C:$FA,92)</f>
        <v>316200</v>
      </c>
      <c r="J49" s="87">
        <f>VLOOKUP($A49,'Data shares'!$C:$FA,93)</f>
        <v>0.1283</v>
      </c>
      <c r="K49" s="86">
        <f>VLOOKUP($A49,'Data shares'!$C:$FA,94)</f>
        <v>1967750</v>
      </c>
      <c r="L49" s="86">
        <f>VLOOKUP($A49,'Data shares'!$C:$FA,96)</f>
        <v>120700</v>
      </c>
      <c r="M49" s="87">
        <f>VLOOKUP($A49,'Data shares'!$C:$FA,97)</f>
        <v>6.5299999999999997E-2</v>
      </c>
      <c r="N49" s="86">
        <f>VLOOKUP($A49,'Data shares'!$C:$FA,78)</f>
        <v>18876800</v>
      </c>
      <c r="O49" s="87">
        <f>VLOOKUP($A49,'Data shares'!$C:$FA,81)</f>
        <v>1.4E-2</v>
      </c>
    </row>
    <row r="50" spans="1:15" x14ac:dyDescent="0.25">
      <c r="A50" s="100" t="str">
        <f>'Data Vlaue (Cr)'!C45</f>
        <v>CHOLAFIN</v>
      </c>
      <c r="B50" s="82">
        <f>VLOOKUP(A50,'Data shares'!$C$2:$CV$220,98,0)</f>
        <v>25825000</v>
      </c>
      <c r="C50" s="82">
        <f>VLOOKUP(A50,'Data shares'!$C$2:$CX$220,100,0)</f>
        <v>-86875</v>
      </c>
      <c r="D50" s="141">
        <f>VLOOKUP(A50,'Data shares'!$C$2:$CY$543,101,0)</f>
        <v>-3.3999999999999998E-3</v>
      </c>
      <c r="E50" s="86">
        <f>VLOOKUP($A50,'Data shares'!$C:$FA,74)</f>
        <v>19386875</v>
      </c>
      <c r="F50" s="86">
        <f>VLOOKUP($A50,'Data shares'!$C:$FA,76)</f>
        <v>-728750</v>
      </c>
      <c r="G50" s="87">
        <f>VLOOKUP(A50,'Data shares'!$C$2:$CA$220,77,0)</f>
        <v>-3.6200000000000003E-2</v>
      </c>
      <c r="H50" s="86">
        <f>VLOOKUP($A50,'Data shares'!$C:$FA,90)</f>
        <v>3479375</v>
      </c>
      <c r="I50" s="86">
        <f>VLOOKUP($A50,'Data shares'!$C:$FA,92)</f>
        <v>305625</v>
      </c>
      <c r="J50" s="87">
        <f>VLOOKUP($A50,'Data shares'!$C:$FA,93)</f>
        <v>9.6299999999999997E-2</v>
      </c>
      <c r="K50" s="86">
        <f>VLOOKUP($A50,'Data shares'!$C:$FA,94)</f>
        <v>2958750</v>
      </c>
      <c r="L50" s="86">
        <f>VLOOKUP($A50,'Data shares'!$C:$FA,96)</f>
        <v>336250</v>
      </c>
      <c r="M50" s="87">
        <f>VLOOKUP($A50,'Data shares'!$C:$FA,97)</f>
        <v>0.12820000000000001</v>
      </c>
      <c r="N50" s="86">
        <f>VLOOKUP($A50,'Data shares'!$C:$FA,78)</f>
        <v>18896250</v>
      </c>
      <c r="O50" s="87">
        <f>VLOOKUP($A50,'Data shares'!$C:$FA,81)</f>
        <v>-3.7699999999999997E-2</v>
      </c>
    </row>
    <row r="51" spans="1:15" x14ac:dyDescent="0.25">
      <c r="A51" s="100" t="str">
        <f>'Data Vlaue (Cr)'!C46</f>
        <v>CIPLA</v>
      </c>
      <c r="B51" s="82">
        <f>VLOOKUP(A51,'Data shares'!$C$2:$CV$220,98,0)</f>
        <v>22881000</v>
      </c>
      <c r="C51" s="82">
        <f>VLOOKUP(A51,'Data shares'!$C$2:$CX$220,100,0)</f>
        <v>328125</v>
      </c>
      <c r="D51" s="141">
        <f>VLOOKUP(A51,'Data shares'!$C$2:$CY$543,101,0)</f>
        <v>1.4500000000000001E-2</v>
      </c>
      <c r="E51" s="86">
        <f>VLOOKUP($A51,'Data shares'!$C:$FA,74)</f>
        <v>14906250</v>
      </c>
      <c r="F51" s="86">
        <f>VLOOKUP($A51,'Data shares'!$C:$FA,76)</f>
        <v>-40875</v>
      </c>
      <c r="G51" s="87">
        <f>VLOOKUP(A51,'Data shares'!$C$2:$CA$220,77,0)</f>
        <v>-2.7000000000000001E-3</v>
      </c>
      <c r="H51" s="86">
        <f>VLOOKUP($A51,'Data shares'!$C:$FA,90)</f>
        <v>4484625</v>
      </c>
      <c r="I51" s="86">
        <f>VLOOKUP($A51,'Data shares'!$C:$FA,92)</f>
        <v>310500</v>
      </c>
      <c r="J51" s="87">
        <f>VLOOKUP($A51,'Data shares'!$C:$FA,93)</f>
        <v>7.4399999999999994E-2</v>
      </c>
      <c r="K51" s="86">
        <f>VLOOKUP($A51,'Data shares'!$C:$FA,94)</f>
        <v>3490125</v>
      </c>
      <c r="L51" s="86">
        <f>VLOOKUP($A51,'Data shares'!$C:$FA,96)</f>
        <v>58500</v>
      </c>
      <c r="M51" s="87">
        <f>VLOOKUP($A51,'Data shares'!$C:$FA,97)</f>
        <v>1.7000000000000001E-2</v>
      </c>
      <c r="N51" s="86">
        <f>VLOOKUP($A51,'Data shares'!$C:$FA,78)</f>
        <v>13645125</v>
      </c>
      <c r="O51" s="87">
        <f>VLOOKUP($A51,'Data shares'!$C:$FA,81)</f>
        <v>-4.5999999999999999E-3</v>
      </c>
    </row>
    <row r="52" spans="1:15" x14ac:dyDescent="0.25">
      <c r="A52" s="100" t="str">
        <f>'Data Vlaue (Cr)'!C47</f>
        <v>COALINDIA</v>
      </c>
      <c r="B52" s="82">
        <f>VLOOKUP(A52,'Data shares'!$C$2:$CV$220,98,0)</f>
        <v>105777900</v>
      </c>
      <c r="C52" s="82">
        <f>VLOOKUP(A52,'Data shares'!$C$2:$CX$220,100,0)</f>
        <v>-1104300</v>
      </c>
      <c r="D52" s="141">
        <f>VLOOKUP(A52,'Data shares'!$C$2:$CY$543,101,0)</f>
        <v>-1.03E-2</v>
      </c>
      <c r="E52" s="86">
        <f>VLOOKUP($A52,'Data shares'!$C:$FA,74)</f>
        <v>60069600</v>
      </c>
      <c r="F52" s="86">
        <f>VLOOKUP($A52,'Data shares'!$C:$FA,76)</f>
        <v>-1007100</v>
      </c>
      <c r="G52" s="87">
        <f>VLOOKUP(A52,'Data shares'!$C$2:$CA$220,77,0)</f>
        <v>-1.6500000000000001E-2</v>
      </c>
      <c r="H52" s="86">
        <f>VLOOKUP($A52,'Data shares'!$C:$FA,90)</f>
        <v>27876150</v>
      </c>
      <c r="I52" s="86">
        <f>VLOOKUP($A52,'Data shares'!$C:$FA,92)</f>
        <v>-1703700</v>
      </c>
      <c r="J52" s="87">
        <f>VLOOKUP($A52,'Data shares'!$C:$FA,93)</f>
        <v>-5.7599999999999998E-2</v>
      </c>
      <c r="K52" s="86">
        <f>VLOOKUP($A52,'Data shares'!$C:$FA,94)</f>
        <v>17832150</v>
      </c>
      <c r="L52" s="86">
        <f>VLOOKUP($A52,'Data shares'!$C:$FA,96)</f>
        <v>1606500</v>
      </c>
      <c r="M52" s="87">
        <f>VLOOKUP($A52,'Data shares'!$C:$FA,97)</f>
        <v>9.9000000000000005E-2</v>
      </c>
      <c r="N52" s="86">
        <f>VLOOKUP($A52,'Data shares'!$C:$FA,78)</f>
        <v>57962250</v>
      </c>
      <c r="O52" s="87">
        <f>VLOOKUP($A52,'Data shares'!$C:$FA,81)</f>
        <v>-2.0400000000000001E-2</v>
      </c>
    </row>
    <row r="53" spans="1:15" x14ac:dyDescent="0.25">
      <c r="A53" s="100" t="str">
        <f>'Data Vlaue (Cr)'!C48</f>
        <v>COCHINSHIP</v>
      </c>
      <c r="B53" s="82">
        <f>VLOOKUP(A53,'Data shares'!$C$2:$CV$220,98,0)</f>
        <v>2256400</v>
      </c>
      <c r="C53" s="82">
        <f>VLOOKUP(A53,'Data shares'!$C$2:$CX$220,100,0)</f>
        <v>629200</v>
      </c>
      <c r="D53" s="141">
        <f>VLOOKUP(A53,'Data shares'!$C$2:$CY$543,101,0)</f>
        <v>0.38669999999999999</v>
      </c>
      <c r="E53" s="86">
        <f>VLOOKUP($A53,'Data shares'!$C:$FA,74)</f>
        <v>1127600</v>
      </c>
      <c r="F53" s="86">
        <f>VLOOKUP($A53,'Data shares'!$C:$FA,76)</f>
        <v>195200</v>
      </c>
      <c r="G53" s="87">
        <f>VLOOKUP(A53,'Data shares'!$C$2:$CA$220,77,0)</f>
        <v>0.2094</v>
      </c>
      <c r="H53" s="86">
        <f>VLOOKUP($A53,'Data shares'!$C:$FA,90)</f>
        <v>702400</v>
      </c>
      <c r="I53" s="86">
        <f>VLOOKUP($A53,'Data shares'!$C:$FA,92)</f>
        <v>279600</v>
      </c>
      <c r="J53" s="87">
        <f>VLOOKUP($A53,'Data shares'!$C:$FA,93)</f>
        <v>0.6613</v>
      </c>
      <c r="K53" s="86">
        <f>VLOOKUP($A53,'Data shares'!$C:$FA,94)</f>
        <v>426400</v>
      </c>
      <c r="L53" s="86">
        <f>VLOOKUP($A53,'Data shares'!$C:$FA,96)</f>
        <v>154400</v>
      </c>
      <c r="M53" s="87">
        <f>VLOOKUP($A53,'Data shares'!$C:$FA,97)</f>
        <v>0.56759999999999999</v>
      </c>
      <c r="N53" s="86">
        <f>VLOOKUP($A53,'Data shares'!$C:$FA,78)</f>
        <v>895200</v>
      </c>
      <c r="O53" s="87">
        <f>VLOOKUP($A53,'Data shares'!$C:$FA,81)</f>
        <v>0.16200000000000001</v>
      </c>
    </row>
    <row r="54" spans="1:15" x14ac:dyDescent="0.25">
      <c r="A54" s="100" t="str">
        <f>'Data Vlaue (Cr)'!C49</f>
        <v>COFORGE</v>
      </c>
      <c r="B54" s="82">
        <f>VLOOKUP(A54,'Data shares'!$C$2:$CV$220,98,0)</f>
        <v>28465125</v>
      </c>
      <c r="C54" s="82">
        <f>VLOOKUP(A54,'Data shares'!$C$2:$CX$220,100,0)</f>
        <v>584625</v>
      </c>
      <c r="D54" s="141">
        <f>VLOOKUP(A54,'Data shares'!$C$2:$CY$543,101,0)</f>
        <v>2.1000000000000001E-2</v>
      </c>
      <c r="E54" s="86">
        <f>VLOOKUP($A54,'Data shares'!$C:$FA,74)</f>
        <v>17800125</v>
      </c>
      <c r="F54" s="86">
        <f>VLOOKUP($A54,'Data shares'!$C:$FA,76)</f>
        <v>-67500</v>
      </c>
      <c r="G54" s="87">
        <f>VLOOKUP(A54,'Data shares'!$C$2:$CA$220,77,0)</f>
        <v>-3.8E-3</v>
      </c>
      <c r="H54" s="86">
        <f>VLOOKUP($A54,'Data shares'!$C:$FA,90)</f>
        <v>6459375</v>
      </c>
      <c r="I54" s="86">
        <f>VLOOKUP($A54,'Data shares'!$C:$FA,92)</f>
        <v>273750</v>
      </c>
      <c r="J54" s="87">
        <f>VLOOKUP($A54,'Data shares'!$C:$FA,93)</f>
        <v>4.4299999999999999E-2</v>
      </c>
      <c r="K54" s="86">
        <f>VLOOKUP($A54,'Data shares'!$C:$FA,94)</f>
        <v>4205625</v>
      </c>
      <c r="L54" s="86">
        <f>VLOOKUP($A54,'Data shares'!$C:$FA,96)</f>
        <v>378375</v>
      </c>
      <c r="M54" s="87">
        <f>VLOOKUP($A54,'Data shares'!$C:$FA,97)</f>
        <v>9.8900000000000002E-2</v>
      </c>
      <c r="N54" s="86">
        <f>VLOOKUP($A54,'Data shares'!$C:$FA,78)</f>
        <v>17068500</v>
      </c>
      <c r="O54" s="87">
        <f>VLOOKUP($A54,'Data shares'!$C:$FA,81)</f>
        <v>-5.4999999999999997E-3</v>
      </c>
    </row>
    <row r="55" spans="1:15" x14ac:dyDescent="0.25">
      <c r="A55" s="100" t="str">
        <f>'Data Vlaue (Cr)'!C50</f>
        <v>COLPAL</v>
      </c>
      <c r="B55" s="82">
        <f>VLOOKUP(A55,'Data shares'!$C$2:$CV$220,98,0)</f>
        <v>9364275</v>
      </c>
      <c r="C55" s="82">
        <f>VLOOKUP(A55,'Data shares'!$C$2:$CX$220,100,0)</f>
        <v>27225</v>
      </c>
      <c r="D55" s="141">
        <f>VLOOKUP(A55,'Data shares'!$C$2:$CY$543,101,0)</f>
        <v>2.8999999999999998E-3</v>
      </c>
      <c r="E55" s="86">
        <f>VLOOKUP($A55,'Data shares'!$C:$FA,74)</f>
        <v>6643575</v>
      </c>
      <c r="F55" s="86">
        <f>VLOOKUP($A55,'Data shares'!$C:$FA,76)</f>
        <v>95400</v>
      </c>
      <c r="G55" s="87">
        <f>VLOOKUP(A55,'Data shares'!$C$2:$CA$220,77,0)</f>
        <v>1.46E-2</v>
      </c>
      <c r="H55" s="86">
        <f>VLOOKUP($A55,'Data shares'!$C:$FA,90)</f>
        <v>1610550</v>
      </c>
      <c r="I55" s="86">
        <f>VLOOKUP($A55,'Data shares'!$C:$FA,92)</f>
        <v>-96525</v>
      </c>
      <c r="J55" s="87">
        <f>VLOOKUP($A55,'Data shares'!$C:$FA,93)</f>
        <v>-5.6500000000000002E-2</v>
      </c>
      <c r="K55" s="86">
        <f>VLOOKUP($A55,'Data shares'!$C:$FA,94)</f>
        <v>1110150</v>
      </c>
      <c r="L55" s="86">
        <f>VLOOKUP($A55,'Data shares'!$C:$FA,96)</f>
        <v>28350</v>
      </c>
      <c r="M55" s="87">
        <f>VLOOKUP($A55,'Data shares'!$C:$FA,97)</f>
        <v>2.6200000000000001E-2</v>
      </c>
      <c r="N55" s="86">
        <f>VLOOKUP($A55,'Data shares'!$C:$FA,78)</f>
        <v>6340500</v>
      </c>
      <c r="O55" s="87">
        <f>VLOOKUP($A55,'Data shares'!$C:$FA,81)</f>
        <v>1.38E-2</v>
      </c>
    </row>
    <row r="56" spans="1:15" x14ac:dyDescent="0.25">
      <c r="A56" s="100" t="str">
        <f>'Data Vlaue (Cr)'!C51</f>
        <v>CONCOR</v>
      </c>
      <c r="B56" s="82">
        <f>VLOOKUP(A56,'Data shares'!$C$2:$CV$220,98,0)</f>
        <v>36147500</v>
      </c>
      <c r="C56" s="82">
        <f>VLOOKUP(A56,'Data shares'!$C$2:$CX$220,100,0)</f>
        <v>557500</v>
      </c>
      <c r="D56" s="141">
        <f>VLOOKUP(A56,'Data shares'!$C$2:$CY$543,101,0)</f>
        <v>1.5699999999999999E-2</v>
      </c>
      <c r="E56" s="86">
        <f>VLOOKUP($A56,'Data shares'!$C:$FA,74)</f>
        <v>26146250</v>
      </c>
      <c r="F56" s="86">
        <f>VLOOKUP($A56,'Data shares'!$C:$FA,76)</f>
        <v>97500</v>
      </c>
      <c r="G56" s="87">
        <f>VLOOKUP(A56,'Data shares'!$C$2:$CA$220,77,0)</f>
        <v>3.7000000000000002E-3</v>
      </c>
      <c r="H56" s="86">
        <f>VLOOKUP($A56,'Data shares'!$C:$FA,90)</f>
        <v>5617500</v>
      </c>
      <c r="I56" s="86">
        <f>VLOOKUP($A56,'Data shares'!$C:$FA,92)</f>
        <v>495000</v>
      </c>
      <c r="J56" s="87">
        <f>VLOOKUP($A56,'Data shares'!$C:$FA,93)</f>
        <v>9.6600000000000005E-2</v>
      </c>
      <c r="K56" s="86">
        <f>VLOOKUP($A56,'Data shares'!$C:$FA,94)</f>
        <v>4383750</v>
      </c>
      <c r="L56" s="86">
        <f>VLOOKUP($A56,'Data shares'!$C:$FA,96)</f>
        <v>-35000</v>
      </c>
      <c r="M56" s="87">
        <f>VLOOKUP($A56,'Data shares'!$C:$FA,97)</f>
        <v>-7.9000000000000008E-3</v>
      </c>
      <c r="N56" s="86">
        <f>VLOOKUP($A56,'Data shares'!$C:$FA,78)</f>
        <v>25312500</v>
      </c>
      <c r="O56" s="87">
        <f>VLOOKUP($A56,'Data shares'!$C:$FA,81)</f>
        <v>3.8E-3</v>
      </c>
    </row>
    <row r="57" spans="1:15" x14ac:dyDescent="0.25">
      <c r="A57" s="100" t="str">
        <f>'Data Vlaue (Cr)'!C52</f>
        <v>CROMPTON</v>
      </c>
      <c r="B57" s="82">
        <f>VLOOKUP(A57,'Data shares'!$C$2:$CV$220,98,0)</f>
        <v>59666400</v>
      </c>
      <c r="C57" s="82">
        <f>VLOOKUP(A57,'Data shares'!$C$2:$CX$220,100,0)</f>
        <v>1125000</v>
      </c>
      <c r="D57" s="141">
        <f>VLOOKUP(A57,'Data shares'!$C$2:$CY$543,101,0)</f>
        <v>1.9199999999999998E-2</v>
      </c>
      <c r="E57" s="86">
        <f>VLOOKUP($A57,'Data shares'!$C:$FA,74)</f>
        <v>46659600</v>
      </c>
      <c r="F57" s="86">
        <f>VLOOKUP($A57,'Data shares'!$C:$FA,76)</f>
        <v>-621000</v>
      </c>
      <c r="G57" s="87">
        <f>VLOOKUP(A57,'Data shares'!$C$2:$CA$220,77,0)</f>
        <v>-1.3100000000000001E-2</v>
      </c>
      <c r="H57" s="86">
        <f>VLOOKUP($A57,'Data shares'!$C:$FA,90)</f>
        <v>7417800</v>
      </c>
      <c r="I57" s="86">
        <f>VLOOKUP($A57,'Data shares'!$C:$FA,92)</f>
        <v>1503000</v>
      </c>
      <c r="J57" s="87">
        <f>VLOOKUP($A57,'Data shares'!$C:$FA,93)</f>
        <v>0.25409999999999999</v>
      </c>
      <c r="K57" s="86">
        <f>VLOOKUP($A57,'Data shares'!$C:$FA,94)</f>
        <v>5589000</v>
      </c>
      <c r="L57" s="86">
        <f>VLOOKUP($A57,'Data shares'!$C:$FA,96)</f>
        <v>243000</v>
      </c>
      <c r="M57" s="87">
        <f>VLOOKUP($A57,'Data shares'!$C:$FA,97)</f>
        <v>4.5499999999999999E-2</v>
      </c>
      <c r="N57" s="86">
        <f>VLOOKUP($A57,'Data shares'!$C:$FA,78)</f>
        <v>45687600</v>
      </c>
      <c r="O57" s="87">
        <f>VLOOKUP($A57,'Data shares'!$C:$FA,81)</f>
        <v>-1.66E-2</v>
      </c>
    </row>
    <row r="58" spans="1:15" x14ac:dyDescent="0.25">
      <c r="A58" s="100" t="str">
        <f>'Data Vlaue (Cr)'!C53</f>
        <v>CUMMINSIND</v>
      </c>
      <c r="B58" s="82">
        <f>VLOOKUP(A58,'Data shares'!$C$2:$CV$220,98,0)</f>
        <v>5054400</v>
      </c>
      <c r="C58" s="82">
        <f>VLOOKUP(A58,'Data shares'!$C$2:$CX$220,100,0)</f>
        <v>258200</v>
      </c>
      <c r="D58" s="141">
        <f>VLOOKUP(A58,'Data shares'!$C$2:$CY$543,101,0)</f>
        <v>5.3800000000000001E-2</v>
      </c>
      <c r="E58" s="86">
        <f>VLOOKUP($A58,'Data shares'!$C:$FA,74)</f>
        <v>3558000</v>
      </c>
      <c r="F58" s="86">
        <f>VLOOKUP($A58,'Data shares'!$C:$FA,76)</f>
        <v>77400</v>
      </c>
      <c r="G58" s="87">
        <f>VLOOKUP(A58,'Data shares'!$C$2:$CA$220,77,0)</f>
        <v>2.2200000000000001E-2</v>
      </c>
      <c r="H58" s="86">
        <f>VLOOKUP($A58,'Data shares'!$C:$FA,90)</f>
        <v>907800</v>
      </c>
      <c r="I58" s="86">
        <f>VLOOKUP($A58,'Data shares'!$C:$FA,92)</f>
        <v>101400</v>
      </c>
      <c r="J58" s="87">
        <f>VLOOKUP($A58,'Data shares'!$C:$FA,93)</f>
        <v>0.12570000000000001</v>
      </c>
      <c r="K58" s="86">
        <f>VLOOKUP($A58,'Data shares'!$C:$FA,94)</f>
        <v>588600</v>
      </c>
      <c r="L58" s="86">
        <f>VLOOKUP($A58,'Data shares'!$C:$FA,96)</f>
        <v>79400</v>
      </c>
      <c r="M58" s="87">
        <f>VLOOKUP($A58,'Data shares'!$C:$FA,97)</f>
        <v>0.15590000000000001</v>
      </c>
      <c r="N58" s="86">
        <f>VLOOKUP($A58,'Data shares'!$C:$FA,78)</f>
        <v>3515200</v>
      </c>
      <c r="O58" s="87">
        <f>VLOOKUP($A58,'Data shares'!$C:$FA,81)</f>
        <v>2.1299999999999999E-2</v>
      </c>
    </row>
    <row r="59" spans="1:15" x14ac:dyDescent="0.25">
      <c r="A59" s="100" t="str">
        <f>'Data Vlaue (Cr)'!C54</f>
        <v>DABUR</v>
      </c>
      <c r="B59" s="82">
        <f>VLOOKUP(A59,'Data shares'!$C$2:$CV$220,98,0)</f>
        <v>45238750</v>
      </c>
      <c r="C59" s="82">
        <f>VLOOKUP(A59,'Data shares'!$C$2:$CX$220,100,0)</f>
        <v>-136250</v>
      </c>
      <c r="D59" s="141">
        <f>VLOOKUP(A59,'Data shares'!$C$2:$CY$543,101,0)</f>
        <v>-3.0000000000000001E-3</v>
      </c>
      <c r="E59" s="86">
        <f>VLOOKUP($A59,'Data shares'!$C:$FA,74)</f>
        <v>31452500</v>
      </c>
      <c r="F59" s="86">
        <f>VLOOKUP($A59,'Data shares'!$C:$FA,76)</f>
        <v>-226250</v>
      </c>
      <c r="G59" s="87">
        <f>VLOOKUP(A59,'Data shares'!$C$2:$CA$220,77,0)</f>
        <v>-7.1000000000000004E-3</v>
      </c>
      <c r="H59" s="86">
        <f>VLOOKUP($A59,'Data shares'!$C:$FA,90)</f>
        <v>7873750</v>
      </c>
      <c r="I59" s="86">
        <f>VLOOKUP($A59,'Data shares'!$C:$FA,92)</f>
        <v>-38750</v>
      </c>
      <c r="J59" s="87">
        <f>VLOOKUP($A59,'Data shares'!$C:$FA,93)</f>
        <v>-4.8999999999999998E-3</v>
      </c>
      <c r="K59" s="86">
        <f>VLOOKUP($A59,'Data shares'!$C:$FA,94)</f>
        <v>5912500</v>
      </c>
      <c r="L59" s="86">
        <f>VLOOKUP($A59,'Data shares'!$C:$FA,96)</f>
        <v>128750</v>
      </c>
      <c r="M59" s="87">
        <f>VLOOKUP($A59,'Data shares'!$C:$FA,97)</f>
        <v>2.23E-2</v>
      </c>
      <c r="N59" s="86">
        <f>VLOOKUP($A59,'Data shares'!$C:$FA,78)</f>
        <v>30695000</v>
      </c>
      <c r="O59" s="87">
        <f>VLOOKUP($A59,'Data shares'!$C:$FA,81)</f>
        <v>-8.0000000000000002E-3</v>
      </c>
    </row>
    <row r="60" spans="1:15" x14ac:dyDescent="0.25">
      <c r="A60" s="100" t="str">
        <f>'Data Vlaue (Cr)'!C55</f>
        <v>DALBHARAT</v>
      </c>
      <c r="B60" s="82">
        <f>VLOOKUP(A60,'Data shares'!$C$2:$CV$220,98,0)</f>
        <v>4110275</v>
      </c>
      <c r="C60" s="82">
        <f>VLOOKUP(A60,'Data shares'!$C$2:$CX$220,100,0)</f>
        <v>45175</v>
      </c>
      <c r="D60" s="141">
        <f>VLOOKUP(A60,'Data shares'!$C$2:$CY$543,101,0)</f>
        <v>1.11E-2</v>
      </c>
      <c r="E60" s="86">
        <f>VLOOKUP($A60,'Data shares'!$C:$FA,74)</f>
        <v>2563275</v>
      </c>
      <c r="F60" s="86">
        <f>VLOOKUP($A60,'Data shares'!$C:$FA,76)</f>
        <v>14300</v>
      </c>
      <c r="G60" s="87">
        <f>VLOOKUP(A60,'Data shares'!$C$2:$CA$220,77,0)</f>
        <v>5.5999999999999999E-3</v>
      </c>
      <c r="H60" s="86">
        <f>VLOOKUP($A60,'Data shares'!$C:$FA,90)</f>
        <v>654875</v>
      </c>
      <c r="I60" s="86">
        <f>VLOOKUP($A60,'Data shares'!$C:$FA,92)</f>
        <v>18200</v>
      </c>
      <c r="J60" s="87">
        <f>VLOOKUP($A60,'Data shares'!$C:$FA,93)</f>
        <v>2.86E-2</v>
      </c>
      <c r="K60" s="86">
        <f>VLOOKUP($A60,'Data shares'!$C:$FA,94)</f>
        <v>892125</v>
      </c>
      <c r="L60" s="86">
        <f>VLOOKUP($A60,'Data shares'!$C:$FA,96)</f>
        <v>12675</v>
      </c>
      <c r="M60" s="87">
        <f>VLOOKUP($A60,'Data shares'!$C:$FA,97)</f>
        <v>1.44E-2</v>
      </c>
      <c r="N60" s="86">
        <f>VLOOKUP($A60,'Data shares'!$C:$FA,78)</f>
        <v>2533700</v>
      </c>
      <c r="O60" s="87">
        <f>VLOOKUP($A60,'Data shares'!$C:$FA,81)</f>
        <v>5.3E-3</v>
      </c>
    </row>
    <row r="61" spans="1:15" x14ac:dyDescent="0.25">
      <c r="A61" s="100" t="str">
        <f>'Data Vlaue (Cr)'!C56</f>
        <v>DELHIVERY</v>
      </c>
      <c r="B61" s="82">
        <f>VLOOKUP(A61,'Data shares'!$C$2:$CV$220,98,0)</f>
        <v>40665850</v>
      </c>
      <c r="C61" s="82">
        <f>VLOOKUP(A61,'Data shares'!$C$2:$CX$220,100,0)</f>
        <v>1249150</v>
      </c>
      <c r="D61" s="141">
        <f>VLOOKUP(A61,'Data shares'!$C$2:$CY$543,101,0)</f>
        <v>3.1699999999999999E-2</v>
      </c>
      <c r="E61" s="86">
        <f>VLOOKUP($A61,'Data shares'!$C:$FA,74)</f>
        <v>29510650</v>
      </c>
      <c r="F61" s="86">
        <f>VLOOKUP($A61,'Data shares'!$C:$FA,76)</f>
        <v>-1052025</v>
      </c>
      <c r="G61" s="87">
        <f>VLOOKUP(A61,'Data shares'!$C$2:$CA$220,77,0)</f>
        <v>-3.44E-2</v>
      </c>
      <c r="H61" s="86">
        <f>VLOOKUP($A61,'Data shares'!$C:$FA,90)</f>
        <v>7158750</v>
      </c>
      <c r="I61" s="86">
        <f>VLOOKUP($A61,'Data shares'!$C:$FA,92)</f>
        <v>1282350</v>
      </c>
      <c r="J61" s="87">
        <f>VLOOKUP($A61,'Data shares'!$C:$FA,93)</f>
        <v>0.21820000000000001</v>
      </c>
      <c r="K61" s="86">
        <f>VLOOKUP($A61,'Data shares'!$C:$FA,94)</f>
        <v>3996450</v>
      </c>
      <c r="L61" s="86">
        <f>VLOOKUP($A61,'Data shares'!$C:$FA,96)</f>
        <v>1018825</v>
      </c>
      <c r="M61" s="87">
        <f>VLOOKUP($A61,'Data shares'!$C:$FA,97)</f>
        <v>0.3422</v>
      </c>
      <c r="N61" s="86">
        <f>VLOOKUP($A61,'Data shares'!$C:$FA,78)</f>
        <v>29139225</v>
      </c>
      <c r="O61" s="87">
        <f>VLOOKUP($A61,'Data shares'!$C:$FA,81)</f>
        <v>-3.85E-2</v>
      </c>
    </row>
    <row r="62" spans="1:15" x14ac:dyDescent="0.25">
      <c r="A62" s="100" t="str">
        <f>'Data Vlaue (Cr)'!C57</f>
        <v>DIVISLAB</v>
      </c>
      <c r="B62" s="82">
        <f>VLOOKUP(A62,'Data shares'!$C$2:$CV$220,98,0)</f>
        <v>4212800</v>
      </c>
      <c r="C62" s="82">
        <f>VLOOKUP(A62,'Data shares'!$C$2:$CX$220,100,0)</f>
        <v>7900</v>
      </c>
      <c r="D62" s="141">
        <f>VLOOKUP(A62,'Data shares'!$C$2:$CY$543,101,0)</f>
        <v>1.9E-3</v>
      </c>
      <c r="E62" s="86">
        <f>VLOOKUP($A62,'Data shares'!$C:$FA,74)</f>
        <v>2913100</v>
      </c>
      <c r="F62" s="86">
        <f>VLOOKUP($A62,'Data shares'!$C:$FA,76)</f>
        <v>23400</v>
      </c>
      <c r="G62" s="87">
        <f>VLOOKUP(A62,'Data shares'!$C$2:$CA$220,77,0)</f>
        <v>8.0999999999999996E-3</v>
      </c>
      <c r="H62" s="86">
        <f>VLOOKUP($A62,'Data shares'!$C:$FA,90)</f>
        <v>629700</v>
      </c>
      <c r="I62" s="86">
        <f>VLOOKUP($A62,'Data shares'!$C:$FA,92)</f>
        <v>-30000</v>
      </c>
      <c r="J62" s="87">
        <f>VLOOKUP($A62,'Data shares'!$C:$FA,93)</f>
        <v>-4.5499999999999999E-2</v>
      </c>
      <c r="K62" s="86">
        <f>VLOOKUP($A62,'Data shares'!$C:$FA,94)</f>
        <v>670000</v>
      </c>
      <c r="L62" s="86">
        <f>VLOOKUP($A62,'Data shares'!$C:$FA,96)</f>
        <v>14500</v>
      </c>
      <c r="M62" s="87">
        <f>VLOOKUP($A62,'Data shares'!$C:$FA,97)</f>
        <v>2.2100000000000002E-2</v>
      </c>
      <c r="N62" s="86">
        <f>VLOOKUP($A62,'Data shares'!$C:$FA,78)</f>
        <v>2836600</v>
      </c>
      <c r="O62" s="87">
        <f>VLOOKUP($A62,'Data shares'!$C:$FA,81)</f>
        <v>7.3000000000000001E-3</v>
      </c>
    </row>
    <row r="63" spans="1:15" x14ac:dyDescent="0.25">
      <c r="A63" s="100" t="str">
        <f>'Data Vlaue (Cr)'!C58</f>
        <v>DIXON</v>
      </c>
      <c r="B63" s="82">
        <f>VLOOKUP(A63,'Data shares'!$C$2:$CV$220,98,0)</f>
        <v>5936450</v>
      </c>
      <c r="C63" s="82">
        <f>VLOOKUP(A63,'Data shares'!$C$2:$CX$220,100,0)</f>
        <v>54350</v>
      </c>
      <c r="D63" s="141">
        <f>VLOOKUP(A63,'Data shares'!$C$2:$CY$543,101,0)</f>
        <v>9.1999999999999998E-3</v>
      </c>
      <c r="E63" s="86">
        <f>VLOOKUP($A63,'Data shares'!$C:$FA,74)</f>
        <v>3035500</v>
      </c>
      <c r="F63" s="86">
        <f>VLOOKUP($A63,'Data shares'!$C:$FA,76)</f>
        <v>39700</v>
      </c>
      <c r="G63" s="87">
        <f>VLOOKUP(A63,'Data shares'!$C$2:$CA$220,77,0)</f>
        <v>1.3299999999999999E-2</v>
      </c>
      <c r="H63" s="86">
        <f>VLOOKUP($A63,'Data shares'!$C:$FA,90)</f>
        <v>1636950</v>
      </c>
      <c r="I63" s="86">
        <f>VLOOKUP($A63,'Data shares'!$C:$FA,92)</f>
        <v>-20950</v>
      </c>
      <c r="J63" s="87">
        <f>VLOOKUP($A63,'Data shares'!$C:$FA,93)</f>
        <v>-1.26E-2</v>
      </c>
      <c r="K63" s="86">
        <f>VLOOKUP($A63,'Data shares'!$C:$FA,94)</f>
        <v>1264000</v>
      </c>
      <c r="L63" s="86">
        <f>VLOOKUP($A63,'Data shares'!$C:$FA,96)</f>
        <v>35600</v>
      </c>
      <c r="M63" s="87">
        <f>VLOOKUP($A63,'Data shares'!$C:$FA,97)</f>
        <v>2.9000000000000001E-2</v>
      </c>
      <c r="N63" s="86">
        <f>VLOOKUP($A63,'Data shares'!$C:$FA,78)</f>
        <v>2747300</v>
      </c>
      <c r="O63" s="87">
        <f>VLOOKUP($A63,'Data shares'!$C:$FA,81)</f>
        <v>1.6999999999999999E-3</v>
      </c>
    </row>
    <row r="64" spans="1:15" x14ac:dyDescent="0.25">
      <c r="A64" s="100" t="str">
        <f>'Data Vlaue (Cr)'!C59</f>
        <v>DLF</v>
      </c>
      <c r="B64" s="82">
        <f>VLOOKUP(A64,'Data shares'!$C$2:$CV$220,98,0)</f>
        <v>73321875</v>
      </c>
      <c r="C64" s="82">
        <f>VLOOKUP(A64,'Data shares'!$C$2:$CX$220,100,0)</f>
        <v>703725</v>
      </c>
      <c r="D64" s="141">
        <f>VLOOKUP(A64,'Data shares'!$C$2:$CY$543,101,0)</f>
        <v>9.7000000000000003E-3</v>
      </c>
      <c r="E64" s="86">
        <f>VLOOKUP($A64,'Data shares'!$C:$FA,74)</f>
        <v>54379050</v>
      </c>
      <c r="F64" s="86">
        <f>VLOOKUP($A64,'Data shares'!$C:$FA,76)</f>
        <v>29700</v>
      </c>
      <c r="G64" s="87">
        <f>VLOOKUP(A64,'Data shares'!$C$2:$CA$220,77,0)</f>
        <v>5.0000000000000001E-4</v>
      </c>
      <c r="H64" s="86">
        <f>VLOOKUP($A64,'Data shares'!$C:$FA,90)</f>
        <v>9537000</v>
      </c>
      <c r="I64" s="86">
        <f>VLOOKUP($A64,'Data shares'!$C:$FA,92)</f>
        <v>445500</v>
      </c>
      <c r="J64" s="87">
        <f>VLOOKUP($A64,'Data shares'!$C:$FA,93)</f>
        <v>4.9000000000000002E-2</v>
      </c>
      <c r="K64" s="86">
        <f>VLOOKUP($A64,'Data shares'!$C:$FA,94)</f>
        <v>9405825</v>
      </c>
      <c r="L64" s="86">
        <f>VLOOKUP($A64,'Data shares'!$C:$FA,96)</f>
        <v>228525</v>
      </c>
      <c r="M64" s="87">
        <f>VLOOKUP($A64,'Data shares'!$C:$FA,97)</f>
        <v>2.4899999999999999E-2</v>
      </c>
      <c r="N64" s="86">
        <f>VLOOKUP($A64,'Data shares'!$C:$FA,78)</f>
        <v>51363675</v>
      </c>
      <c r="O64" s="87">
        <f>VLOOKUP($A64,'Data shares'!$C:$FA,81)</f>
        <v>-1.6999999999999999E-3</v>
      </c>
    </row>
    <row r="65" spans="1:15" x14ac:dyDescent="0.25">
      <c r="A65" s="100" t="str">
        <f>'Data Vlaue (Cr)'!C60</f>
        <v>DMART</v>
      </c>
      <c r="B65" s="82">
        <f>VLOOKUP(A65,'Data shares'!$C$2:$CV$220,98,0)</f>
        <v>7354050</v>
      </c>
      <c r="C65" s="82">
        <f>VLOOKUP(A65,'Data shares'!$C$2:$CX$220,100,0)</f>
        <v>-263550</v>
      </c>
      <c r="D65" s="141">
        <f>VLOOKUP(A65,'Data shares'!$C$2:$CY$543,101,0)</f>
        <v>-3.4599999999999999E-2</v>
      </c>
      <c r="E65" s="86">
        <f>VLOOKUP($A65,'Data shares'!$C:$FA,74)</f>
        <v>4195050</v>
      </c>
      <c r="F65" s="86">
        <f>VLOOKUP($A65,'Data shares'!$C:$FA,76)</f>
        <v>-40650</v>
      </c>
      <c r="G65" s="87">
        <f>VLOOKUP(A65,'Data shares'!$C$2:$CA$220,77,0)</f>
        <v>-9.5999999999999992E-3</v>
      </c>
      <c r="H65" s="86">
        <f>VLOOKUP($A65,'Data shares'!$C:$FA,90)</f>
        <v>1746900</v>
      </c>
      <c r="I65" s="86">
        <f>VLOOKUP($A65,'Data shares'!$C:$FA,92)</f>
        <v>-95550</v>
      </c>
      <c r="J65" s="87">
        <f>VLOOKUP($A65,'Data shares'!$C:$FA,93)</f>
        <v>-5.1900000000000002E-2</v>
      </c>
      <c r="K65" s="86">
        <f>VLOOKUP($A65,'Data shares'!$C:$FA,94)</f>
        <v>1412100</v>
      </c>
      <c r="L65" s="86">
        <f>VLOOKUP($A65,'Data shares'!$C:$FA,96)</f>
        <v>-127350</v>
      </c>
      <c r="M65" s="87">
        <f>VLOOKUP($A65,'Data shares'!$C:$FA,97)</f>
        <v>-8.2699999999999996E-2</v>
      </c>
      <c r="N65" s="86">
        <f>VLOOKUP($A65,'Data shares'!$C:$FA,78)</f>
        <v>4104900</v>
      </c>
      <c r="O65" s="87">
        <f>VLOOKUP($A65,'Data shares'!$C:$FA,81)</f>
        <v>-1.03E-2</v>
      </c>
    </row>
    <row r="66" spans="1:15" x14ac:dyDescent="0.25">
      <c r="A66" s="100" t="str">
        <f>'Data Vlaue (Cr)'!C61</f>
        <v>DRREDDY</v>
      </c>
      <c r="B66" s="82">
        <f>VLOOKUP(A66,'Data shares'!$C$2:$CV$220,98,0)</f>
        <v>23464375</v>
      </c>
      <c r="C66" s="82">
        <f>VLOOKUP(A66,'Data shares'!$C$2:$CX$220,100,0)</f>
        <v>-1800625</v>
      </c>
      <c r="D66" s="141">
        <f>VLOOKUP(A66,'Data shares'!$C$2:$CY$543,101,0)</f>
        <v>-7.1300000000000002E-2</v>
      </c>
      <c r="E66" s="86">
        <f>VLOOKUP($A66,'Data shares'!$C:$FA,74)</f>
        <v>13411875</v>
      </c>
      <c r="F66" s="86">
        <f>VLOOKUP($A66,'Data shares'!$C:$FA,76)</f>
        <v>-298125</v>
      </c>
      <c r="G66" s="87">
        <f>VLOOKUP(A66,'Data shares'!$C$2:$CA$220,77,0)</f>
        <v>-2.1700000000000001E-2</v>
      </c>
      <c r="H66" s="86">
        <f>VLOOKUP($A66,'Data shares'!$C:$FA,90)</f>
        <v>5693125</v>
      </c>
      <c r="I66" s="86">
        <f>VLOOKUP($A66,'Data shares'!$C:$FA,92)</f>
        <v>-758125</v>
      </c>
      <c r="J66" s="87">
        <f>VLOOKUP($A66,'Data shares'!$C:$FA,93)</f>
        <v>-0.11749999999999999</v>
      </c>
      <c r="K66" s="86">
        <f>VLOOKUP($A66,'Data shares'!$C:$FA,94)</f>
        <v>4359375</v>
      </c>
      <c r="L66" s="86">
        <f>VLOOKUP($A66,'Data shares'!$C:$FA,96)</f>
        <v>-744375</v>
      </c>
      <c r="M66" s="87">
        <f>VLOOKUP($A66,'Data shares'!$C:$FA,97)</f>
        <v>-0.14580000000000001</v>
      </c>
      <c r="N66" s="86">
        <f>VLOOKUP($A66,'Data shares'!$C:$FA,78)</f>
        <v>12988125</v>
      </c>
      <c r="O66" s="87">
        <f>VLOOKUP($A66,'Data shares'!$C:$FA,81)</f>
        <v>-2.0500000000000001E-2</v>
      </c>
    </row>
    <row r="67" spans="1:15" x14ac:dyDescent="0.25">
      <c r="A67" s="100" t="str">
        <f>'Data Vlaue (Cr)'!C62</f>
        <v>EICHERMOT</v>
      </c>
      <c r="B67" s="82">
        <f>VLOOKUP(A67,'Data shares'!$C$2:$CV$220,98,0)</f>
        <v>6809900</v>
      </c>
      <c r="C67" s="82">
        <f>VLOOKUP(A67,'Data shares'!$C$2:$CX$220,100,0)</f>
        <v>83400</v>
      </c>
      <c r="D67" s="141">
        <f>VLOOKUP(A67,'Data shares'!$C$2:$CY$543,101,0)</f>
        <v>1.24E-2</v>
      </c>
      <c r="E67" s="86">
        <f>VLOOKUP($A67,'Data shares'!$C:$FA,74)</f>
        <v>4174800</v>
      </c>
      <c r="F67" s="86">
        <f>VLOOKUP($A67,'Data shares'!$C:$FA,76)</f>
        <v>-83800</v>
      </c>
      <c r="G67" s="87">
        <f>VLOOKUP(A67,'Data shares'!$C$2:$CA$220,77,0)</f>
        <v>-1.9699999999999999E-2</v>
      </c>
      <c r="H67" s="86">
        <f>VLOOKUP($A67,'Data shares'!$C:$FA,90)</f>
        <v>1401800</v>
      </c>
      <c r="I67" s="86">
        <f>VLOOKUP($A67,'Data shares'!$C:$FA,92)</f>
        <v>12900</v>
      </c>
      <c r="J67" s="87">
        <f>VLOOKUP($A67,'Data shares'!$C:$FA,93)</f>
        <v>9.2999999999999992E-3</v>
      </c>
      <c r="K67" s="86">
        <f>VLOOKUP($A67,'Data shares'!$C:$FA,94)</f>
        <v>1233300</v>
      </c>
      <c r="L67" s="86">
        <f>VLOOKUP($A67,'Data shares'!$C:$FA,96)</f>
        <v>154300</v>
      </c>
      <c r="M67" s="87">
        <f>VLOOKUP($A67,'Data shares'!$C:$FA,97)</f>
        <v>0.14299999999999999</v>
      </c>
      <c r="N67" s="86">
        <f>VLOOKUP($A67,'Data shares'!$C:$FA,78)</f>
        <v>3795300</v>
      </c>
      <c r="O67" s="87">
        <f>VLOOKUP($A67,'Data shares'!$C:$FA,81)</f>
        <v>-3.5200000000000002E-2</v>
      </c>
    </row>
    <row r="68" spans="1:15" x14ac:dyDescent="0.25">
      <c r="A68" s="100" t="str">
        <f>'Data Vlaue (Cr)'!C63</f>
        <v>ETERNAL</v>
      </c>
      <c r="B68" s="82">
        <f>VLOOKUP(A68,'Data shares'!$C$2:$CV$220,98,0)</f>
        <v>297838500</v>
      </c>
      <c r="C68" s="82">
        <f>VLOOKUP(A68,'Data shares'!$C$2:$CX$220,100,0)</f>
        <v>8955525</v>
      </c>
      <c r="D68" s="141">
        <f>VLOOKUP(A68,'Data shares'!$C$2:$CY$543,101,0)</f>
        <v>3.1E-2</v>
      </c>
      <c r="E68" s="86">
        <f>VLOOKUP($A68,'Data shares'!$C:$FA,74)</f>
        <v>201558725</v>
      </c>
      <c r="F68" s="86">
        <f>VLOOKUP($A68,'Data shares'!$C:$FA,76)</f>
        <v>729925</v>
      </c>
      <c r="G68" s="87">
        <f>VLOOKUP(A68,'Data shares'!$C$2:$CA$220,77,0)</f>
        <v>3.5999999999999999E-3</v>
      </c>
      <c r="H68" s="86">
        <f>VLOOKUP($A68,'Data shares'!$C:$FA,90)</f>
        <v>56897775</v>
      </c>
      <c r="I68" s="86">
        <f>VLOOKUP($A68,'Data shares'!$C:$FA,92)</f>
        <v>6811825</v>
      </c>
      <c r="J68" s="87">
        <f>VLOOKUP($A68,'Data shares'!$C:$FA,93)</f>
        <v>0.13600000000000001</v>
      </c>
      <c r="K68" s="86">
        <f>VLOOKUP($A68,'Data shares'!$C:$FA,94)</f>
        <v>39382000</v>
      </c>
      <c r="L68" s="86">
        <f>VLOOKUP($A68,'Data shares'!$C:$FA,96)</f>
        <v>1413775</v>
      </c>
      <c r="M68" s="87">
        <f>VLOOKUP($A68,'Data shares'!$C:$FA,97)</f>
        <v>3.7199999999999997E-2</v>
      </c>
      <c r="N68" s="86">
        <f>VLOOKUP($A68,'Data shares'!$C:$FA,78)</f>
        <v>186817150</v>
      </c>
      <c r="O68" s="87">
        <f>VLOOKUP($A68,'Data shares'!$C:$FA,81)</f>
        <v>-2.9999999999999997E-4</v>
      </c>
    </row>
    <row r="69" spans="1:15" x14ac:dyDescent="0.25">
      <c r="A69" s="100" t="str">
        <f>'Data Vlaue (Cr)'!C64</f>
        <v>EXIDEIND</v>
      </c>
      <c r="B69" s="82">
        <f>VLOOKUP(A69,'Data shares'!$C$2:$CV$220,98,0)</f>
        <v>51408000</v>
      </c>
      <c r="C69" s="82">
        <f>VLOOKUP(A69,'Data shares'!$C$2:$CX$220,100,0)</f>
        <v>5115600</v>
      </c>
      <c r="D69" s="141">
        <f>VLOOKUP(A69,'Data shares'!$C$2:$CY$543,101,0)</f>
        <v>0.1105</v>
      </c>
      <c r="E69" s="86">
        <f>VLOOKUP($A69,'Data shares'!$C:$FA,74)</f>
        <v>29379600</v>
      </c>
      <c r="F69" s="86">
        <f>VLOOKUP($A69,'Data shares'!$C:$FA,76)</f>
        <v>241200</v>
      </c>
      <c r="G69" s="87">
        <f>VLOOKUP(A69,'Data shares'!$C$2:$CA$220,77,0)</f>
        <v>8.3000000000000001E-3</v>
      </c>
      <c r="H69" s="86">
        <f>VLOOKUP($A69,'Data shares'!$C:$FA,90)</f>
        <v>11188800</v>
      </c>
      <c r="I69" s="86">
        <f>VLOOKUP($A69,'Data shares'!$C:$FA,92)</f>
        <v>1906200</v>
      </c>
      <c r="J69" s="87">
        <f>VLOOKUP($A69,'Data shares'!$C:$FA,93)</f>
        <v>0.2054</v>
      </c>
      <c r="K69" s="86">
        <f>VLOOKUP($A69,'Data shares'!$C:$FA,94)</f>
        <v>10839600</v>
      </c>
      <c r="L69" s="86">
        <f>VLOOKUP($A69,'Data shares'!$C:$FA,96)</f>
        <v>2968200</v>
      </c>
      <c r="M69" s="87">
        <f>VLOOKUP($A69,'Data shares'!$C:$FA,97)</f>
        <v>0.37709999999999999</v>
      </c>
      <c r="N69" s="86">
        <f>VLOOKUP($A69,'Data shares'!$C:$FA,78)</f>
        <v>27714600</v>
      </c>
      <c r="O69" s="87">
        <f>VLOOKUP($A69,'Data shares'!$C:$FA,81)</f>
        <v>-4.1000000000000003E-3</v>
      </c>
    </row>
    <row r="70" spans="1:15" x14ac:dyDescent="0.25">
      <c r="A70" s="100" t="str">
        <f>'Data Vlaue (Cr)'!C65</f>
        <v>FEDERALBNK</v>
      </c>
      <c r="B70" s="82">
        <f>VLOOKUP(A70,'Data shares'!$C$2:$CV$220,98,0)</f>
        <v>124980000</v>
      </c>
      <c r="C70" s="82">
        <f>VLOOKUP(A70,'Data shares'!$C$2:$CX$220,100,0)</f>
        <v>575000</v>
      </c>
      <c r="D70" s="141">
        <f>VLOOKUP(A70,'Data shares'!$C$2:$CY$543,101,0)</f>
        <v>4.5999999999999999E-3</v>
      </c>
      <c r="E70" s="86">
        <f>VLOOKUP($A70,'Data shares'!$C:$FA,74)</f>
        <v>79675000</v>
      </c>
      <c r="F70" s="86">
        <f>VLOOKUP($A70,'Data shares'!$C:$FA,76)</f>
        <v>-125000</v>
      </c>
      <c r="G70" s="87">
        <f>VLOOKUP(A70,'Data shares'!$C$2:$CA$220,77,0)</f>
        <v>-1.6000000000000001E-3</v>
      </c>
      <c r="H70" s="86">
        <f>VLOOKUP($A70,'Data shares'!$C:$FA,90)</f>
        <v>23530000</v>
      </c>
      <c r="I70" s="86">
        <f>VLOOKUP($A70,'Data shares'!$C:$FA,92)</f>
        <v>450000</v>
      </c>
      <c r="J70" s="87">
        <f>VLOOKUP($A70,'Data shares'!$C:$FA,93)</f>
        <v>1.95E-2</v>
      </c>
      <c r="K70" s="86">
        <f>VLOOKUP($A70,'Data shares'!$C:$FA,94)</f>
        <v>21775000</v>
      </c>
      <c r="L70" s="86">
        <f>VLOOKUP($A70,'Data shares'!$C:$FA,96)</f>
        <v>250000</v>
      </c>
      <c r="M70" s="87">
        <f>VLOOKUP($A70,'Data shares'!$C:$FA,97)</f>
        <v>1.1599999999999999E-2</v>
      </c>
      <c r="N70" s="86">
        <f>VLOOKUP($A70,'Data shares'!$C:$FA,78)</f>
        <v>77125000</v>
      </c>
      <c r="O70" s="87">
        <f>VLOOKUP($A70,'Data shares'!$C:$FA,81)</f>
        <v>-8.0000000000000002E-3</v>
      </c>
    </row>
    <row r="71" spans="1:15" x14ac:dyDescent="0.25">
      <c r="A71" s="100" t="str">
        <f>'Data Vlaue (Cr)'!C66</f>
        <v>FINNIFTY</v>
      </c>
      <c r="B71" s="82">
        <f>VLOOKUP(A71,'Data shares'!$C$2:$CV$220,98,0)</f>
        <v>260220</v>
      </c>
      <c r="C71" s="82">
        <f>VLOOKUP(A71,'Data shares'!$C$2:$CX$220,100,0)</f>
        <v>35520</v>
      </c>
      <c r="D71" s="141">
        <f>VLOOKUP(A71,'Data shares'!$C$2:$CY$543,101,0)</f>
        <v>0.15809999999999999</v>
      </c>
      <c r="E71" s="86">
        <f>VLOOKUP($A71,'Data shares'!$C:$FA,74)</f>
        <v>27780</v>
      </c>
      <c r="F71" s="86">
        <f>VLOOKUP($A71,'Data shares'!$C:$FA,76)</f>
        <v>1140</v>
      </c>
      <c r="G71" s="87">
        <f>VLOOKUP(A71,'Data shares'!$C$2:$CA$220,77,0)</f>
        <v>4.2799999999999998E-2</v>
      </c>
      <c r="H71" s="86">
        <f>VLOOKUP($A71,'Data shares'!$C:$FA,90)</f>
        <v>123120</v>
      </c>
      <c r="I71" s="86">
        <f>VLOOKUP($A71,'Data shares'!$C:$FA,92)</f>
        <v>10380</v>
      </c>
      <c r="J71" s="87">
        <f>VLOOKUP($A71,'Data shares'!$C:$FA,93)</f>
        <v>9.2100000000000001E-2</v>
      </c>
      <c r="K71" s="86">
        <f>VLOOKUP($A71,'Data shares'!$C:$FA,94)</f>
        <v>109320</v>
      </c>
      <c r="L71" s="86">
        <f>VLOOKUP($A71,'Data shares'!$C:$FA,96)</f>
        <v>24000</v>
      </c>
      <c r="M71" s="87">
        <f>VLOOKUP($A71,'Data shares'!$C:$FA,97)</f>
        <v>0.28129999999999999</v>
      </c>
      <c r="N71" s="86">
        <f>VLOOKUP($A71,'Data shares'!$C:$FA,78)</f>
        <v>26460</v>
      </c>
      <c r="O71" s="87">
        <f>VLOOKUP($A71,'Data shares'!$C:$FA,81)</f>
        <v>2.3199999999999998E-2</v>
      </c>
    </row>
    <row r="72" spans="1:15" x14ac:dyDescent="0.25">
      <c r="A72" s="100" t="str">
        <f>'Data Vlaue (Cr)'!C67</f>
        <v>FORCEMOT</v>
      </c>
      <c r="B72" s="82">
        <f>VLOOKUP(A72,'Data shares'!$C$2:$CV$220,98,0)</f>
        <v>140675</v>
      </c>
      <c r="C72" s="82">
        <f>VLOOKUP(A72,'Data shares'!$C$2:$CX$220,100,0)</f>
        <v>6375</v>
      </c>
      <c r="D72" s="141">
        <f>VLOOKUP(A72,'Data shares'!$C$2:$CY$543,101,0)</f>
        <v>4.7500000000000001E-2</v>
      </c>
      <c r="E72" s="86">
        <f>VLOOKUP($A72,'Data shares'!$C:$FA,74)</f>
        <v>85175</v>
      </c>
      <c r="F72" s="86">
        <f>VLOOKUP($A72,'Data shares'!$C:$FA,76)</f>
        <v>200</v>
      </c>
      <c r="G72" s="87">
        <f>VLOOKUP(A72,'Data shares'!$C$2:$CA$220,77,0)</f>
        <v>2.3999999999999998E-3</v>
      </c>
      <c r="H72" s="86">
        <f>VLOOKUP($A72,'Data shares'!$C:$FA,90)</f>
        <v>36450</v>
      </c>
      <c r="I72" s="86">
        <f>VLOOKUP($A72,'Data shares'!$C:$FA,92)</f>
        <v>4100</v>
      </c>
      <c r="J72" s="87">
        <f>VLOOKUP($A72,'Data shares'!$C:$FA,93)</f>
        <v>0.12670000000000001</v>
      </c>
      <c r="K72" s="86">
        <f>VLOOKUP($A72,'Data shares'!$C:$FA,94)</f>
        <v>19050</v>
      </c>
      <c r="L72" s="86">
        <f>VLOOKUP($A72,'Data shares'!$C:$FA,96)</f>
        <v>2075</v>
      </c>
      <c r="M72" s="87">
        <f>VLOOKUP($A72,'Data shares'!$C:$FA,97)</f>
        <v>0.1222</v>
      </c>
      <c r="N72" s="86">
        <f>VLOOKUP($A72,'Data shares'!$C:$FA,78)</f>
        <v>72400</v>
      </c>
      <c r="O72" s="87">
        <f>VLOOKUP($A72,'Data shares'!$C:$FA,81)</f>
        <v>-5.5399999999999998E-2</v>
      </c>
    </row>
    <row r="73" spans="1:15" x14ac:dyDescent="0.25">
      <c r="A73" s="100" t="str">
        <f>'Data Vlaue (Cr)'!C68</f>
        <v>FORTIS</v>
      </c>
      <c r="B73" s="82">
        <f>VLOOKUP(A73,'Data shares'!$C$2:$CV$220,98,0)</f>
        <v>14929600</v>
      </c>
      <c r="C73" s="82">
        <f>VLOOKUP(A73,'Data shares'!$C$2:$CX$220,100,0)</f>
        <v>16275</v>
      </c>
      <c r="D73" s="141">
        <f>VLOOKUP(A73,'Data shares'!$C$2:$CY$543,101,0)</f>
        <v>1.1000000000000001E-3</v>
      </c>
      <c r="E73" s="86">
        <f>VLOOKUP($A73,'Data shares'!$C:$FA,74)</f>
        <v>11944300</v>
      </c>
      <c r="F73" s="86">
        <f>VLOOKUP($A73,'Data shares'!$C:$FA,76)</f>
        <v>62000</v>
      </c>
      <c r="G73" s="87">
        <f>VLOOKUP(A73,'Data shares'!$C$2:$CA$220,77,0)</f>
        <v>5.1999999999999998E-3</v>
      </c>
      <c r="H73" s="86">
        <f>VLOOKUP($A73,'Data shares'!$C:$FA,90)</f>
        <v>1756150</v>
      </c>
      <c r="I73" s="86">
        <f>VLOOKUP($A73,'Data shares'!$C:$FA,92)</f>
        <v>-87575</v>
      </c>
      <c r="J73" s="87">
        <f>VLOOKUP($A73,'Data shares'!$C:$FA,93)</f>
        <v>-4.7500000000000001E-2</v>
      </c>
      <c r="K73" s="86">
        <f>VLOOKUP($A73,'Data shares'!$C:$FA,94)</f>
        <v>1229150</v>
      </c>
      <c r="L73" s="86">
        <f>VLOOKUP($A73,'Data shares'!$C:$FA,96)</f>
        <v>41850</v>
      </c>
      <c r="M73" s="87">
        <f>VLOOKUP($A73,'Data shares'!$C:$FA,97)</f>
        <v>3.5200000000000002E-2</v>
      </c>
      <c r="N73" s="86">
        <f>VLOOKUP($A73,'Data shares'!$C:$FA,78)</f>
        <v>11792400</v>
      </c>
      <c r="O73" s="87">
        <f>VLOOKUP($A73,'Data shares'!$C:$FA,81)</f>
        <v>3.3999999999999998E-3</v>
      </c>
    </row>
    <row r="74" spans="1:15" x14ac:dyDescent="0.25">
      <c r="A74" s="100" t="str">
        <f>'Data Vlaue (Cr)'!C69</f>
        <v>GAIL</v>
      </c>
      <c r="B74" s="82">
        <f>VLOOKUP(A74,'Data shares'!$C$2:$CV$220,98,0)</f>
        <v>138023550</v>
      </c>
      <c r="C74" s="82">
        <f>VLOOKUP(A74,'Data shares'!$C$2:$CX$220,100,0)</f>
        <v>-393750</v>
      </c>
      <c r="D74" s="141">
        <f>VLOOKUP(A74,'Data shares'!$C$2:$CY$543,101,0)</f>
        <v>-2.8E-3</v>
      </c>
      <c r="E74" s="86">
        <f>VLOOKUP($A74,'Data shares'!$C:$FA,74)</f>
        <v>81405450</v>
      </c>
      <c r="F74" s="86">
        <f>VLOOKUP($A74,'Data shares'!$C:$FA,76)</f>
        <v>-598500</v>
      </c>
      <c r="G74" s="87">
        <f>VLOOKUP(A74,'Data shares'!$C$2:$CA$220,77,0)</f>
        <v>-7.3000000000000001E-3</v>
      </c>
      <c r="H74" s="86">
        <f>VLOOKUP($A74,'Data shares'!$C:$FA,90)</f>
        <v>26809650</v>
      </c>
      <c r="I74" s="86">
        <f>VLOOKUP($A74,'Data shares'!$C:$FA,92)</f>
        <v>110250</v>
      </c>
      <c r="J74" s="87">
        <f>VLOOKUP($A74,'Data shares'!$C:$FA,93)</f>
        <v>4.1000000000000003E-3</v>
      </c>
      <c r="K74" s="86">
        <f>VLOOKUP($A74,'Data shares'!$C:$FA,94)</f>
        <v>29808450</v>
      </c>
      <c r="L74" s="86">
        <f>VLOOKUP($A74,'Data shares'!$C:$FA,96)</f>
        <v>94500</v>
      </c>
      <c r="M74" s="87">
        <f>VLOOKUP($A74,'Data shares'!$C:$FA,97)</f>
        <v>3.2000000000000002E-3</v>
      </c>
      <c r="N74" s="86">
        <f>VLOOKUP($A74,'Data shares'!$C:$FA,78)</f>
        <v>78535800</v>
      </c>
      <c r="O74" s="87">
        <f>VLOOKUP($A74,'Data shares'!$C:$FA,81)</f>
        <v>-9.1000000000000004E-3</v>
      </c>
    </row>
    <row r="75" spans="1:15" x14ac:dyDescent="0.25">
      <c r="A75" s="100" t="str">
        <f>'Data Vlaue (Cr)'!C70</f>
        <v>GLENMARK</v>
      </c>
      <c r="B75" s="82">
        <f>VLOOKUP(A75,'Data shares'!$C$2:$CV$220,98,0)</f>
        <v>12704625</v>
      </c>
      <c r="C75" s="82">
        <f>VLOOKUP(A75,'Data shares'!$C$2:$CX$220,100,0)</f>
        <v>-133875</v>
      </c>
      <c r="D75" s="141">
        <f>VLOOKUP(A75,'Data shares'!$C$2:$CY$543,101,0)</f>
        <v>-1.04E-2</v>
      </c>
      <c r="E75" s="86">
        <f>VLOOKUP($A75,'Data shares'!$C:$FA,74)</f>
        <v>10438875</v>
      </c>
      <c r="F75" s="86">
        <f>VLOOKUP($A75,'Data shares'!$C:$FA,76)</f>
        <v>-256125</v>
      </c>
      <c r="G75" s="87">
        <f>VLOOKUP(A75,'Data shares'!$C$2:$CA$220,77,0)</f>
        <v>-2.3900000000000001E-2</v>
      </c>
      <c r="H75" s="86">
        <f>VLOOKUP($A75,'Data shares'!$C:$FA,90)</f>
        <v>1429125</v>
      </c>
      <c r="I75" s="86">
        <f>VLOOKUP($A75,'Data shares'!$C:$FA,92)</f>
        <v>61500</v>
      </c>
      <c r="J75" s="87">
        <f>VLOOKUP($A75,'Data shares'!$C:$FA,93)</f>
        <v>4.4999999999999998E-2</v>
      </c>
      <c r="K75" s="86">
        <f>VLOOKUP($A75,'Data shares'!$C:$FA,94)</f>
        <v>836625</v>
      </c>
      <c r="L75" s="86">
        <f>VLOOKUP($A75,'Data shares'!$C:$FA,96)</f>
        <v>60750</v>
      </c>
      <c r="M75" s="87">
        <f>VLOOKUP($A75,'Data shares'!$C:$FA,97)</f>
        <v>7.8299999999999995E-2</v>
      </c>
      <c r="N75" s="86">
        <f>VLOOKUP($A75,'Data shares'!$C:$FA,78)</f>
        <v>10374750</v>
      </c>
      <c r="O75" s="87">
        <f>VLOOKUP($A75,'Data shares'!$C:$FA,81)</f>
        <v>-2.4199999999999999E-2</v>
      </c>
    </row>
    <row r="76" spans="1:15" x14ac:dyDescent="0.25">
      <c r="A76" s="100" t="str">
        <f>'Data Vlaue (Cr)'!C71</f>
        <v>GMRAIRPORT</v>
      </c>
      <c r="B76" s="82">
        <f>VLOOKUP(A76,'Data shares'!$C$2:$CV$220,98,0)</f>
        <v>195913800</v>
      </c>
      <c r="C76" s="82">
        <f>VLOOKUP(A76,'Data shares'!$C$2:$CX$220,100,0)</f>
        <v>6033375</v>
      </c>
      <c r="D76" s="141">
        <f>VLOOKUP(A76,'Data shares'!$C$2:$CY$543,101,0)</f>
        <v>3.1800000000000002E-2</v>
      </c>
      <c r="E76" s="86">
        <f>VLOOKUP($A76,'Data shares'!$C:$FA,74)</f>
        <v>141174000</v>
      </c>
      <c r="F76" s="86">
        <f>VLOOKUP($A76,'Data shares'!$C:$FA,76)</f>
        <v>781200</v>
      </c>
      <c r="G76" s="87">
        <f>VLOOKUP(A76,'Data shares'!$C$2:$CA$220,77,0)</f>
        <v>5.5999999999999999E-3</v>
      </c>
      <c r="H76" s="86">
        <f>VLOOKUP($A76,'Data shares'!$C:$FA,90)</f>
        <v>30948075</v>
      </c>
      <c r="I76" s="86">
        <f>VLOOKUP($A76,'Data shares'!$C:$FA,92)</f>
        <v>4345425</v>
      </c>
      <c r="J76" s="87">
        <f>VLOOKUP($A76,'Data shares'!$C:$FA,93)</f>
        <v>0.1633</v>
      </c>
      <c r="K76" s="86">
        <f>VLOOKUP($A76,'Data shares'!$C:$FA,94)</f>
        <v>23791725</v>
      </c>
      <c r="L76" s="86">
        <f>VLOOKUP($A76,'Data shares'!$C:$FA,96)</f>
        <v>906750</v>
      </c>
      <c r="M76" s="87">
        <f>VLOOKUP($A76,'Data shares'!$C:$FA,97)</f>
        <v>3.9600000000000003E-2</v>
      </c>
      <c r="N76" s="86">
        <f>VLOOKUP($A76,'Data shares'!$C:$FA,78)</f>
        <v>136765800</v>
      </c>
      <c r="O76" s="87">
        <f>VLOOKUP($A76,'Data shares'!$C:$FA,81)</f>
        <v>3.8E-3</v>
      </c>
    </row>
    <row r="77" spans="1:15" x14ac:dyDescent="0.25">
      <c r="A77" s="100" t="str">
        <f>'Data Vlaue (Cr)'!C72</f>
        <v>GODFRYPHLP</v>
      </c>
      <c r="B77" s="82">
        <f>VLOOKUP(A77,'Data shares'!$C$2:$CV$220,98,0)</f>
        <v>521950</v>
      </c>
      <c r="C77" s="82">
        <f>VLOOKUP(A77,'Data shares'!$C$2:$CX$220,100,0)</f>
        <v>158950</v>
      </c>
      <c r="D77" s="141">
        <f>VLOOKUP(A77,'Data shares'!$C$2:$CY$543,101,0)</f>
        <v>0.43790000000000001</v>
      </c>
      <c r="E77" s="86">
        <f>VLOOKUP($A77,'Data shares'!$C:$FA,74)</f>
        <v>287925</v>
      </c>
      <c r="F77" s="86">
        <f>VLOOKUP($A77,'Data shares'!$C:$FA,76)</f>
        <v>58850</v>
      </c>
      <c r="G77" s="87">
        <f>VLOOKUP(A77,'Data shares'!$C$2:$CA$220,77,0)</f>
        <v>0.25690000000000002</v>
      </c>
      <c r="H77" s="86">
        <f>VLOOKUP($A77,'Data shares'!$C:$FA,90)</f>
        <v>155925</v>
      </c>
      <c r="I77" s="86">
        <f>VLOOKUP($A77,'Data shares'!$C:$FA,92)</f>
        <v>88550</v>
      </c>
      <c r="J77" s="87">
        <f>VLOOKUP($A77,'Data shares'!$C:$FA,93)</f>
        <v>1.3143</v>
      </c>
      <c r="K77" s="86">
        <f>VLOOKUP($A77,'Data shares'!$C:$FA,94)</f>
        <v>78100</v>
      </c>
      <c r="L77" s="86">
        <f>VLOOKUP($A77,'Data shares'!$C:$FA,96)</f>
        <v>11550</v>
      </c>
      <c r="M77" s="87">
        <f>VLOOKUP($A77,'Data shares'!$C:$FA,97)</f>
        <v>0.1736</v>
      </c>
      <c r="N77" s="86">
        <f>VLOOKUP($A77,'Data shares'!$C:$FA,78)</f>
        <v>258775</v>
      </c>
      <c r="O77" s="87">
        <f>VLOOKUP($A77,'Data shares'!$C:$FA,81)</f>
        <v>0.248</v>
      </c>
    </row>
    <row r="78" spans="1:15" x14ac:dyDescent="0.25">
      <c r="A78" s="100" t="str">
        <f>'Data Vlaue (Cr)'!C73</f>
        <v>GODREJCP</v>
      </c>
      <c r="B78" s="82">
        <f>VLOOKUP(A78,'Data shares'!$C$2:$CV$220,98,0)</f>
        <v>14677500</v>
      </c>
      <c r="C78" s="82">
        <f>VLOOKUP(A78,'Data shares'!$C$2:$CX$220,100,0)</f>
        <v>281500</v>
      </c>
      <c r="D78" s="141">
        <f>VLOOKUP(A78,'Data shares'!$C$2:$CY$543,101,0)</f>
        <v>1.9599999999999999E-2</v>
      </c>
      <c r="E78" s="86">
        <f>VLOOKUP($A78,'Data shares'!$C:$FA,74)</f>
        <v>12480000</v>
      </c>
      <c r="F78" s="86">
        <f>VLOOKUP($A78,'Data shares'!$C:$FA,76)</f>
        <v>210000</v>
      </c>
      <c r="G78" s="87">
        <f>VLOOKUP(A78,'Data shares'!$C$2:$CA$220,77,0)</f>
        <v>1.7100000000000001E-2</v>
      </c>
      <c r="H78" s="86">
        <f>VLOOKUP($A78,'Data shares'!$C:$FA,90)</f>
        <v>1142000</v>
      </c>
      <c r="I78" s="86">
        <f>VLOOKUP($A78,'Data shares'!$C:$FA,92)</f>
        <v>41500</v>
      </c>
      <c r="J78" s="87">
        <f>VLOOKUP($A78,'Data shares'!$C:$FA,93)</f>
        <v>3.7699999999999997E-2</v>
      </c>
      <c r="K78" s="86">
        <f>VLOOKUP($A78,'Data shares'!$C:$FA,94)</f>
        <v>1055500</v>
      </c>
      <c r="L78" s="86">
        <f>VLOOKUP($A78,'Data shares'!$C:$FA,96)</f>
        <v>30000</v>
      </c>
      <c r="M78" s="87">
        <f>VLOOKUP($A78,'Data shares'!$C:$FA,97)</f>
        <v>2.93E-2</v>
      </c>
      <c r="N78" s="86">
        <f>VLOOKUP($A78,'Data shares'!$C:$FA,78)</f>
        <v>12400500</v>
      </c>
      <c r="O78" s="87">
        <f>VLOOKUP($A78,'Data shares'!$C:$FA,81)</f>
        <v>1.7100000000000001E-2</v>
      </c>
    </row>
    <row r="79" spans="1:15" x14ac:dyDescent="0.25">
      <c r="A79" s="100" t="str">
        <f>'Data Vlaue (Cr)'!C74</f>
        <v>GODREJPROP</v>
      </c>
      <c r="B79" s="82">
        <f>VLOOKUP(A79,'Data shares'!$C$2:$CV$220,98,0)</f>
        <v>11868725</v>
      </c>
      <c r="C79" s="82">
        <f>VLOOKUP(A79,'Data shares'!$C$2:$CX$220,100,0)</f>
        <v>45650</v>
      </c>
      <c r="D79" s="141">
        <f>VLOOKUP(A79,'Data shares'!$C$2:$CY$543,101,0)</f>
        <v>3.8999999999999998E-3</v>
      </c>
      <c r="E79" s="86">
        <f>VLOOKUP($A79,'Data shares'!$C:$FA,74)</f>
        <v>7997000</v>
      </c>
      <c r="F79" s="86">
        <f>VLOOKUP($A79,'Data shares'!$C:$FA,76)</f>
        <v>40975</v>
      </c>
      <c r="G79" s="87">
        <f>VLOOKUP(A79,'Data shares'!$C$2:$CA$220,77,0)</f>
        <v>5.1999999999999998E-3</v>
      </c>
      <c r="H79" s="86">
        <f>VLOOKUP($A79,'Data shares'!$C:$FA,90)</f>
        <v>2150225</v>
      </c>
      <c r="I79" s="86">
        <f>VLOOKUP($A79,'Data shares'!$C:$FA,92)</f>
        <v>-44550</v>
      </c>
      <c r="J79" s="87">
        <f>VLOOKUP($A79,'Data shares'!$C:$FA,93)</f>
        <v>-2.0299999999999999E-2</v>
      </c>
      <c r="K79" s="86">
        <f>VLOOKUP($A79,'Data shares'!$C:$FA,94)</f>
        <v>1721500</v>
      </c>
      <c r="L79" s="86">
        <f>VLOOKUP($A79,'Data shares'!$C:$FA,96)</f>
        <v>49225</v>
      </c>
      <c r="M79" s="87">
        <f>VLOOKUP($A79,'Data shares'!$C:$FA,97)</f>
        <v>2.9399999999999999E-2</v>
      </c>
      <c r="N79" s="86">
        <f>VLOOKUP($A79,'Data shares'!$C:$FA,78)</f>
        <v>7762425</v>
      </c>
      <c r="O79" s="87">
        <f>VLOOKUP($A79,'Data shares'!$C:$FA,81)</f>
        <v>3.3999999999999998E-3</v>
      </c>
    </row>
    <row r="80" spans="1:15" x14ac:dyDescent="0.25">
      <c r="A80" s="100" t="str">
        <f>'Data Vlaue (Cr)'!C75</f>
        <v>GRASIM</v>
      </c>
      <c r="B80" s="82">
        <f>VLOOKUP(A80,'Data shares'!$C$2:$CV$220,98,0)</f>
        <v>16983500</v>
      </c>
      <c r="C80" s="82">
        <f>VLOOKUP(A80,'Data shares'!$C$2:$CX$220,100,0)</f>
        <v>95250</v>
      </c>
      <c r="D80" s="141">
        <f>VLOOKUP(A80,'Data shares'!$C$2:$CY$543,101,0)</f>
        <v>5.5999999999999999E-3</v>
      </c>
      <c r="E80" s="86">
        <f>VLOOKUP($A80,'Data shares'!$C:$FA,74)</f>
        <v>14093750</v>
      </c>
      <c r="F80" s="86">
        <f>VLOOKUP($A80,'Data shares'!$C:$FA,76)</f>
        <v>-105000</v>
      </c>
      <c r="G80" s="87">
        <f>VLOOKUP(A80,'Data shares'!$C$2:$CA$220,77,0)</f>
        <v>-7.4000000000000003E-3</v>
      </c>
      <c r="H80" s="86">
        <f>VLOOKUP($A80,'Data shares'!$C:$FA,90)</f>
        <v>1669000</v>
      </c>
      <c r="I80" s="86">
        <f>VLOOKUP($A80,'Data shares'!$C:$FA,92)</f>
        <v>123250</v>
      </c>
      <c r="J80" s="87">
        <f>VLOOKUP($A80,'Data shares'!$C:$FA,93)</f>
        <v>7.9699999999999993E-2</v>
      </c>
      <c r="K80" s="86">
        <f>VLOOKUP($A80,'Data shares'!$C:$FA,94)</f>
        <v>1220750</v>
      </c>
      <c r="L80" s="86">
        <f>VLOOKUP($A80,'Data shares'!$C:$FA,96)</f>
        <v>77000</v>
      </c>
      <c r="M80" s="87">
        <f>VLOOKUP($A80,'Data shares'!$C:$FA,97)</f>
        <v>6.7299999999999999E-2</v>
      </c>
      <c r="N80" s="86">
        <f>VLOOKUP($A80,'Data shares'!$C:$FA,78)</f>
        <v>13797750</v>
      </c>
      <c r="O80" s="87">
        <f>VLOOKUP($A80,'Data shares'!$C:$FA,81)</f>
        <v>-8.2000000000000007E-3</v>
      </c>
    </row>
    <row r="81" spans="1:15" x14ac:dyDescent="0.25">
      <c r="A81" s="100" t="str">
        <f>'Data Vlaue (Cr)'!C76</f>
        <v>HAL</v>
      </c>
      <c r="B81" s="82">
        <f>VLOOKUP(A81,'Data shares'!$C$2:$CV$220,98,0)</f>
        <v>13992750</v>
      </c>
      <c r="C81" s="82">
        <f>VLOOKUP(A81,'Data shares'!$C$2:$CX$220,100,0)</f>
        <v>586050</v>
      </c>
      <c r="D81" s="141">
        <f>VLOOKUP(A81,'Data shares'!$C$2:$CY$543,101,0)</f>
        <v>4.3700000000000003E-2</v>
      </c>
      <c r="E81" s="86">
        <f>VLOOKUP($A81,'Data shares'!$C:$FA,74)</f>
        <v>7890900</v>
      </c>
      <c r="F81" s="86">
        <f>VLOOKUP($A81,'Data shares'!$C:$FA,76)</f>
        <v>-172950</v>
      </c>
      <c r="G81" s="87">
        <f>VLOOKUP(A81,'Data shares'!$C$2:$CA$220,77,0)</f>
        <v>-2.1399999999999999E-2</v>
      </c>
      <c r="H81" s="86">
        <f>VLOOKUP($A81,'Data shares'!$C:$FA,90)</f>
        <v>3264300</v>
      </c>
      <c r="I81" s="86">
        <f>VLOOKUP($A81,'Data shares'!$C:$FA,92)</f>
        <v>464700</v>
      </c>
      <c r="J81" s="87">
        <f>VLOOKUP($A81,'Data shares'!$C:$FA,93)</f>
        <v>0.16600000000000001</v>
      </c>
      <c r="K81" s="86">
        <f>VLOOKUP($A81,'Data shares'!$C:$FA,94)</f>
        <v>2837550</v>
      </c>
      <c r="L81" s="86">
        <f>VLOOKUP($A81,'Data shares'!$C:$FA,96)</f>
        <v>294300</v>
      </c>
      <c r="M81" s="87">
        <f>VLOOKUP($A81,'Data shares'!$C:$FA,97)</f>
        <v>0.1157</v>
      </c>
      <c r="N81" s="86">
        <f>VLOOKUP($A81,'Data shares'!$C:$FA,78)</f>
        <v>7399650</v>
      </c>
      <c r="O81" s="87">
        <f>VLOOKUP($A81,'Data shares'!$C:$FA,81)</f>
        <v>-2.75E-2</v>
      </c>
    </row>
    <row r="82" spans="1:15" x14ac:dyDescent="0.25">
      <c r="A82" s="100" t="str">
        <f>'Data Vlaue (Cr)'!C77</f>
        <v>HAVELLS</v>
      </c>
      <c r="B82" s="82">
        <f>VLOOKUP(A82,'Data shares'!$C$2:$CV$220,98,0)</f>
        <v>11881000</v>
      </c>
      <c r="C82" s="82">
        <f>VLOOKUP(A82,'Data shares'!$C$2:$CX$220,100,0)</f>
        <v>-11000</v>
      </c>
      <c r="D82" s="141">
        <f>VLOOKUP(A82,'Data shares'!$C$2:$CY$543,101,0)</f>
        <v>-8.9999999999999998E-4</v>
      </c>
      <c r="E82" s="86">
        <f>VLOOKUP($A82,'Data shares'!$C:$FA,74)</f>
        <v>8408000</v>
      </c>
      <c r="F82" s="86">
        <f>VLOOKUP($A82,'Data shares'!$C:$FA,76)</f>
        <v>-86000</v>
      </c>
      <c r="G82" s="87">
        <f>VLOOKUP(A82,'Data shares'!$C$2:$CA$220,77,0)</f>
        <v>-1.01E-2</v>
      </c>
      <c r="H82" s="86">
        <f>VLOOKUP($A82,'Data shares'!$C:$FA,90)</f>
        <v>1866500</v>
      </c>
      <c r="I82" s="86">
        <f>VLOOKUP($A82,'Data shares'!$C:$FA,92)</f>
        <v>52500</v>
      </c>
      <c r="J82" s="87">
        <f>VLOOKUP($A82,'Data shares'!$C:$FA,93)</f>
        <v>2.8899999999999999E-2</v>
      </c>
      <c r="K82" s="86">
        <f>VLOOKUP($A82,'Data shares'!$C:$FA,94)</f>
        <v>1606500</v>
      </c>
      <c r="L82" s="86">
        <f>VLOOKUP($A82,'Data shares'!$C:$FA,96)</f>
        <v>22500</v>
      </c>
      <c r="M82" s="87">
        <f>VLOOKUP($A82,'Data shares'!$C:$FA,97)</f>
        <v>1.4200000000000001E-2</v>
      </c>
      <c r="N82" s="86">
        <f>VLOOKUP($A82,'Data shares'!$C:$FA,78)</f>
        <v>8237000</v>
      </c>
      <c r="O82" s="87">
        <f>VLOOKUP($A82,'Data shares'!$C:$FA,81)</f>
        <v>-1.03E-2</v>
      </c>
    </row>
    <row r="83" spans="1:15" x14ac:dyDescent="0.25">
      <c r="A83" s="100" t="str">
        <f>'Data Vlaue (Cr)'!C78</f>
        <v>HCLTECH</v>
      </c>
      <c r="B83" s="82">
        <f>VLOOKUP(A83,'Data shares'!$C$2:$CV$220,98,0)</f>
        <v>46887750</v>
      </c>
      <c r="C83" s="82">
        <f>VLOOKUP(A83,'Data shares'!$C$2:$CX$220,100,0)</f>
        <v>2418850</v>
      </c>
      <c r="D83" s="141">
        <f>VLOOKUP(A83,'Data shares'!$C$2:$CY$543,101,0)</f>
        <v>5.4399999999999997E-2</v>
      </c>
      <c r="E83" s="86">
        <f>VLOOKUP($A83,'Data shares'!$C:$FA,74)</f>
        <v>37048550</v>
      </c>
      <c r="F83" s="86">
        <f>VLOOKUP($A83,'Data shares'!$C:$FA,76)</f>
        <v>228550</v>
      </c>
      <c r="G83" s="87">
        <f>VLOOKUP(A83,'Data shares'!$C$2:$CA$220,77,0)</f>
        <v>6.1999999999999998E-3</v>
      </c>
      <c r="H83" s="86">
        <f>VLOOKUP($A83,'Data shares'!$C:$FA,90)</f>
        <v>4880050</v>
      </c>
      <c r="I83" s="86">
        <f>VLOOKUP($A83,'Data shares'!$C:$FA,92)</f>
        <v>1019900</v>
      </c>
      <c r="J83" s="87">
        <f>VLOOKUP($A83,'Data shares'!$C:$FA,93)</f>
        <v>0.26419999999999999</v>
      </c>
      <c r="K83" s="86">
        <f>VLOOKUP($A83,'Data shares'!$C:$FA,94)</f>
        <v>4959150</v>
      </c>
      <c r="L83" s="86">
        <f>VLOOKUP($A83,'Data shares'!$C:$FA,96)</f>
        <v>1170400</v>
      </c>
      <c r="M83" s="87">
        <f>VLOOKUP($A83,'Data shares'!$C:$FA,97)</f>
        <v>0.30890000000000001</v>
      </c>
      <c r="N83" s="86">
        <f>VLOOKUP($A83,'Data shares'!$C:$FA,78)</f>
        <v>35074200</v>
      </c>
      <c r="O83" s="87">
        <f>VLOOKUP($A83,'Data shares'!$C:$FA,81)</f>
        <v>3.5000000000000001E-3</v>
      </c>
    </row>
    <row r="84" spans="1:15" x14ac:dyDescent="0.25">
      <c r="A84" s="100" t="str">
        <f>'Data Vlaue (Cr)'!C79</f>
        <v>HDFCAMC</v>
      </c>
      <c r="B84" s="82">
        <f>VLOOKUP(A84,'Data shares'!$C$2:$CV$220,98,0)</f>
        <v>7521000</v>
      </c>
      <c r="C84" s="82">
        <f>VLOOKUP(A84,'Data shares'!$C$2:$CX$220,100,0)</f>
        <v>164700</v>
      </c>
      <c r="D84" s="141">
        <f>VLOOKUP(A84,'Data shares'!$C$2:$CY$543,101,0)</f>
        <v>2.24E-2</v>
      </c>
      <c r="E84" s="86">
        <f>VLOOKUP($A84,'Data shares'!$C:$FA,74)</f>
        <v>5902200</v>
      </c>
      <c r="F84" s="86">
        <f>VLOOKUP($A84,'Data shares'!$C:$FA,76)</f>
        <v>108600</v>
      </c>
      <c r="G84" s="87">
        <f>VLOOKUP(A84,'Data shares'!$C$2:$CA$220,77,0)</f>
        <v>1.8700000000000001E-2</v>
      </c>
      <c r="H84" s="86">
        <f>VLOOKUP($A84,'Data shares'!$C:$FA,90)</f>
        <v>914100</v>
      </c>
      <c r="I84" s="86">
        <f>VLOOKUP($A84,'Data shares'!$C:$FA,92)</f>
        <v>58200</v>
      </c>
      <c r="J84" s="87">
        <f>VLOOKUP($A84,'Data shares'!$C:$FA,93)</f>
        <v>6.8000000000000005E-2</v>
      </c>
      <c r="K84" s="86">
        <f>VLOOKUP($A84,'Data shares'!$C:$FA,94)</f>
        <v>704700</v>
      </c>
      <c r="L84" s="86">
        <f>VLOOKUP($A84,'Data shares'!$C:$FA,96)</f>
        <v>-2100</v>
      </c>
      <c r="M84" s="87">
        <f>VLOOKUP($A84,'Data shares'!$C:$FA,97)</f>
        <v>-3.0000000000000001E-3</v>
      </c>
      <c r="N84" s="86">
        <f>VLOOKUP($A84,'Data shares'!$C:$FA,78)</f>
        <v>5809200</v>
      </c>
      <c r="O84" s="87">
        <f>VLOOKUP($A84,'Data shares'!$C:$FA,81)</f>
        <v>1.84E-2</v>
      </c>
    </row>
    <row r="85" spans="1:15" x14ac:dyDescent="0.25">
      <c r="A85" s="100" t="str">
        <f>'Data Vlaue (Cr)'!C80</f>
        <v>HDFCBANK</v>
      </c>
      <c r="B85" s="82">
        <f>VLOOKUP(A85,'Data shares'!$C$2:$CV$220,98,0)</f>
        <v>451375100</v>
      </c>
      <c r="C85" s="82">
        <f>VLOOKUP(A85,'Data shares'!$C$2:$CX$220,100,0)</f>
        <v>10407650</v>
      </c>
      <c r="D85" s="141">
        <f>VLOOKUP(A85,'Data shares'!$C$2:$CY$543,101,0)</f>
        <v>2.3599999999999999E-2</v>
      </c>
      <c r="E85" s="86">
        <f>VLOOKUP($A85,'Data shares'!$C:$FA,74)</f>
        <v>338103700</v>
      </c>
      <c r="F85" s="86">
        <f>VLOOKUP($A85,'Data shares'!$C:$FA,76)</f>
        <v>5817350</v>
      </c>
      <c r="G85" s="87">
        <f>VLOOKUP(A85,'Data shares'!$C$2:$CA$220,77,0)</f>
        <v>1.7500000000000002E-2</v>
      </c>
      <c r="H85" s="86">
        <f>VLOOKUP($A85,'Data shares'!$C:$FA,90)</f>
        <v>71218400</v>
      </c>
      <c r="I85" s="86">
        <f>VLOOKUP($A85,'Data shares'!$C:$FA,92)</f>
        <v>4637600</v>
      </c>
      <c r="J85" s="87">
        <f>VLOOKUP($A85,'Data shares'!$C:$FA,93)</f>
        <v>6.9699999999999998E-2</v>
      </c>
      <c r="K85" s="86">
        <f>VLOOKUP($A85,'Data shares'!$C:$FA,94)</f>
        <v>42053000</v>
      </c>
      <c r="L85" s="86">
        <f>VLOOKUP($A85,'Data shares'!$C:$FA,96)</f>
        <v>-47300</v>
      </c>
      <c r="M85" s="87">
        <f>VLOOKUP($A85,'Data shares'!$C:$FA,97)</f>
        <v>-1.1000000000000001E-3</v>
      </c>
      <c r="N85" s="86">
        <f>VLOOKUP($A85,'Data shares'!$C:$FA,78)</f>
        <v>310885850</v>
      </c>
      <c r="O85" s="87">
        <f>VLOOKUP($A85,'Data shares'!$C:$FA,81)</f>
        <v>-1.6899999999999998E-2</v>
      </c>
    </row>
    <row r="86" spans="1:15" x14ac:dyDescent="0.25">
      <c r="A86" s="100" t="str">
        <f>'Data Vlaue (Cr)'!C81</f>
        <v>HDFCLIFE</v>
      </c>
      <c r="B86" s="82">
        <f>VLOOKUP(A86,'Data shares'!$C$2:$CV$220,98,0)</f>
        <v>63847300</v>
      </c>
      <c r="C86" s="82">
        <f>VLOOKUP(A86,'Data shares'!$C$2:$CX$220,100,0)</f>
        <v>1071400</v>
      </c>
      <c r="D86" s="141">
        <f>VLOOKUP(A86,'Data shares'!$C$2:$CY$543,101,0)</f>
        <v>1.7100000000000001E-2</v>
      </c>
      <c r="E86" s="86">
        <f>VLOOKUP($A86,'Data shares'!$C:$FA,74)</f>
        <v>45740200</v>
      </c>
      <c r="F86" s="86">
        <f>VLOOKUP($A86,'Data shares'!$C:$FA,76)</f>
        <v>550000</v>
      </c>
      <c r="G86" s="87">
        <f>VLOOKUP(A86,'Data shares'!$C$2:$CA$220,77,0)</f>
        <v>1.2200000000000001E-2</v>
      </c>
      <c r="H86" s="86">
        <f>VLOOKUP($A86,'Data shares'!$C:$FA,90)</f>
        <v>11159500</v>
      </c>
      <c r="I86" s="86">
        <f>VLOOKUP($A86,'Data shares'!$C:$FA,92)</f>
        <v>113300</v>
      </c>
      <c r="J86" s="87">
        <f>VLOOKUP($A86,'Data shares'!$C:$FA,93)</f>
        <v>1.03E-2</v>
      </c>
      <c r="K86" s="86">
        <f>VLOOKUP($A86,'Data shares'!$C:$FA,94)</f>
        <v>6947600</v>
      </c>
      <c r="L86" s="86">
        <f>VLOOKUP($A86,'Data shares'!$C:$FA,96)</f>
        <v>408100</v>
      </c>
      <c r="M86" s="87">
        <f>VLOOKUP($A86,'Data shares'!$C:$FA,97)</f>
        <v>6.2399999999999997E-2</v>
      </c>
      <c r="N86" s="86">
        <f>VLOOKUP($A86,'Data shares'!$C:$FA,78)</f>
        <v>44008800</v>
      </c>
      <c r="O86" s="87">
        <f>VLOOKUP($A86,'Data shares'!$C:$FA,81)</f>
        <v>7.0000000000000001E-3</v>
      </c>
    </row>
    <row r="87" spans="1:15" x14ac:dyDescent="0.25">
      <c r="A87" s="100" t="str">
        <f>'Data Vlaue (Cr)'!C82</f>
        <v>HEROMOTOCO</v>
      </c>
      <c r="B87" s="82">
        <f>VLOOKUP(A87,'Data shares'!$C$2:$CV$220,98,0)</f>
        <v>6208200</v>
      </c>
      <c r="C87" s="82">
        <f>VLOOKUP(A87,'Data shares'!$C$2:$CX$220,100,0)</f>
        <v>249300</v>
      </c>
      <c r="D87" s="141">
        <f>VLOOKUP(A87,'Data shares'!$C$2:$CY$543,101,0)</f>
        <v>4.1799999999999997E-2</v>
      </c>
      <c r="E87" s="86">
        <f>VLOOKUP($A87,'Data shares'!$C:$FA,74)</f>
        <v>3899850</v>
      </c>
      <c r="F87" s="86">
        <f>VLOOKUP($A87,'Data shares'!$C:$FA,76)</f>
        <v>117000</v>
      </c>
      <c r="G87" s="87">
        <f>VLOOKUP(A87,'Data shares'!$C$2:$CA$220,77,0)</f>
        <v>3.09E-2</v>
      </c>
      <c r="H87" s="86">
        <f>VLOOKUP($A87,'Data shares'!$C:$FA,90)</f>
        <v>1256100</v>
      </c>
      <c r="I87" s="86">
        <f>VLOOKUP($A87,'Data shares'!$C:$FA,92)</f>
        <v>91650</v>
      </c>
      <c r="J87" s="87">
        <f>VLOOKUP($A87,'Data shares'!$C:$FA,93)</f>
        <v>7.8700000000000006E-2</v>
      </c>
      <c r="K87" s="86">
        <f>VLOOKUP($A87,'Data shares'!$C:$FA,94)</f>
        <v>1052250</v>
      </c>
      <c r="L87" s="86">
        <f>VLOOKUP($A87,'Data shares'!$C:$FA,96)</f>
        <v>40650</v>
      </c>
      <c r="M87" s="87">
        <f>VLOOKUP($A87,'Data shares'!$C:$FA,97)</f>
        <v>4.02E-2</v>
      </c>
      <c r="N87" s="86">
        <f>VLOOKUP($A87,'Data shares'!$C:$FA,78)</f>
        <v>3840750</v>
      </c>
      <c r="O87" s="87">
        <f>VLOOKUP($A87,'Data shares'!$C:$FA,81)</f>
        <v>2.5700000000000001E-2</v>
      </c>
    </row>
    <row r="88" spans="1:15" x14ac:dyDescent="0.25">
      <c r="A88" s="100" t="str">
        <f>'Data Vlaue (Cr)'!C83</f>
        <v>HINDALCO</v>
      </c>
      <c r="B88" s="82">
        <f>VLOOKUP(A88,'Data shares'!$C$2:$CV$220,98,0)</f>
        <v>60574500</v>
      </c>
      <c r="C88" s="82">
        <f>VLOOKUP(A88,'Data shares'!$C$2:$CX$220,100,0)</f>
        <v>2009000</v>
      </c>
      <c r="D88" s="141">
        <f>VLOOKUP(A88,'Data shares'!$C$2:$CY$543,101,0)</f>
        <v>3.4299999999999997E-2</v>
      </c>
      <c r="E88" s="86">
        <f>VLOOKUP($A88,'Data shares'!$C:$FA,74)</f>
        <v>38245900</v>
      </c>
      <c r="F88" s="86">
        <f>VLOOKUP($A88,'Data shares'!$C:$FA,76)</f>
        <v>439600</v>
      </c>
      <c r="G88" s="87">
        <f>VLOOKUP(A88,'Data shares'!$C$2:$CA$220,77,0)</f>
        <v>1.1599999999999999E-2</v>
      </c>
      <c r="H88" s="86">
        <f>VLOOKUP($A88,'Data shares'!$C:$FA,90)</f>
        <v>13001100</v>
      </c>
      <c r="I88" s="86">
        <f>VLOOKUP($A88,'Data shares'!$C:$FA,92)</f>
        <v>158200</v>
      </c>
      <c r="J88" s="87">
        <f>VLOOKUP($A88,'Data shares'!$C:$FA,93)</f>
        <v>1.23E-2</v>
      </c>
      <c r="K88" s="86">
        <f>VLOOKUP($A88,'Data shares'!$C:$FA,94)</f>
        <v>9327500</v>
      </c>
      <c r="L88" s="86">
        <f>VLOOKUP($A88,'Data shares'!$C:$FA,96)</f>
        <v>1411200</v>
      </c>
      <c r="M88" s="87">
        <f>VLOOKUP($A88,'Data shares'!$C:$FA,97)</f>
        <v>0.17829999999999999</v>
      </c>
      <c r="N88" s="86">
        <f>VLOOKUP($A88,'Data shares'!$C:$FA,78)</f>
        <v>35024500</v>
      </c>
      <c r="O88" s="87">
        <f>VLOOKUP($A88,'Data shares'!$C:$FA,81)</f>
        <v>2.0000000000000001E-4</v>
      </c>
    </row>
    <row r="89" spans="1:15" x14ac:dyDescent="0.25">
      <c r="A89" s="100" t="str">
        <f>'Data Vlaue (Cr)'!C84</f>
        <v>HINDPETRO</v>
      </c>
      <c r="B89" s="82">
        <f>VLOOKUP(A89,'Data shares'!$C$2:$CV$220,98,0)</f>
        <v>77231475</v>
      </c>
      <c r="C89" s="82">
        <f>VLOOKUP(A89,'Data shares'!$C$2:$CX$220,100,0)</f>
        <v>1160325</v>
      </c>
      <c r="D89" s="141">
        <f>VLOOKUP(A89,'Data shares'!$C$2:$CY$543,101,0)</f>
        <v>1.5299999999999999E-2</v>
      </c>
      <c r="E89" s="86">
        <f>VLOOKUP($A89,'Data shares'!$C:$FA,74)</f>
        <v>43976925</v>
      </c>
      <c r="F89" s="86">
        <f>VLOOKUP($A89,'Data shares'!$C:$FA,76)</f>
        <v>18225</v>
      </c>
      <c r="G89" s="87">
        <f>VLOOKUP(A89,'Data shares'!$C$2:$CA$220,77,0)</f>
        <v>4.0000000000000002E-4</v>
      </c>
      <c r="H89" s="86">
        <f>VLOOKUP($A89,'Data shares'!$C:$FA,90)</f>
        <v>17633700</v>
      </c>
      <c r="I89" s="86">
        <f>VLOOKUP($A89,'Data shares'!$C:$FA,92)</f>
        <v>755325</v>
      </c>
      <c r="J89" s="87">
        <f>VLOOKUP($A89,'Data shares'!$C:$FA,93)</f>
        <v>4.48E-2</v>
      </c>
      <c r="K89" s="86">
        <f>VLOOKUP($A89,'Data shares'!$C:$FA,94)</f>
        <v>15620850</v>
      </c>
      <c r="L89" s="86">
        <f>VLOOKUP($A89,'Data shares'!$C:$FA,96)</f>
        <v>386775</v>
      </c>
      <c r="M89" s="87">
        <f>VLOOKUP($A89,'Data shares'!$C:$FA,97)</f>
        <v>2.5399999999999999E-2</v>
      </c>
      <c r="N89" s="86">
        <f>VLOOKUP($A89,'Data shares'!$C:$FA,78)</f>
        <v>42901650</v>
      </c>
      <c r="O89" s="87">
        <f>VLOOKUP($A89,'Data shares'!$C:$FA,81)</f>
        <v>2.9999999999999997E-4</v>
      </c>
    </row>
    <row r="90" spans="1:15" x14ac:dyDescent="0.25">
      <c r="A90" s="100" t="str">
        <f>'Data Vlaue (Cr)'!C85</f>
        <v>HINDUNILVR</v>
      </c>
      <c r="B90" s="82">
        <f>VLOOKUP(A90,'Data shares'!$C$2:$CV$220,98,0)</f>
        <v>24760500</v>
      </c>
      <c r="C90" s="82">
        <f>VLOOKUP(A90,'Data shares'!$C$2:$CX$220,100,0)</f>
        <v>779400</v>
      </c>
      <c r="D90" s="141">
        <f>VLOOKUP(A90,'Data shares'!$C$2:$CY$543,101,0)</f>
        <v>3.2500000000000001E-2</v>
      </c>
      <c r="E90" s="86">
        <f>VLOOKUP($A90,'Data shares'!$C:$FA,74)</f>
        <v>17107800</v>
      </c>
      <c r="F90" s="86">
        <f>VLOOKUP($A90,'Data shares'!$C:$FA,76)</f>
        <v>322500</v>
      </c>
      <c r="G90" s="87">
        <f>VLOOKUP(A90,'Data shares'!$C$2:$CA$220,77,0)</f>
        <v>1.9199999999999998E-2</v>
      </c>
      <c r="H90" s="86">
        <f>VLOOKUP($A90,'Data shares'!$C:$FA,90)</f>
        <v>4317000</v>
      </c>
      <c r="I90" s="86">
        <f>VLOOKUP($A90,'Data shares'!$C:$FA,92)</f>
        <v>380700</v>
      </c>
      <c r="J90" s="87">
        <f>VLOOKUP($A90,'Data shares'!$C:$FA,93)</f>
        <v>9.6699999999999994E-2</v>
      </c>
      <c r="K90" s="86">
        <f>VLOOKUP($A90,'Data shares'!$C:$FA,94)</f>
        <v>3335700</v>
      </c>
      <c r="L90" s="86">
        <f>VLOOKUP($A90,'Data shares'!$C:$FA,96)</f>
        <v>76200</v>
      </c>
      <c r="M90" s="87">
        <f>VLOOKUP($A90,'Data shares'!$C:$FA,97)</f>
        <v>2.3400000000000001E-2</v>
      </c>
      <c r="N90" s="86">
        <f>VLOOKUP($A90,'Data shares'!$C:$FA,78)</f>
        <v>16396800</v>
      </c>
      <c r="O90" s="87">
        <f>VLOOKUP($A90,'Data shares'!$C:$FA,81)</f>
        <v>1.7399999999999999E-2</v>
      </c>
    </row>
    <row r="91" spans="1:15" x14ac:dyDescent="0.25">
      <c r="A91" s="100" t="str">
        <f>'Data Vlaue (Cr)'!C86</f>
        <v>HINDZINC</v>
      </c>
      <c r="B91" s="82">
        <f>VLOOKUP(A91,'Data shares'!$C$2:$CV$220,98,0)</f>
        <v>66679200</v>
      </c>
      <c r="C91" s="82">
        <f>VLOOKUP(A91,'Data shares'!$C$2:$CX$220,100,0)</f>
        <v>238875</v>
      </c>
      <c r="D91" s="141">
        <f>VLOOKUP(A91,'Data shares'!$C$2:$CY$543,101,0)</f>
        <v>3.5999999999999999E-3</v>
      </c>
      <c r="E91" s="86">
        <f>VLOOKUP($A91,'Data shares'!$C:$FA,74)</f>
        <v>37607500</v>
      </c>
      <c r="F91" s="86">
        <f>VLOOKUP($A91,'Data shares'!$C:$FA,76)</f>
        <v>-646800</v>
      </c>
      <c r="G91" s="87">
        <f>VLOOKUP(A91,'Data shares'!$C$2:$CA$220,77,0)</f>
        <v>-1.6899999999999998E-2</v>
      </c>
      <c r="H91" s="86">
        <f>VLOOKUP($A91,'Data shares'!$C:$FA,90)</f>
        <v>15948275</v>
      </c>
      <c r="I91" s="86">
        <f>VLOOKUP($A91,'Data shares'!$C:$FA,92)</f>
        <v>363825</v>
      </c>
      <c r="J91" s="87">
        <f>VLOOKUP($A91,'Data shares'!$C:$FA,93)</f>
        <v>2.3300000000000001E-2</v>
      </c>
      <c r="K91" s="86">
        <f>VLOOKUP($A91,'Data shares'!$C:$FA,94)</f>
        <v>13123425</v>
      </c>
      <c r="L91" s="86">
        <f>VLOOKUP($A91,'Data shares'!$C:$FA,96)</f>
        <v>521850</v>
      </c>
      <c r="M91" s="87">
        <f>VLOOKUP($A91,'Data shares'!$C:$FA,97)</f>
        <v>4.1399999999999999E-2</v>
      </c>
      <c r="N91" s="86">
        <f>VLOOKUP($A91,'Data shares'!$C:$FA,78)</f>
        <v>35767550</v>
      </c>
      <c r="O91" s="87">
        <f>VLOOKUP($A91,'Data shares'!$C:$FA,81)</f>
        <v>-1.84E-2</v>
      </c>
    </row>
    <row r="92" spans="1:15" x14ac:dyDescent="0.25">
      <c r="A92" s="100" t="str">
        <f>'Data Vlaue (Cr)'!C87</f>
        <v>HUDCO</v>
      </c>
      <c r="B92" s="82">
        <f>VLOOKUP(A92,'Data shares'!$C$2:$CV$220,98,0)</f>
        <v>43462050</v>
      </c>
      <c r="C92" s="82">
        <f>VLOOKUP(A92,'Data shares'!$C$2:$CX$220,100,0)</f>
        <v>1023975</v>
      </c>
      <c r="D92" s="141">
        <f>VLOOKUP(A92,'Data shares'!$C$2:$CY$543,101,0)</f>
        <v>2.41E-2</v>
      </c>
      <c r="E92" s="86">
        <f>VLOOKUP($A92,'Data shares'!$C:$FA,74)</f>
        <v>28643550</v>
      </c>
      <c r="F92" s="86">
        <f>VLOOKUP($A92,'Data shares'!$C:$FA,76)</f>
        <v>-396825</v>
      </c>
      <c r="G92" s="87">
        <f>VLOOKUP(A92,'Data shares'!$C$2:$CA$220,77,0)</f>
        <v>-1.37E-2</v>
      </c>
      <c r="H92" s="86">
        <f>VLOOKUP($A92,'Data shares'!$C:$FA,90)</f>
        <v>8036400</v>
      </c>
      <c r="I92" s="86">
        <f>VLOOKUP($A92,'Data shares'!$C:$FA,92)</f>
        <v>790875</v>
      </c>
      <c r="J92" s="87">
        <f>VLOOKUP($A92,'Data shares'!$C:$FA,93)</f>
        <v>0.10920000000000001</v>
      </c>
      <c r="K92" s="86">
        <f>VLOOKUP($A92,'Data shares'!$C:$FA,94)</f>
        <v>6782100</v>
      </c>
      <c r="L92" s="86">
        <f>VLOOKUP($A92,'Data shares'!$C:$FA,96)</f>
        <v>629925</v>
      </c>
      <c r="M92" s="87">
        <f>VLOOKUP($A92,'Data shares'!$C:$FA,97)</f>
        <v>0.1024</v>
      </c>
      <c r="N92" s="86">
        <f>VLOOKUP($A92,'Data shares'!$C:$FA,78)</f>
        <v>28643550</v>
      </c>
      <c r="O92" s="87">
        <f>VLOOKUP($A92,'Data shares'!$C:$FA,81)</f>
        <v>-1.37E-2</v>
      </c>
    </row>
    <row r="93" spans="1:15" x14ac:dyDescent="0.25">
      <c r="A93" s="100" t="str">
        <f>'Data Vlaue (Cr)'!C88</f>
        <v>HYUNDAI</v>
      </c>
      <c r="B93" s="82">
        <f>VLOOKUP(A93,'Data shares'!$C$2:$CV$220,98,0)</f>
        <v>6207300</v>
      </c>
      <c r="C93" s="82">
        <f>VLOOKUP(A93,'Data shares'!$C$2:$CX$220,100,0)</f>
        <v>975150</v>
      </c>
      <c r="D93" s="141">
        <f>VLOOKUP(A93,'Data shares'!$C$2:$CY$543,101,0)</f>
        <v>0.18640000000000001</v>
      </c>
      <c r="E93" s="86">
        <f>VLOOKUP($A93,'Data shares'!$C:$FA,74)</f>
        <v>5083925</v>
      </c>
      <c r="F93" s="86">
        <f>VLOOKUP($A93,'Data shares'!$C:$FA,76)</f>
        <v>711150</v>
      </c>
      <c r="G93" s="87">
        <f>VLOOKUP(A93,'Data shares'!$C$2:$CA$220,77,0)</f>
        <v>0.16259999999999999</v>
      </c>
      <c r="H93" s="86">
        <f>VLOOKUP($A93,'Data shares'!$C:$FA,90)</f>
        <v>673475</v>
      </c>
      <c r="I93" s="86">
        <f>VLOOKUP($A93,'Data shares'!$C:$FA,92)</f>
        <v>180675</v>
      </c>
      <c r="J93" s="87">
        <f>VLOOKUP($A93,'Data shares'!$C:$FA,93)</f>
        <v>0.36659999999999998</v>
      </c>
      <c r="K93" s="86">
        <f>VLOOKUP($A93,'Data shares'!$C:$FA,94)</f>
        <v>449900</v>
      </c>
      <c r="L93" s="86">
        <f>VLOOKUP($A93,'Data shares'!$C:$FA,96)</f>
        <v>83325</v>
      </c>
      <c r="M93" s="87">
        <f>VLOOKUP($A93,'Data shares'!$C:$FA,97)</f>
        <v>0.2273</v>
      </c>
      <c r="N93" s="86">
        <f>VLOOKUP($A93,'Data shares'!$C:$FA,78)</f>
        <v>4803700</v>
      </c>
      <c r="O93" s="87">
        <f>VLOOKUP($A93,'Data shares'!$C:$FA,81)</f>
        <v>0.12039999999999999</v>
      </c>
    </row>
    <row r="94" spans="1:15" x14ac:dyDescent="0.25">
      <c r="A94" s="100" t="str">
        <f>'Data Vlaue (Cr)'!C89</f>
        <v>ICICIBANK</v>
      </c>
      <c r="B94" s="82">
        <f>VLOOKUP(A94,'Data shares'!$C$2:$CV$220,98,0)</f>
        <v>153115900</v>
      </c>
      <c r="C94" s="82">
        <f>VLOOKUP(A94,'Data shares'!$C$2:$CX$220,100,0)</f>
        <v>859600</v>
      </c>
      <c r="D94" s="141">
        <f>VLOOKUP(A94,'Data shares'!$C$2:$CY$543,101,0)</f>
        <v>5.5999999999999999E-3</v>
      </c>
      <c r="E94" s="86">
        <f>VLOOKUP($A94,'Data shares'!$C:$FA,74)</f>
        <v>118518400</v>
      </c>
      <c r="F94" s="86">
        <f>VLOOKUP($A94,'Data shares'!$C:$FA,76)</f>
        <v>-116900</v>
      </c>
      <c r="G94" s="87">
        <f>VLOOKUP(A94,'Data shares'!$C$2:$CA$220,77,0)</f>
        <v>-1E-3</v>
      </c>
      <c r="H94" s="86">
        <f>VLOOKUP($A94,'Data shares'!$C:$FA,90)</f>
        <v>18566100</v>
      </c>
      <c r="I94" s="86">
        <f>VLOOKUP($A94,'Data shares'!$C:$FA,92)</f>
        <v>1663200</v>
      </c>
      <c r="J94" s="87">
        <f>VLOOKUP($A94,'Data shares'!$C:$FA,93)</f>
        <v>9.8400000000000001E-2</v>
      </c>
      <c r="K94" s="86">
        <f>VLOOKUP($A94,'Data shares'!$C:$FA,94)</f>
        <v>16031400</v>
      </c>
      <c r="L94" s="86">
        <f>VLOOKUP($A94,'Data shares'!$C:$FA,96)</f>
        <v>-686700</v>
      </c>
      <c r="M94" s="87">
        <f>VLOOKUP($A94,'Data shares'!$C:$FA,97)</f>
        <v>-4.1099999999999998E-2</v>
      </c>
      <c r="N94" s="86">
        <f>VLOOKUP($A94,'Data shares'!$C:$FA,78)</f>
        <v>95197200</v>
      </c>
      <c r="O94" s="87">
        <f>VLOOKUP($A94,'Data shares'!$C:$FA,81)</f>
        <v>-3.8E-3</v>
      </c>
    </row>
    <row r="95" spans="1:15" x14ac:dyDescent="0.25">
      <c r="A95" s="100" t="str">
        <f>'Data Vlaue (Cr)'!C90</f>
        <v>ICICIGI</v>
      </c>
      <c r="B95" s="82">
        <f>VLOOKUP(A95,'Data shares'!$C$2:$CV$220,98,0)</f>
        <v>6831500</v>
      </c>
      <c r="C95" s="82">
        <f>VLOOKUP(A95,'Data shares'!$C$2:$CX$220,100,0)</f>
        <v>499200</v>
      </c>
      <c r="D95" s="141">
        <f>VLOOKUP(A95,'Data shares'!$C$2:$CY$543,101,0)</f>
        <v>7.8799999999999995E-2</v>
      </c>
      <c r="E95" s="86">
        <f>VLOOKUP($A95,'Data shares'!$C:$FA,74)</f>
        <v>5291000</v>
      </c>
      <c r="F95" s="86">
        <f>VLOOKUP($A95,'Data shares'!$C:$FA,76)</f>
        <v>231400</v>
      </c>
      <c r="G95" s="87">
        <f>VLOOKUP(A95,'Data shares'!$C$2:$CA$220,77,0)</f>
        <v>4.5699999999999998E-2</v>
      </c>
      <c r="H95" s="86">
        <f>VLOOKUP($A95,'Data shares'!$C:$FA,90)</f>
        <v>855725</v>
      </c>
      <c r="I95" s="86">
        <f>VLOOKUP($A95,'Data shares'!$C:$FA,92)</f>
        <v>216775</v>
      </c>
      <c r="J95" s="87">
        <f>VLOOKUP($A95,'Data shares'!$C:$FA,93)</f>
        <v>0.33929999999999999</v>
      </c>
      <c r="K95" s="86">
        <f>VLOOKUP($A95,'Data shares'!$C:$FA,94)</f>
        <v>684775</v>
      </c>
      <c r="L95" s="86">
        <f>VLOOKUP($A95,'Data shares'!$C:$FA,96)</f>
        <v>51025</v>
      </c>
      <c r="M95" s="87">
        <f>VLOOKUP($A95,'Data shares'!$C:$FA,97)</f>
        <v>8.0500000000000002E-2</v>
      </c>
      <c r="N95" s="86">
        <f>VLOOKUP($A95,'Data shares'!$C:$FA,78)</f>
        <v>5245175</v>
      </c>
      <c r="O95" s="87">
        <f>VLOOKUP($A95,'Data shares'!$C:$FA,81)</f>
        <v>4.5900000000000003E-2</v>
      </c>
    </row>
    <row r="96" spans="1:15" x14ac:dyDescent="0.25">
      <c r="A96" s="100" t="str">
        <f>'Data Vlaue (Cr)'!C91</f>
        <v>ICICIPRULI</v>
      </c>
      <c r="B96" s="82">
        <f>VLOOKUP(A96,'Data shares'!$C$2:$CV$220,98,0)</f>
        <v>21885500</v>
      </c>
      <c r="C96" s="82">
        <f>VLOOKUP(A96,'Data shares'!$C$2:$CX$220,100,0)</f>
        <v>303400</v>
      </c>
      <c r="D96" s="141">
        <f>VLOOKUP(A96,'Data shares'!$C$2:$CY$543,101,0)</f>
        <v>1.41E-2</v>
      </c>
      <c r="E96" s="86">
        <f>VLOOKUP($A96,'Data shares'!$C:$FA,74)</f>
        <v>18669275</v>
      </c>
      <c r="F96" s="86">
        <f>VLOOKUP($A96,'Data shares'!$C:$FA,76)</f>
        <v>41625</v>
      </c>
      <c r="G96" s="87">
        <f>VLOOKUP(A96,'Data shares'!$C$2:$CA$220,77,0)</f>
        <v>2.2000000000000001E-3</v>
      </c>
      <c r="H96" s="86">
        <f>VLOOKUP($A96,'Data shares'!$C:$FA,90)</f>
        <v>1677025</v>
      </c>
      <c r="I96" s="86">
        <f>VLOOKUP($A96,'Data shares'!$C:$FA,92)</f>
        <v>182225</v>
      </c>
      <c r="J96" s="87">
        <f>VLOOKUP($A96,'Data shares'!$C:$FA,93)</f>
        <v>0.12189999999999999</v>
      </c>
      <c r="K96" s="86">
        <f>VLOOKUP($A96,'Data shares'!$C:$FA,94)</f>
        <v>1539200</v>
      </c>
      <c r="L96" s="86">
        <f>VLOOKUP($A96,'Data shares'!$C:$FA,96)</f>
        <v>79550</v>
      </c>
      <c r="M96" s="87">
        <f>VLOOKUP($A96,'Data shares'!$C:$FA,97)</f>
        <v>5.45E-2</v>
      </c>
      <c r="N96" s="86">
        <f>VLOOKUP($A96,'Data shares'!$C:$FA,78)</f>
        <v>18497225</v>
      </c>
      <c r="O96" s="87">
        <f>VLOOKUP($A96,'Data shares'!$C:$FA,81)</f>
        <v>-2.0000000000000001E-4</v>
      </c>
    </row>
    <row r="97" spans="1:15" x14ac:dyDescent="0.25">
      <c r="A97" s="100" t="str">
        <f>'Data Vlaue (Cr)'!C92</f>
        <v>IDEA</v>
      </c>
      <c r="B97" s="82">
        <f>VLOOKUP(A97,'Data shares'!$C$2:$CV$220,98,0)</f>
        <v>8734030575</v>
      </c>
      <c r="C97" s="82">
        <f>VLOOKUP(A97,'Data shares'!$C$2:$CX$220,100,0)</f>
        <v>75549075</v>
      </c>
      <c r="D97" s="141">
        <f>VLOOKUP(A97,'Data shares'!$C$2:$CY$543,101,0)</f>
        <v>8.6999999999999994E-3</v>
      </c>
      <c r="E97" s="86">
        <f>VLOOKUP($A97,'Data shares'!$C:$FA,74)</f>
        <v>6645030750</v>
      </c>
      <c r="F97" s="86">
        <f>VLOOKUP($A97,'Data shares'!$C:$FA,76)</f>
        <v>42313200</v>
      </c>
      <c r="G97" s="87">
        <f>VLOOKUP(A97,'Data shares'!$C$2:$CA$220,77,0)</f>
        <v>6.4000000000000003E-3</v>
      </c>
      <c r="H97" s="86">
        <f>VLOOKUP($A97,'Data shares'!$C:$FA,90)</f>
        <v>1343372625</v>
      </c>
      <c r="I97" s="86">
        <f>VLOOKUP($A97,'Data shares'!$C:$FA,92)</f>
        <v>39740100</v>
      </c>
      <c r="J97" s="87">
        <f>VLOOKUP($A97,'Data shares'!$C:$FA,93)</f>
        <v>3.0499999999999999E-2</v>
      </c>
      <c r="K97" s="86">
        <f>VLOOKUP($A97,'Data shares'!$C:$FA,94)</f>
        <v>745627200</v>
      </c>
      <c r="L97" s="86">
        <f>VLOOKUP($A97,'Data shares'!$C:$FA,96)</f>
        <v>-6504225</v>
      </c>
      <c r="M97" s="87">
        <f>VLOOKUP($A97,'Data shares'!$C:$FA,97)</f>
        <v>-8.6E-3</v>
      </c>
      <c r="N97" s="86">
        <f>VLOOKUP($A97,'Data shares'!$C:$FA,78)</f>
        <v>6345264600</v>
      </c>
      <c r="O97" s="87">
        <f>VLOOKUP($A97,'Data shares'!$C:$FA,81)</f>
        <v>2.0999999999999999E-3</v>
      </c>
    </row>
    <row r="98" spans="1:15" x14ac:dyDescent="0.25">
      <c r="A98" s="100" t="str">
        <f>'Data Vlaue (Cr)'!C93</f>
        <v>IDFCFIRSTB</v>
      </c>
      <c r="B98" s="82">
        <f>VLOOKUP(A98,'Data shares'!$C$2:$CV$220,98,0)</f>
        <v>624884575</v>
      </c>
      <c r="C98" s="82">
        <f>VLOOKUP(A98,'Data shares'!$C$2:$CX$220,100,0)</f>
        <v>8644300</v>
      </c>
      <c r="D98" s="141">
        <f>VLOOKUP(A98,'Data shares'!$C$2:$CY$543,101,0)</f>
        <v>1.4E-2</v>
      </c>
      <c r="E98" s="86">
        <f>VLOOKUP($A98,'Data shares'!$C:$FA,74)</f>
        <v>415000600</v>
      </c>
      <c r="F98" s="86">
        <f>VLOOKUP($A98,'Data shares'!$C:$FA,76)</f>
        <v>2680475</v>
      </c>
      <c r="G98" s="87">
        <f>VLOOKUP(A98,'Data shares'!$C$2:$CA$220,77,0)</f>
        <v>6.4999999999999997E-3</v>
      </c>
      <c r="H98" s="86">
        <f>VLOOKUP($A98,'Data shares'!$C:$FA,90)</f>
        <v>113915550</v>
      </c>
      <c r="I98" s="86">
        <f>VLOOKUP($A98,'Data shares'!$C:$FA,92)</f>
        <v>3496675</v>
      </c>
      <c r="J98" s="87">
        <f>VLOOKUP($A98,'Data shares'!$C:$FA,93)</f>
        <v>3.1699999999999999E-2</v>
      </c>
      <c r="K98" s="86">
        <f>VLOOKUP($A98,'Data shares'!$C:$FA,94)</f>
        <v>95968425</v>
      </c>
      <c r="L98" s="86">
        <f>VLOOKUP($A98,'Data shares'!$C:$FA,96)</f>
        <v>2467150</v>
      </c>
      <c r="M98" s="87">
        <f>VLOOKUP($A98,'Data shares'!$C:$FA,97)</f>
        <v>2.64E-2</v>
      </c>
      <c r="N98" s="86">
        <f>VLOOKUP($A98,'Data shares'!$C:$FA,78)</f>
        <v>381221050</v>
      </c>
      <c r="O98" s="87">
        <f>VLOOKUP($A98,'Data shares'!$C:$FA,81)</f>
        <v>1E-4</v>
      </c>
    </row>
    <row r="99" spans="1:15" x14ac:dyDescent="0.25">
      <c r="A99" s="100" t="str">
        <f>'Data Vlaue (Cr)'!C94</f>
        <v>IEX</v>
      </c>
      <c r="B99" s="82">
        <f>VLOOKUP(A99,'Data shares'!$C$2:$CV$220,98,0)</f>
        <v>133785000</v>
      </c>
      <c r="C99" s="82">
        <f>VLOOKUP(A99,'Data shares'!$C$2:$CX$220,100,0)</f>
        <v>3750</v>
      </c>
      <c r="D99" s="141">
        <f>VLOOKUP(A99,'Data shares'!$C$2:$CY$543,101,0)</f>
        <v>0</v>
      </c>
      <c r="E99" s="86">
        <f>VLOOKUP($A99,'Data shares'!$C:$FA,74)</f>
        <v>71306250</v>
      </c>
      <c r="F99" s="86">
        <f>VLOOKUP($A99,'Data shares'!$C:$FA,76)</f>
        <v>-982500</v>
      </c>
      <c r="G99" s="87">
        <f>VLOOKUP(A99,'Data shares'!$C$2:$CA$220,77,0)</f>
        <v>-1.3599999999999999E-2</v>
      </c>
      <c r="H99" s="86">
        <f>VLOOKUP($A99,'Data shares'!$C:$FA,90)</f>
        <v>37372500</v>
      </c>
      <c r="I99" s="86">
        <f>VLOOKUP($A99,'Data shares'!$C:$FA,92)</f>
        <v>618750</v>
      </c>
      <c r="J99" s="87">
        <f>VLOOKUP($A99,'Data shares'!$C:$FA,93)</f>
        <v>1.6799999999999999E-2</v>
      </c>
      <c r="K99" s="86">
        <f>VLOOKUP($A99,'Data shares'!$C:$FA,94)</f>
        <v>25106250</v>
      </c>
      <c r="L99" s="86">
        <f>VLOOKUP($A99,'Data shares'!$C:$FA,96)</f>
        <v>367500</v>
      </c>
      <c r="M99" s="87">
        <f>VLOOKUP($A99,'Data shares'!$C:$FA,97)</f>
        <v>1.49E-2</v>
      </c>
      <c r="N99" s="86">
        <f>VLOOKUP($A99,'Data shares'!$C:$FA,78)</f>
        <v>64503750</v>
      </c>
      <c r="O99" s="87">
        <f>VLOOKUP($A99,'Data shares'!$C:$FA,81)</f>
        <v>-1.95E-2</v>
      </c>
    </row>
    <row r="100" spans="1:15" x14ac:dyDescent="0.25">
      <c r="A100" s="100" t="str">
        <f>'Data Vlaue (Cr)'!C95</f>
        <v>INDHOTEL</v>
      </c>
      <c r="B100" s="82">
        <f>VLOOKUP(A100,'Data shares'!$C$2:$CV$220,98,0)</f>
        <v>32257000</v>
      </c>
      <c r="C100" s="82">
        <f>VLOOKUP(A100,'Data shares'!$C$2:$CX$220,100,0)</f>
        <v>346000</v>
      </c>
      <c r="D100" s="141">
        <f>VLOOKUP(A100,'Data shares'!$C$2:$CY$543,101,0)</f>
        <v>1.0800000000000001E-2</v>
      </c>
      <c r="E100" s="86">
        <f>VLOOKUP($A100,'Data shares'!$C:$FA,74)</f>
        <v>22166000</v>
      </c>
      <c r="F100" s="86">
        <f>VLOOKUP($A100,'Data shares'!$C:$FA,76)</f>
        <v>287000</v>
      </c>
      <c r="G100" s="87">
        <f>VLOOKUP(A100,'Data shares'!$C$2:$CA$220,77,0)</f>
        <v>1.3100000000000001E-2</v>
      </c>
      <c r="H100" s="86">
        <f>VLOOKUP($A100,'Data shares'!$C:$FA,90)</f>
        <v>4956000</v>
      </c>
      <c r="I100" s="86">
        <f>VLOOKUP($A100,'Data shares'!$C:$FA,92)</f>
        <v>-95000</v>
      </c>
      <c r="J100" s="87">
        <f>VLOOKUP($A100,'Data shares'!$C:$FA,93)</f>
        <v>-1.8800000000000001E-2</v>
      </c>
      <c r="K100" s="86">
        <f>VLOOKUP($A100,'Data shares'!$C:$FA,94)</f>
        <v>5135000</v>
      </c>
      <c r="L100" s="86">
        <f>VLOOKUP($A100,'Data shares'!$C:$FA,96)</f>
        <v>154000</v>
      </c>
      <c r="M100" s="87">
        <f>VLOOKUP($A100,'Data shares'!$C:$FA,97)</f>
        <v>3.09E-2</v>
      </c>
      <c r="N100" s="86">
        <f>VLOOKUP($A100,'Data shares'!$C:$FA,78)</f>
        <v>21458000</v>
      </c>
      <c r="O100" s="87">
        <f>VLOOKUP($A100,'Data shares'!$C:$FA,81)</f>
        <v>1.21E-2</v>
      </c>
    </row>
    <row r="101" spans="1:15" x14ac:dyDescent="0.25">
      <c r="A101" s="100" t="str">
        <f>'Data Vlaue (Cr)'!C96</f>
        <v>INDIANB</v>
      </c>
      <c r="B101" s="82">
        <f>VLOOKUP(A101,'Data shares'!$C$2:$CV$220,98,0)</f>
        <v>14923000</v>
      </c>
      <c r="C101" s="82">
        <f>VLOOKUP(A101,'Data shares'!$C$2:$CX$220,100,0)</f>
        <v>164000</v>
      </c>
      <c r="D101" s="141">
        <f>VLOOKUP(A101,'Data shares'!$C$2:$CY$543,101,0)</f>
        <v>1.11E-2</v>
      </c>
      <c r="E101" s="86">
        <f>VLOOKUP($A101,'Data shares'!$C:$FA,74)</f>
        <v>9341000</v>
      </c>
      <c r="F101" s="86">
        <f>VLOOKUP($A101,'Data shares'!$C:$FA,76)</f>
        <v>-265000</v>
      </c>
      <c r="G101" s="87">
        <f>VLOOKUP(A101,'Data shares'!$C$2:$CA$220,77,0)</f>
        <v>-2.76E-2</v>
      </c>
      <c r="H101" s="86">
        <f>VLOOKUP($A101,'Data shares'!$C:$FA,90)</f>
        <v>3185000</v>
      </c>
      <c r="I101" s="86">
        <f>VLOOKUP($A101,'Data shares'!$C:$FA,92)</f>
        <v>364000</v>
      </c>
      <c r="J101" s="87">
        <f>VLOOKUP($A101,'Data shares'!$C:$FA,93)</f>
        <v>0.129</v>
      </c>
      <c r="K101" s="86">
        <f>VLOOKUP($A101,'Data shares'!$C:$FA,94)</f>
        <v>2397000</v>
      </c>
      <c r="L101" s="86">
        <f>VLOOKUP($A101,'Data shares'!$C:$FA,96)</f>
        <v>65000</v>
      </c>
      <c r="M101" s="87">
        <f>VLOOKUP($A101,'Data shares'!$C:$FA,97)</f>
        <v>2.7900000000000001E-2</v>
      </c>
      <c r="N101" s="86">
        <f>VLOOKUP($A101,'Data shares'!$C:$FA,78)</f>
        <v>9186000</v>
      </c>
      <c r="O101" s="87">
        <f>VLOOKUP($A101,'Data shares'!$C:$FA,81)</f>
        <v>-2.9899999999999999E-2</v>
      </c>
    </row>
    <row r="102" spans="1:15" x14ac:dyDescent="0.25">
      <c r="A102" s="100" t="str">
        <f>'Data Vlaue (Cr)'!C97</f>
        <v>INDIAVIX</v>
      </c>
      <c r="B102" s="82">
        <f>VLOOKUP(A102,'Data shares'!$C$2:$CV$220,98,0)</f>
        <v>0</v>
      </c>
      <c r="C102" s="82">
        <f>VLOOKUP(A102,'Data shares'!$C$2:$CX$220,100,0)</f>
        <v>0</v>
      </c>
      <c r="D102" s="141">
        <f>VLOOKUP(A102,'Data shares'!$C$2:$CY$543,101,0)</f>
        <v>0</v>
      </c>
      <c r="E102" s="86">
        <f>VLOOKUP($A102,'Data shares'!$C:$FA,74)</f>
        <v>0</v>
      </c>
      <c r="F102" s="86">
        <f>VLOOKUP($A102,'Data shares'!$C:$FA,76)</f>
        <v>0</v>
      </c>
      <c r="G102" s="87">
        <f>VLOOKUP(A102,'Data shares'!$C$2:$CA$220,77,0)</f>
        <v>0</v>
      </c>
      <c r="H102" s="86">
        <f>VLOOKUP($A102,'Data shares'!$C:$FA,90)</f>
        <v>0</v>
      </c>
      <c r="I102" s="86">
        <f>VLOOKUP($A102,'Data shares'!$C:$FA,92)</f>
        <v>0</v>
      </c>
      <c r="J102" s="87">
        <f>VLOOKUP($A102,'Data shares'!$C:$FA,93)</f>
        <v>0</v>
      </c>
      <c r="K102" s="86">
        <f>VLOOKUP($A102,'Data shares'!$C:$FA,94)</f>
        <v>0</v>
      </c>
      <c r="L102" s="86">
        <f>VLOOKUP($A102,'Data shares'!$C:$FA,96)</f>
        <v>0</v>
      </c>
      <c r="M102" s="87">
        <f>VLOOKUP($A102,'Data shares'!$C:$FA,97)</f>
        <v>0</v>
      </c>
      <c r="N102" s="86">
        <f>VLOOKUP($A102,'Data shares'!$C:$FA,78)</f>
        <v>0</v>
      </c>
      <c r="O102" s="87">
        <f>VLOOKUP($A102,'Data shares'!$C:$FA,81)</f>
        <v>0</v>
      </c>
    </row>
    <row r="103" spans="1:15" x14ac:dyDescent="0.25">
      <c r="A103" s="100" t="str">
        <f>'Data Vlaue (Cr)'!C98</f>
        <v>INDIGO</v>
      </c>
      <c r="B103" s="82">
        <f>VLOOKUP(A103,'Data shares'!$C$2:$CV$220,98,0)</f>
        <v>16625550</v>
      </c>
      <c r="C103" s="82">
        <f>VLOOKUP(A103,'Data shares'!$C$2:$CX$220,100,0)</f>
        <v>1647600</v>
      </c>
      <c r="D103" s="141">
        <f>VLOOKUP(A103,'Data shares'!$C$2:$CY$543,101,0)</f>
        <v>0.11</v>
      </c>
      <c r="E103" s="86">
        <f>VLOOKUP($A103,'Data shares'!$C:$FA,74)</f>
        <v>7544400</v>
      </c>
      <c r="F103" s="86">
        <f>VLOOKUP($A103,'Data shares'!$C:$FA,76)</f>
        <v>244350</v>
      </c>
      <c r="G103" s="87">
        <f>VLOOKUP(A103,'Data shares'!$C$2:$CA$220,77,0)</f>
        <v>3.3500000000000002E-2</v>
      </c>
      <c r="H103" s="86">
        <f>VLOOKUP($A103,'Data shares'!$C:$FA,90)</f>
        <v>5758950</v>
      </c>
      <c r="I103" s="86">
        <f>VLOOKUP($A103,'Data shares'!$C:$FA,92)</f>
        <v>1039800</v>
      </c>
      <c r="J103" s="87">
        <f>VLOOKUP($A103,'Data shares'!$C:$FA,93)</f>
        <v>0.2203</v>
      </c>
      <c r="K103" s="86">
        <f>VLOOKUP($A103,'Data shares'!$C:$FA,94)</f>
        <v>3322200</v>
      </c>
      <c r="L103" s="86">
        <f>VLOOKUP($A103,'Data shares'!$C:$FA,96)</f>
        <v>363450</v>
      </c>
      <c r="M103" s="87">
        <f>VLOOKUP($A103,'Data shares'!$C:$FA,97)</f>
        <v>0.12280000000000001</v>
      </c>
      <c r="N103" s="86">
        <f>VLOOKUP($A103,'Data shares'!$C:$FA,78)</f>
        <v>7263150</v>
      </c>
      <c r="O103" s="87">
        <f>VLOOKUP($A103,'Data shares'!$C:$FA,81)</f>
        <v>2.98E-2</v>
      </c>
    </row>
    <row r="104" spans="1:15" x14ac:dyDescent="0.25">
      <c r="A104" s="100" t="str">
        <f>'Data Vlaue (Cr)'!C99</f>
        <v>INDUSINDBK</v>
      </c>
      <c r="B104" s="82">
        <f>VLOOKUP(A104,'Data shares'!$C$2:$CV$220,98,0)</f>
        <v>50598800</v>
      </c>
      <c r="C104" s="82">
        <f>VLOOKUP(A104,'Data shares'!$C$2:$CX$220,100,0)</f>
        <v>509600</v>
      </c>
      <c r="D104" s="141">
        <f>VLOOKUP(A104,'Data shares'!$C$2:$CY$543,101,0)</f>
        <v>1.0200000000000001E-2</v>
      </c>
      <c r="E104" s="86">
        <f>VLOOKUP($A104,'Data shares'!$C:$FA,74)</f>
        <v>38488100</v>
      </c>
      <c r="F104" s="86">
        <f>VLOOKUP($A104,'Data shares'!$C:$FA,76)</f>
        <v>-263200</v>
      </c>
      <c r="G104" s="87">
        <f>VLOOKUP(A104,'Data shares'!$C$2:$CA$220,77,0)</f>
        <v>-6.7999999999999996E-3</v>
      </c>
      <c r="H104" s="86">
        <f>VLOOKUP($A104,'Data shares'!$C:$FA,90)</f>
        <v>5898200</v>
      </c>
      <c r="I104" s="86">
        <f>VLOOKUP($A104,'Data shares'!$C:$FA,92)</f>
        <v>308700</v>
      </c>
      <c r="J104" s="87">
        <f>VLOOKUP($A104,'Data shares'!$C:$FA,93)</f>
        <v>5.5199999999999999E-2</v>
      </c>
      <c r="K104" s="86">
        <f>VLOOKUP($A104,'Data shares'!$C:$FA,94)</f>
        <v>6212500</v>
      </c>
      <c r="L104" s="86">
        <f>VLOOKUP($A104,'Data shares'!$C:$FA,96)</f>
        <v>464100</v>
      </c>
      <c r="M104" s="87">
        <f>VLOOKUP($A104,'Data shares'!$C:$FA,97)</f>
        <v>8.0699999999999994E-2</v>
      </c>
      <c r="N104" s="86">
        <f>VLOOKUP($A104,'Data shares'!$C:$FA,78)</f>
        <v>36986600</v>
      </c>
      <c r="O104" s="87">
        <f>VLOOKUP($A104,'Data shares'!$C:$FA,81)</f>
        <v>-1.24E-2</v>
      </c>
    </row>
    <row r="105" spans="1:15" x14ac:dyDescent="0.25">
      <c r="A105" s="100" t="str">
        <f>'Data Vlaue (Cr)'!C100</f>
        <v>INDUSTOWER</v>
      </c>
      <c r="B105" s="82">
        <f>VLOOKUP(A105,'Data shares'!$C$2:$CV$220,98,0)</f>
        <v>86795200</v>
      </c>
      <c r="C105" s="82">
        <f>VLOOKUP(A105,'Data shares'!$C$2:$CX$220,100,0)</f>
        <v>4340100</v>
      </c>
      <c r="D105" s="141">
        <f>VLOOKUP(A105,'Data shares'!$C$2:$CY$543,101,0)</f>
        <v>5.2600000000000001E-2</v>
      </c>
      <c r="E105" s="86">
        <f>VLOOKUP($A105,'Data shares'!$C:$FA,74)</f>
        <v>65694800</v>
      </c>
      <c r="F105" s="86">
        <f>VLOOKUP($A105,'Data shares'!$C:$FA,76)</f>
        <v>1031900</v>
      </c>
      <c r="G105" s="87">
        <f>VLOOKUP(A105,'Data shares'!$C$2:$CA$220,77,0)</f>
        <v>1.6E-2</v>
      </c>
      <c r="H105" s="86">
        <f>VLOOKUP($A105,'Data shares'!$C:$FA,90)</f>
        <v>12410000</v>
      </c>
      <c r="I105" s="86">
        <f>VLOOKUP($A105,'Data shares'!$C:$FA,92)</f>
        <v>3048100</v>
      </c>
      <c r="J105" s="87">
        <f>VLOOKUP($A105,'Data shares'!$C:$FA,93)</f>
        <v>0.3256</v>
      </c>
      <c r="K105" s="86">
        <f>VLOOKUP($A105,'Data shares'!$C:$FA,94)</f>
        <v>8690400</v>
      </c>
      <c r="L105" s="86">
        <f>VLOOKUP($A105,'Data shares'!$C:$FA,96)</f>
        <v>260100</v>
      </c>
      <c r="M105" s="87">
        <f>VLOOKUP($A105,'Data shares'!$C:$FA,97)</f>
        <v>3.09E-2</v>
      </c>
      <c r="N105" s="86">
        <f>VLOOKUP($A105,'Data shares'!$C:$FA,78)</f>
        <v>64846500</v>
      </c>
      <c r="O105" s="87">
        <f>VLOOKUP($A105,'Data shares'!$C:$FA,81)</f>
        <v>1.46E-2</v>
      </c>
    </row>
    <row r="106" spans="1:15" x14ac:dyDescent="0.25">
      <c r="A106" s="100" t="str">
        <f>'Data Vlaue (Cr)'!C101</f>
        <v>INFY</v>
      </c>
      <c r="B106" s="82">
        <f>VLOOKUP(A106,'Data shares'!$C$2:$CV$220,98,0)</f>
        <v>113833200</v>
      </c>
      <c r="C106" s="82">
        <f>VLOOKUP(A106,'Data shares'!$C$2:$CX$220,100,0)</f>
        <v>1828400</v>
      </c>
      <c r="D106" s="141">
        <f>VLOOKUP(A106,'Data shares'!$C$2:$CY$543,101,0)</f>
        <v>1.6299999999999999E-2</v>
      </c>
      <c r="E106" s="86">
        <f>VLOOKUP($A106,'Data shares'!$C:$FA,74)</f>
        <v>76865200</v>
      </c>
      <c r="F106" s="86">
        <f>VLOOKUP($A106,'Data shares'!$C:$FA,76)</f>
        <v>-362400</v>
      </c>
      <c r="G106" s="87">
        <f>VLOOKUP(A106,'Data shares'!$C$2:$CA$220,77,0)</f>
        <v>-4.7000000000000002E-3</v>
      </c>
      <c r="H106" s="86">
        <f>VLOOKUP($A106,'Data shares'!$C:$FA,90)</f>
        <v>20953600</v>
      </c>
      <c r="I106" s="86">
        <f>VLOOKUP($A106,'Data shares'!$C:$FA,92)</f>
        <v>1607200</v>
      </c>
      <c r="J106" s="87">
        <f>VLOOKUP($A106,'Data shares'!$C:$FA,93)</f>
        <v>8.3099999999999993E-2</v>
      </c>
      <c r="K106" s="86">
        <f>VLOOKUP($A106,'Data shares'!$C:$FA,94)</f>
        <v>16014400</v>
      </c>
      <c r="L106" s="86">
        <f>VLOOKUP($A106,'Data shares'!$C:$FA,96)</f>
        <v>583600</v>
      </c>
      <c r="M106" s="87">
        <f>VLOOKUP($A106,'Data shares'!$C:$FA,97)</f>
        <v>3.78E-2</v>
      </c>
      <c r="N106" s="86">
        <f>VLOOKUP($A106,'Data shares'!$C:$FA,78)</f>
        <v>74068800</v>
      </c>
      <c r="O106" s="87">
        <f>VLOOKUP($A106,'Data shares'!$C:$FA,81)</f>
        <v>-8.6E-3</v>
      </c>
    </row>
    <row r="107" spans="1:15" x14ac:dyDescent="0.25">
      <c r="A107" s="100" t="str">
        <f>'Data Vlaue (Cr)'!C102</f>
        <v>INOXWIND</v>
      </c>
      <c r="B107" s="82">
        <f>VLOOKUP(A107,'Data shares'!$C$2:$CV$220,98,0)</f>
        <v>138434725</v>
      </c>
      <c r="C107" s="82">
        <f>VLOOKUP(A107,'Data shares'!$C$2:$CX$220,100,0)</f>
        <v>1969825</v>
      </c>
      <c r="D107" s="141">
        <f>VLOOKUP(A107,'Data shares'!$C$2:$CY$543,101,0)</f>
        <v>1.44E-2</v>
      </c>
      <c r="E107" s="86">
        <f>VLOOKUP($A107,'Data shares'!$C:$FA,74)</f>
        <v>101383425</v>
      </c>
      <c r="F107" s="86">
        <f>VLOOKUP($A107,'Data shares'!$C:$FA,76)</f>
        <v>436150</v>
      </c>
      <c r="G107" s="87">
        <f>VLOOKUP(A107,'Data shares'!$C$2:$CA$220,77,0)</f>
        <v>4.3E-3</v>
      </c>
      <c r="H107" s="86">
        <f>VLOOKUP($A107,'Data shares'!$C:$FA,90)</f>
        <v>17853550</v>
      </c>
      <c r="I107" s="86">
        <f>VLOOKUP($A107,'Data shares'!$C:$FA,92)</f>
        <v>1068925</v>
      </c>
      <c r="J107" s="87">
        <f>VLOOKUP($A107,'Data shares'!$C:$FA,93)</f>
        <v>6.3700000000000007E-2</v>
      </c>
      <c r="K107" s="86">
        <f>VLOOKUP($A107,'Data shares'!$C:$FA,94)</f>
        <v>19197750</v>
      </c>
      <c r="L107" s="86">
        <f>VLOOKUP($A107,'Data shares'!$C:$FA,96)</f>
        <v>464750</v>
      </c>
      <c r="M107" s="87">
        <f>VLOOKUP($A107,'Data shares'!$C:$FA,97)</f>
        <v>2.4799999999999999E-2</v>
      </c>
      <c r="N107" s="86">
        <f>VLOOKUP($A107,'Data shares'!$C:$FA,78)</f>
        <v>96349825</v>
      </c>
      <c r="O107" s="87">
        <f>VLOOKUP($A107,'Data shares'!$C:$FA,81)</f>
        <v>1.8E-3</v>
      </c>
    </row>
    <row r="108" spans="1:15" x14ac:dyDescent="0.25">
      <c r="A108" s="100" t="str">
        <f>'Data Vlaue (Cr)'!C103</f>
        <v>IOC</v>
      </c>
      <c r="B108" s="82">
        <f>VLOOKUP(A108,'Data shares'!$C$2:$CV$220,98,0)</f>
        <v>213573750</v>
      </c>
      <c r="C108" s="82">
        <f>VLOOKUP(A108,'Data shares'!$C$2:$CX$220,100,0)</f>
        <v>3700125</v>
      </c>
      <c r="D108" s="141">
        <f>VLOOKUP(A108,'Data shares'!$C$2:$CY$543,101,0)</f>
        <v>1.7600000000000001E-2</v>
      </c>
      <c r="E108" s="86">
        <f>VLOOKUP($A108,'Data shares'!$C:$FA,74)</f>
        <v>110009250</v>
      </c>
      <c r="F108" s="86">
        <f>VLOOKUP($A108,'Data shares'!$C:$FA,76)</f>
        <v>-1847625</v>
      </c>
      <c r="G108" s="87">
        <f>VLOOKUP(A108,'Data shares'!$C$2:$CA$220,77,0)</f>
        <v>-1.6500000000000001E-2</v>
      </c>
      <c r="H108" s="86">
        <f>VLOOKUP($A108,'Data shares'!$C:$FA,90)</f>
        <v>61239750</v>
      </c>
      <c r="I108" s="86">
        <f>VLOOKUP($A108,'Data shares'!$C:$FA,92)</f>
        <v>594750</v>
      </c>
      <c r="J108" s="87">
        <f>VLOOKUP($A108,'Data shares'!$C:$FA,93)</f>
        <v>9.7999999999999997E-3</v>
      </c>
      <c r="K108" s="86">
        <f>VLOOKUP($A108,'Data shares'!$C:$FA,94)</f>
        <v>42324750</v>
      </c>
      <c r="L108" s="86">
        <f>VLOOKUP($A108,'Data shares'!$C:$FA,96)</f>
        <v>4953000</v>
      </c>
      <c r="M108" s="87">
        <f>VLOOKUP($A108,'Data shares'!$C:$FA,97)</f>
        <v>0.13250000000000001</v>
      </c>
      <c r="N108" s="86">
        <f>VLOOKUP($A108,'Data shares'!$C:$FA,78)</f>
        <v>105982500</v>
      </c>
      <c r="O108" s="87">
        <f>VLOOKUP($A108,'Data shares'!$C:$FA,81)</f>
        <v>-1.9400000000000001E-2</v>
      </c>
    </row>
    <row r="109" spans="1:15" x14ac:dyDescent="0.25">
      <c r="A109" s="100" t="str">
        <f>'Data Vlaue (Cr)'!C104</f>
        <v>IREDA</v>
      </c>
      <c r="B109" s="82">
        <f>VLOOKUP(A109,'Data shares'!$C$2:$CV$220,98,0)</f>
        <v>81223350</v>
      </c>
      <c r="C109" s="82">
        <f>VLOOKUP(A109,'Data shares'!$C$2:$CX$220,100,0)</f>
        <v>1787100</v>
      </c>
      <c r="D109" s="141">
        <f>VLOOKUP(A109,'Data shares'!$C$2:$CY$543,101,0)</f>
        <v>2.2499999999999999E-2</v>
      </c>
      <c r="E109" s="86">
        <f>VLOOKUP($A109,'Data shares'!$C:$FA,74)</f>
        <v>50031900</v>
      </c>
      <c r="F109" s="86">
        <f>VLOOKUP($A109,'Data shares'!$C:$FA,76)</f>
        <v>1369650</v>
      </c>
      <c r="G109" s="87">
        <f>VLOOKUP(A109,'Data shares'!$C$2:$CA$220,77,0)</f>
        <v>2.81E-2</v>
      </c>
      <c r="H109" s="86">
        <f>VLOOKUP($A109,'Data shares'!$C:$FA,90)</f>
        <v>16335750</v>
      </c>
      <c r="I109" s="86">
        <f>VLOOKUP($A109,'Data shares'!$C:$FA,92)</f>
        <v>186300</v>
      </c>
      <c r="J109" s="87">
        <f>VLOOKUP($A109,'Data shares'!$C:$FA,93)</f>
        <v>1.15E-2</v>
      </c>
      <c r="K109" s="86">
        <f>VLOOKUP($A109,'Data shares'!$C:$FA,94)</f>
        <v>14855700</v>
      </c>
      <c r="L109" s="86">
        <f>VLOOKUP($A109,'Data shares'!$C:$FA,96)</f>
        <v>231150</v>
      </c>
      <c r="M109" s="87">
        <f>VLOOKUP($A109,'Data shares'!$C:$FA,97)</f>
        <v>1.5800000000000002E-2</v>
      </c>
      <c r="N109" s="86">
        <f>VLOOKUP($A109,'Data shares'!$C:$FA,78)</f>
        <v>43035300</v>
      </c>
      <c r="O109" s="87">
        <f>VLOOKUP($A109,'Data shares'!$C:$FA,81)</f>
        <v>1.2999999999999999E-2</v>
      </c>
    </row>
    <row r="110" spans="1:15" x14ac:dyDescent="0.25">
      <c r="A110" s="100" t="str">
        <f>'Data Vlaue (Cr)'!C105</f>
        <v>IRFC</v>
      </c>
      <c r="B110" s="82">
        <f>VLOOKUP(A110,'Data shares'!$C$2:$CV$220,98,0)</f>
        <v>112110750</v>
      </c>
      <c r="C110" s="82">
        <f>VLOOKUP(A110,'Data shares'!$C$2:$CX$220,100,0)</f>
        <v>-514250</v>
      </c>
      <c r="D110" s="141">
        <f>VLOOKUP(A110,'Data shares'!$C$2:$CY$543,101,0)</f>
        <v>-4.5999999999999999E-3</v>
      </c>
      <c r="E110" s="86">
        <f>VLOOKUP($A110,'Data shares'!$C:$FA,74)</f>
        <v>53613750</v>
      </c>
      <c r="F110" s="86">
        <f>VLOOKUP($A110,'Data shares'!$C:$FA,76)</f>
        <v>569500</v>
      </c>
      <c r="G110" s="87">
        <f>VLOOKUP(A110,'Data shares'!$C$2:$CA$220,77,0)</f>
        <v>1.0699999999999999E-2</v>
      </c>
      <c r="H110" s="86">
        <f>VLOOKUP($A110,'Data shares'!$C:$FA,90)</f>
        <v>33596250</v>
      </c>
      <c r="I110" s="86">
        <f>VLOOKUP($A110,'Data shares'!$C:$FA,92)</f>
        <v>-1279250</v>
      </c>
      <c r="J110" s="87">
        <f>VLOOKUP($A110,'Data shares'!$C:$FA,93)</f>
        <v>-3.6700000000000003E-2</v>
      </c>
      <c r="K110" s="86">
        <f>VLOOKUP($A110,'Data shares'!$C:$FA,94)</f>
        <v>24900750</v>
      </c>
      <c r="L110" s="86">
        <f>VLOOKUP($A110,'Data shares'!$C:$FA,96)</f>
        <v>195500</v>
      </c>
      <c r="M110" s="87">
        <f>VLOOKUP($A110,'Data shares'!$C:$FA,97)</f>
        <v>7.9000000000000008E-3</v>
      </c>
      <c r="N110" s="86">
        <f>VLOOKUP($A110,'Data shares'!$C:$FA,78)</f>
        <v>46745750</v>
      </c>
      <c r="O110" s="87">
        <f>VLOOKUP($A110,'Data shares'!$C:$FA,81)</f>
        <v>1.5E-3</v>
      </c>
    </row>
    <row r="111" spans="1:15" x14ac:dyDescent="0.25">
      <c r="A111" s="100" t="str">
        <f>'Data Vlaue (Cr)'!C106</f>
        <v>ITC</v>
      </c>
      <c r="B111" s="82">
        <f>VLOOKUP(A111,'Data shares'!$C$2:$CV$220,98,0)</f>
        <v>293433600</v>
      </c>
      <c r="C111" s="82">
        <f>VLOOKUP(A111,'Data shares'!$C$2:$CX$220,100,0)</f>
        <v>7913600</v>
      </c>
      <c r="D111" s="141">
        <f>VLOOKUP(A111,'Data shares'!$C$2:$CY$543,101,0)</f>
        <v>2.7699999999999999E-2</v>
      </c>
      <c r="E111" s="86">
        <f>VLOOKUP($A111,'Data shares'!$C:$FA,74)</f>
        <v>160203200</v>
      </c>
      <c r="F111" s="86">
        <f>VLOOKUP($A111,'Data shares'!$C:$FA,76)</f>
        <v>342400</v>
      </c>
      <c r="G111" s="87">
        <f>VLOOKUP(A111,'Data shares'!$C$2:$CA$220,77,0)</f>
        <v>2.0999999999999999E-3</v>
      </c>
      <c r="H111" s="86">
        <f>VLOOKUP($A111,'Data shares'!$C:$FA,90)</f>
        <v>85006400</v>
      </c>
      <c r="I111" s="86">
        <f>VLOOKUP($A111,'Data shares'!$C:$FA,92)</f>
        <v>7024000</v>
      </c>
      <c r="J111" s="87">
        <f>VLOOKUP($A111,'Data shares'!$C:$FA,93)</f>
        <v>9.01E-2</v>
      </c>
      <c r="K111" s="86">
        <f>VLOOKUP($A111,'Data shares'!$C:$FA,94)</f>
        <v>48224000</v>
      </c>
      <c r="L111" s="86">
        <f>VLOOKUP($A111,'Data shares'!$C:$FA,96)</f>
        <v>547200</v>
      </c>
      <c r="M111" s="87">
        <f>VLOOKUP($A111,'Data shares'!$C:$FA,97)</f>
        <v>1.15E-2</v>
      </c>
      <c r="N111" s="86">
        <f>VLOOKUP($A111,'Data shares'!$C:$FA,78)</f>
        <v>146667200</v>
      </c>
      <c r="O111" s="87">
        <f>VLOOKUP($A111,'Data shares'!$C:$FA,81)</f>
        <v>0</v>
      </c>
    </row>
    <row r="112" spans="1:15" x14ac:dyDescent="0.25">
      <c r="A112" s="100" t="str">
        <f>'Data Vlaue (Cr)'!C107</f>
        <v>JINDALSTEL</v>
      </c>
      <c r="B112" s="82">
        <f>VLOOKUP(A112,'Data shares'!$C$2:$CV$220,98,0)</f>
        <v>17981250</v>
      </c>
      <c r="C112" s="82">
        <f>VLOOKUP(A112,'Data shares'!$C$2:$CX$220,100,0)</f>
        <v>624375</v>
      </c>
      <c r="D112" s="141">
        <f>VLOOKUP(A112,'Data shares'!$C$2:$CY$543,101,0)</f>
        <v>3.5999999999999997E-2</v>
      </c>
      <c r="E112" s="86">
        <f>VLOOKUP($A112,'Data shares'!$C:$FA,74)</f>
        <v>12489375</v>
      </c>
      <c r="F112" s="86">
        <f>VLOOKUP($A112,'Data shares'!$C:$FA,76)</f>
        <v>137500</v>
      </c>
      <c r="G112" s="87">
        <f>VLOOKUP(A112,'Data shares'!$C$2:$CA$220,77,0)</f>
        <v>1.11E-2</v>
      </c>
      <c r="H112" s="86">
        <f>VLOOKUP($A112,'Data shares'!$C:$FA,90)</f>
        <v>2676875</v>
      </c>
      <c r="I112" s="86">
        <f>VLOOKUP($A112,'Data shares'!$C:$FA,92)</f>
        <v>171875</v>
      </c>
      <c r="J112" s="87">
        <f>VLOOKUP($A112,'Data shares'!$C:$FA,93)</f>
        <v>6.8599999999999994E-2</v>
      </c>
      <c r="K112" s="86">
        <f>VLOOKUP($A112,'Data shares'!$C:$FA,94)</f>
        <v>2815000</v>
      </c>
      <c r="L112" s="86">
        <f>VLOOKUP($A112,'Data shares'!$C:$FA,96)</f>
        <v>315000</v>
      </c>
      <c r="M112" s="87">
        <f>VLOOKUP($A112,'Data shares'!$C:$FA,97)</f>
        <v>0.126</v>
      </c>
      <c r="N112" s="86">
        <f>VLOOKUP($A112,'Data shares'!$C:$FA,78)</f>
        <v>11275625</v>
      </c>
      <c r="O112" s="87">
        <f>VLOOKUP($A112,'Data shares'!$C:$FA,81)</f>
        <v>8.0000000000000002E-3</v>
      </c>
    </row>
    <row r="113" spans="1:15" x14ac:dyDescent="0.25">
      <c r="A113" s="100" t="str">
        <f>'Data Vlaue (Cr)'!C108</f>
        <v>JIOFIN</v>
      </c>
      <c r="B113" s="82">
        <f>VLOOKUP(A113,'Data shares'!$C$2:$CV$220,98,0)</f>
        <v>227242650</v>
      </c>
      <c r="C113" s="82">
        <f>VLOOKUP(A113,'Data shares'!$C$2:$CX$220,100,0)</f>
        <v>9371800</v>
      </c>
      <c r="D113" s="141">
        <f>VLOOKUP(A113,'Data shares'!$C$2:$CY$543,101,0)</f>
        <v>4.2999999999999997E-2</v>
      </c>
      <c r="E113" s="86">
        <f>VLOOKUP($A113,'Data shares'!$C:$FA,74)</f>
        <v>152973250</v>
      </c>
      <c r="F113" s="86">
        <f>VLOOKUP($A113,'Data shares'!$C:$FA,76)</f>
        <v>697950</v>
      </c>
      <c r="G113" s="87">
        <f>VLOOKUP(A113,'Data shares'!$C$2:$CA$220,77,0)</f>
        <v>4.5999999999999999E-3</v>
      </c>
      <c r="H113" s="86">
        <f>VLOOKUP($A113,'Data shares'!$C:$FA,90)</f>
        <v>40546900</v>
      </c>
      <c r="I113" s="86">
        <f>VLOOKUP($A113,'Data shares'!$C:$FA,92)</f>
        <v>5456700</v>
      </c>
      <c r="J113" s="87">
        <f>VLOOKUP($A113,'Data shares'!$C:$FA,93)</f>
        <v>0.1555</v>
      </c>
      <c r="K113" s="86">
        <f>VLOOKUP($A113,'Data shares'!$C:$FA,94)</f>
        <v>33722500</v>
      </c>
      <c r="L113" s="86">
        <f>VLOOKUP($A113,'Data shares'!$C:$FA,96)</f>
        <v>3217150</v>
      </c>
      <c r="M113" s="87">
        <f>VLOOKUP($A113,'Data shares'!$C:$FA,97)</f>
        <v>0.1055</v>
      </c>
      <c r="N113" s="86">
        <f>VLOOKUP($A113,'Data shares'!$C:$FA,78)</f>
        <v>132716250</v>
      </c>
      <c r="O113" s="87">
        <f>VLOOKUP($A113,'Data shares'!$C:$FA,81)</f>
        <v>-2.8E-3</v>
      </c>
    </row>
    <row r="114" spans="1:15" x14ac:dyDescent="0.25">
      <c r="A114" s="100" t="str">
        <f>'Data Vlaue (Cr)'!C109</f>
        <v>JSWENERGY</v>
      </c>
      <c r="B114" s="82">
        <f>VLOOKUP(A114,'Data shares'!$C$2:$CV$220,98,0)</f>
        <v>38264000</v>
      </c>
      <c r="C114" s="82">
        <f>VLOOKUP(A114,'Data shares'!$C$2:$CX$220,100,0)</f>
        <v>3006000</v>
      </c>
      <c r="D114" s="141">
        <f>VLOOKUP(A114,'Data shares'!$C$2:$CY$543,101,0)</f>
        <v>8.5300000000000001E-2</v>
      </c>
      <c r="E114" s="86">
        <f>VLOOKUP($A114,'Data shares'!$C:$FA,74)</f>
        <v>27229000</v>
      </c>
      <c r="F114" s="86">
        <f>VLOOKUP($A114,'Data shares'!$C:$FA,76)</f>
        <v>766000</v>
      </c>
      <c r="G114" s="87">
        <f>VLOOKUP(A114,'Data shares'!$C$2:$CA$220,77,0)</f>
        <v>2.8899999999999999E-2</v>
      </c>
      <c r="H114" s="86">
        <f>VLOOKUP($A114,'Data shares'!$C:$FA,90)</f>
        <v>7095000</v>
      </c>
      <c r="I114" s="86">
        <f>VLOOKUP($A114,'Data shares'!$C:$FA,92)</f>
        <v>1561000</v>
      </c>
      <c r="J114" s="87">
        <f>VLOOKUP($A114,'Data shares'!$C:$FA,93)</f>
        <v>0.28210000000000002</v>
      </c>
      <c r="K114" s="86">
        <f>VLOOKUP($A114,'Data shares'!$C:$FA,94)</f>
        <v>3940000</v>
      </c>
      <c r="L114" s="86">
        <f>VLOOKUP($A114,'Data shares'!$C:$FA,96)</f>
        <v>679000</v>
      </c>
      <c r="M114" s="87">
        <f>VLOOKUP($A114,'Data shares'!$C:$FA,97)</f>
        <v>0.2082</v>
      </c>
      <c r="N114" s="86">
        <f>VLOOKUP($A114,'Data shares'!$C:$FA,78)</f>
        <v>26964000</v>
      </c>
      <c r="O114" s="87">
        <f>VLOOKUP($A114,'Data shares'!$C:$FA,81)</f>
        <v>2.7300000000000001E-2</v>
      </c>
    </row>
    <row r="115" spans="1:15" x14ac:dyDescent="0.25">
      <c r="A115" s="100" t="str">
        <f>'Data Vlaue (Cr)'!C110</f>
        <v>JSWSTEEL</v>
      </c>
      <c r="B115" s="82">
        <f>VLOOKUP(A115,'Data shares'!$C$2:$CV$220,98,0)</f>
        <v>63296775</v>
      </c>
      <c r="C115" s="82">
        <f>VLOOKUP(A115,'Data shares'!$C$2:$CX$220,100,0)</f>
        <v>-97875</v>
      </c>
      <c r="D115" s="141">
        <f>VLOOKUP(A115,'Data shares'!$C$2:$CY$543,101,0)</f>
        <v>-1.5E-3</v>
      </c>
      <c r="E115" s="86">
        <f>VLOOKUP($A115,'Data shares'!$C:$FA,74)</f>
        <v>50805225</v>
      </c>
      <c r="F115" s="86">
        <f>VLOOKUP($A115,'Data shares'!$C:$FA,76)</f>
        <v>-178200</v>
      </c>
      <c r="G115" s="87">
        <f>VLOOKUP(A115,'Data shares'!$C$2:$CA$220,77,0)</f>
        <v>-3.5000000000000001E-3</v>
      </c>
      <c r="H115" s="86">
        <f>VLOOKUP($A115,'Data shares'!$C:$FA,90)</f>
        <v>6817500</v>
      </c>
      <c r="I115" s="86">
        <f>VLOOKUP($A115,'Data shares'!$C:$FA,92)</f>
        <v>64800</v>
      </c>
      <c r="J115" s="87">
        <f>VLOOKUP($A115,'Data shares'!$C:$FA,93)</f>
        <v>9.5999999999999992E-3</v>
      </c>
      <c r="K115" s="86">
        <f>VLOOKUP($A115,'Data shares'!$C:$FA,94)</f>
        <v>5674050</v>
      </c>
      <c r="L115" s="86">
        <f>VLOOKUP($A115,'Data shares'!$C:$FA,96)</f>
        <v>15525</v>
      </c>
      <c r="M115" s="87">
        <f>VLOOKUP($A115,'Data shares'!$C:$FA,97)</f>
        <v>2.7000000000000001E-3</v>
      </c>
      <c r="N115" s="86">
        <f>VLOOKUP($A115,'Data shares'!$C:$FA,78)</f>
        <v>46454175</v>
      </c>
      <c r="O115" s="87">
        <f>VLOOKUP($A115,'Data shares'!$C:$FA,81)</f>
        <v>-5.3E-3</v>
      </c>
    </row>
    <row r="116" spans="1:15" x14ac:dyDescent="0.25">
      <c r="A116" s="100" t="str">
        <f>'Data Vlaue (Cr)'!C111</f>
        <v>JUBLFOOD</v>
      </c>
      <c r="B116" s="82">
        <f>VLOOKUP(A116,'Data shares'!$C$2:$CV$220,98,0)</f>
        <v>65807500</v>
      </c>
      <c r="C116" s="82">
        <f>VLOOKUP(A116,'Data shares'!$C$2:$CX$220,100,0)</f>
        <v>1916250</v>
      </c>
      <c r="D116" s="141">
        <f>VLOOKUP(A116,'Data shares'!$C$2:$CY$543,101,0)</f>
        <v>0.03</v>
      </c>
      <c r="E116" s="86">
        <f>VLOOKUP($A116,'Data shares'!$C:$FA,74)</f>
        <v>40385000</v>
      </c>
      <c r="F116" s="86">
        <f>VLOOKUP($A116,'Data shares'!$C:$FA,76)</f>
        <v>2235000</v>
      </c>
      <c r="G116" s="87">
        <f>VLOOKUP(A116,'Data shares'!$C$2:$CA$220,77,0)</f>
        <v>5.8599999999999999E-2</v>
      </c>
      <c r="H116" s="86">
        <f>VLOOKUP($A116,'Data shares'!$C:$FA,90)</f>
        <v>15280000</v>
      </c>
      <c r="I116" s="86">
        <f>VLOOKUP($A116,'Data shares'!$C:$FA,92)</f>
        <v>-293750</v>
      </c>
      <c r="J116" s="87">
        <f>VLOOKUP($A116,'Data shares'!$C:$FA,93)</f>
        <v>-1.89E-2</v>
      </c>
      <c r="K116" s="86">
        <f>VLOOKUP($A116,'Data shares'!$C:$FA,94)</f>
        <v>10142500</v>
      </c>
      <c r="L116" s="86">
        <f>VLOOKUP($A116,'Data shares'!$C:$FA,96)</f>
        <v>-25000</v>
      </c>
      <c r="M116" s="87">
        <f>VLOOKUP($A116,'Data shares'!$C:$FA,97)</f>
        <v>-2.5000000000000001E-3</v>
      </c>
      <c r="N116" s="86">
        <f>VLOOKUP($A116,'Data shares'!$C:$FA,78)</f>
        <v>33543750</v>
      </c>
      <c r="O116" s="87">
        <f>VLOOKUP($A116,'Data shares'!$C:$FA,81)</f>
        <v>4.3700000000000003E-2</v>
      </c>
    </row>
    <row r="117" spans="1:15" x14ac:dyDescent="0.25">
      <c r="A117" s="100" t="str">
        <f>'Data Vlaue (Cr)'!C112</f>
        <v>KALYANKJIL</v>
      </c>
      <c r="B117" s="82">
        <f>VLOOKUP(A117,'Data shares'!$C$2:$CV$220,98,0)</f>
        <v>35285250</v>
      </c>
      <c r="C117" s="82">
        <f>VLOOKUP(A117,'Data shares'!$C$2:$CX$220,100,0)</f>
        <v>1003450</v>
      </c>
      <c r="D117" s="141">
        <f>VLOOKUP(A117,'Data shares'!$C$2:$CY$543,101,0)</f>
        <v>2.93E-2</v>
      </c>
      <c r="E117" s="86">
        <f>VLOOKUP($A117,'Data shares'!$C:$FA,74)</f>
        <v>24219100</v>
      </c>
      <c r="F117" s="86">
        <f>VLOOKUP($A117,'Data shares'!$C:$FA,76)</f>
        <v>299625</v>
      </c>
      <c r="G117" s="87">
        <f>VLOOKUP(A117,'Data shares'!$C$2:$CA$220,77,0)</f>
        <v>1.2500000000000001E-2</v>
      </c>
      <c r="H117" s="86">
        <f>VLOOKUP($A117,'Data shares'!$C:$FA,90)</f>
        <v>5751625</v>
      </c>
      <c r="I117" s="86">
        <f>VLOOKUP($A117,'Data shares'!$C:$FA,92)</f>
        <v>399500</v>
      </c>
      <c r="J117" s="87">
        <f>VLOOKUP($A117,'Data shares'!$C:$FA,93)</f>
        <v>7.46E-2</v>
      </c>
      <c r="K117" s="86">
        <f>VLOOKUP($A117,'Data shares'!$C:$FA,94)</f>
        <v>5314525</v>
      </c>
      <c r="L117" s="86">
        <f>VLOOKUP($A117,'Data shares'!$C:$FA,96)</f>
        <v>304325</v>
      </c>
      <c r="M117" s="87">
        <f>VLOOKUP($A117,'Data shares'!$C:$FA,97)</f>
        <v>6.0699999999999997E-2</v>
      </c>
      <c r="N117" s="86">
        <f>VLOOKUP($A117,'Data shares'!$C:$FA,78)</f>
        <v>23626900</v>
      </c>
      <c r="O117" s="87">
        <f>VLOOKUP($A117,'Data shares'!$C:$FA,81)</f>
        <v>1.11E-2</v>
      </c>
    </row>
    <row r="118" spans="1:15" x14ac:dyDescent="0.25">
      <c r="A118" s="100" t="str">
        <f>'Data Vlaue (Cr)'!C113</f>
        <v>KAYNES</v>
      </c>
      <c r="B118" s="82">
        <f>VLOOKUP(A118,'Data shares'!$C$2:$CV$220,98,0)</f>
        <v>5518300</v>
      </c>
      <c r="C118" s="82">
        <f>VLOOKUP(A118,'Data shares'!$C$2:$CX$220,100,0)</f>
        <v>308600</v>
      </c>
      <c r="D118" s="141">
        <f>VLOOKUP(A118,'Data shares'!$C$2:$CY$543,101,0)</f>
        <v>5.9200000000000003E-2</v>
      </c>
      <c r="E118" s="86">
        <f>VLOOKUP($A118,'Data shares'!$C:$FA,74)</f>
        <v>3382200</v>
      </c>
      <c r="F118" s="86">
        <f>VLOOKUP($A118,'Data shares'!$C:$FA,76)</f>
        <v>192600</v>
      </c>
      <c r="G118" s="87">
        <f>VLOOKUP(A118,'Data shares'!$C$2:$CA$220,77,0)</f>
        <v>6.0400000000000002E-2</v>
      </c>
      <c r="H118" s="86">
        <f>VLOOKUP($A118,'Data shares'!$C:$FA,90)</f>
        <v>1232100</v>
      </c>
      <c r="I118" s="86">
        <f>VLOOKUP($A118,'Data shares'!$C:$FA,92)</f>
        <v>123600</v>
      </c>
      <c r="J118" s="87">
        <f>VLOOKUP($A118,'Data shares'!$C:$FA,93)</f>
        <v>0.1115</v>
      </c>
      <c r="K118" s="86">
        <f>VLOOKUP($A118,'Data shares'!$C:$FA,94)</f>
        <v>904000</v>
      </c>
      <c r="L118" s="86">
        <f>VLOOKUP($A118,'Data shares'!$C:$FA,96)</f>
        <v>-7600</v>
      </c>
      <c r="M118" s="87">
        <f>VLOOKUP($A118,'Data shares'!$C:$FA,97)</f>
        <v>-8.3000000000000001E-3</v>
      </c>
      <c r="N118" s="86">
        <f>VLOOKUP($A118,'Data shares'!$C:$FA,78)</f>
        <v>3135900</v>
      </c>
      <c r="O118" s="87">
        <f>VLOOKUP($A118,'Data shares'!$C:$FA,81)</f>
        <v>3.8800000000000001E-2</v>
      </c>
    </row>
    <row r="119" spans="1:15" x14ac:dyDescent="0.25">
      <c r="A119" s="100" t="str">
        <f>'Data Vlaue (Cr)'!C114</f>
        <v>KEI</v>
      </c>
      <c r="B119" s="82">
        <f>VLOOKUP(A119,'Data shares'!$C$2:$CV$220,98,0)</f>
        <v>3098725</v>
      </c>
      <c r="C119" s="82">
        <f>VLOOKUP(A119,'Data shares'!$C$2:$CX$220,100,0)</f>
        <v>126350</v>
      </c>
      <c r="D119" s="141">
        <f>VLOOKUP(A119,'Data shares'!$C$2:$CY$543,101,0)</f>
        <v>4.2500000000000003E-2</v>
      </c>
      <c r="E119" s="86">
        <f>VLOOKUP($A119,'Data shares'!$C:$FA,74)</f>
        <v>2179275</v>
      </c>
      <c r="F119" s="86">
        <f>VLOOKUP($A119,'Data shares'!$C:$FA,76)</f>
        <v>-7525</v>
      </c>
      <c r="G119" s="87">
        <f>VLOOKUP(A119,'Data shares'!$C$2:$CA$220,77,0)</f>
        <v>-3.3999999999999998E-3</v>
      </c>
      <c r="H119" s="86">
        <f>VLOOKUP($A119,'Data shares'!$C:$FA,90)</f>
        <v>497175</v>
      </c>
      <c r="I119" s="86">
        <f>VLOOKUP($A119,'Data shares'!$C:$FA,92)</f>
        <v>87675</v>
      </c>
      <c r="J119" s="87">
        <f>VLOOKUP($A119,'Data shares'!$C:$FA,93)</f>
        <v>0.21410000000000001</v>
      </c>
      <c r="K119" s="86">
        <f>VLOOKUP($A119,'Data shares'!$C:$FA,94)</f>
        <v>422275</v>
      </c>
      <c r="L119" s="86">
        <f>VLOOKUP($A119,'Data shares'!$C:$FA,96)</f>
        <v>46200</v>
      </c>
      <c r="M119" s="87">
        <f>VLOOKUP($A119,'Data shares'!$C:$FA,97)</f>
        <v>0.12280000000000001</v>
      </c>
      <c r="N119" s="86">
        <f>VLOOKUP($A119,'Data shares'!$C:$FA,78)</f>
        <v>2040500</v>
      </c>
      <c r="O119" s="87">
        <f>VLOOKUP($A119,'Data shares'!$C:$FA,81)</f>
        <v>-1.1900000000000001E-2</v>
      </c>
    </row>
    <row r="120" spans="1:15" x14ac:dyDescent="0.25">
      <c r="A120" s="100" t="str">
        <f>'Data Vlaue (Cr)'!C115</f>
        <v>KFINTECH</v>
      </c>
      <c r="B120" s="82">
        <f>VLOOKUP(A120,'Data shares'!$C$2:$CV$220,98,0)</f>
        <v>5386500</v>
      </c>
      <c r="C120" s="82">
        <f>VLOOKUP(A120,'Data shares'!$C$2:$CX$220,100,0)</f>
        <v>892500</v>
      </c>
      <c r="D120" s="141">
        <f>VLOOKUP(A120,'Data shares'!$C$2:$CY$543,101,0)</f>
        <v>0.1986</v>
      </c>
      <c r="E120" s="86">
        <f>VLOOKUP($A120,'Data shares'!$C:$FA,74)</f>
        <v>3379000</v>
      </c>
      <c r="F120" s="86">
        <f>VLOOKUP($A120,'Data shares'!$C:$FA,76)</f>
        <v>364000</v>
      </c>
      <c r="G120" s="87">
        <f>VLOOKUP(A120,'Data shares'!$C$2:$CA$220,77,0)</f>
        <v>0.1207</v>
      </c>
      <c r="H120" s="86">
        <f>VLOOKUP($A120,'Data shares'!$C:$FA,90)</f>
        <v>1327000</v>
      </c>
      <c r="I120" s="86">
        <f>VLOOKUP($A120,'Data shares'!$C:$FA,92)</f>
        <v>412500</v>
      </c>
      <c r="J120" s="87">
        <f>VLOOKUP($A120,'Data shares'!$C:$FA,93)</f>
        <v>0.4511</v>
      </c>
      <c r="K120" s="86">
        <f>VLOOKUP($A120,'Data shares'!$C:$FA,94)</f>
        <v>680500</v>
      </c>
      <c r="L120" s="86">
        <f>VLOOKUP($A120,'Data shares'!$C:$FA,96)</f>
        <v>116000</v>
      </c>
      <c r="M120" s="87">
        <f>VLOOKUP($A120,'Data shares'!$C:$FA,97)</f>
        <v>0.20549999999999999</v>
      </c>
      <c r="N120" s="86">
        <f>VLOOKUP($A120,'Data shares'!$C:$FA,78)</f>
        <v>2979500</v>
      </c>
      <c r="O120" s="87">
        <f>VLOOKUP($A120,'Data shares'!$C:$FA,81)</f>
        <v>0.1089</v>
      </c>
    </row>
    <row r="121" spans="1:15" x14ac:dyDescent="0.25">
      <c r="A121" s="100" t="str">
        <f>'Data Vlaue (Cr)'!C116</f>
        <v>KOTAKBANK</v>
      </c>
      <c r="B121" s="82">
        <f>VLOOKUP(A121,'Data shares'!$C$2:$CV$220,98,0)</f>
        <v>264730000</v>
      </c>
      <c r="C121" s="82">
        <f>VLOOKUP(A121,'Data shares'!$C$2:$CX$220,100,0)</f>
        <v>1146000</v>
      </c>
      <c r="D121" s="141">
        <f>VLOOKUP(A121,'Data shares'!$C$2:$CY$543,101,0)</f>
        <v>4.3E-3</v>
      </c>
      <c r="E121" s="86">
        <f>VLOOKUP($A121,'Data shares'!$C:$FA,74)</f>
        <v>216218000</v>
      </c>
      <c r="F121" s="86">
        <f>VLOOKUP($A121,'Data shares'!$C:$FA,76)</f>
        <v>140000</v>
      </c>
      <c r="G121" s="87">
        <f>VLOOKUP(A121,'Data shares'!$C$2:$CA$220,77,0)</f>
        <v>5.9999999999999995E-4</v>
      </c>
      <c r="H121" s="86">
        <f>VLOOKUP($A121,'Data shares'!$C:$FA,90)</f>
        <v>23628000</v>
      </c>
      <c r="I121" s="86">
        <f>VLOOKUP($A121,'Data shares'!$C:$FA,92)</f>
        <v>1774000</v>
      </c>
      <c r="J121" s="87">
        <f>VLOOKUP($A121,'Data shares'!$C:$FA,93)</f>
        <v>8.1199999999999994E-2</v>
      </c>
      <c r="K121" s="86">
        <f>VLOOKUP($A121,'Data shares'!$C:$FA,94)</f>
        <v>24884000</v>
      </c>
      <c r="L121" s="86">
        <f>VLOOKUP($A121,'Data shares'!$C:$FA,96)</f>
        <v>-768000</v>
      </c>
      <c r="M121" s="87">
        <f>VLOOKUP($A121,'Data shares'!$C:$FA,97)</f>
        <v>-2.9899999999999999E-2</v>
      </c>
      <c r="N121" s="86">
        <f>VLOOKUP($A121,'Data shares'!$C:$FA,78)</f>
        <v>190568000</v>
      </c>
      <c r="O121" s="87">
        <f>VLOOKUP($A121,'Data shares'!$C:$FA,81)</f>
        <v>-3.5000000000000001E-3</v>
      </c>
    </row>
    <row r="122" spans="1:15" x14ac:dyDescent="0.25">
      <c r="A122" s="100" t="str">
        <f>'Data Vlaue (Cr)'!C117</f>
        <v>KPITTECH</v>
      </c>
      <c r="B122" s="82">
        <f>VLOOKUP(A122,'Data shares'!$C$2:$CV$220,98,0)</f>
        <v>11964600</v>
      </c>
      <c r="C122" s="82">
        <f>VLOOKUP(A122,'Data shares'!$C$2:$CX$220,100,0)</f>
        <v>404600</v>
      </c>
      <c r="D122" s="141">
        <f>VLOOKUP(A122,'Data shares'!$C$2:$CY$543,101,0)</f>
        <v>3.5000000000000003E-2</v>
      </c>
      <c r="E122" s="86">
        <f>VLOOKUP($A122,'Data shares'!$C:$FA,74)</f>
        <v>6704800</v>
      </c>
      <c r="F122" s="86">
        <f>VLOOKUP($A122,'Data shares'!$C:$FA,76)</f>
        <v>138550</v>
      </c>
      <c r="G122" s="87">
        <f>VLOOKUP(A122,'Data shares'!$C$2:$CA$220,77,0)</f>
        <v>2.1100000000000001E-2</v>
      </c>
      <c r="H122" s="86">
        <f>VLOOKUP($A122,'Data shares'!$C:$FA,90)</f>
        <v>2902325</v>
      </c>
      <c r="I122" s="86">
        <f>VLOOKUP($A122,'Data shares'!$C:$FA,92)</f>
        <v>127500</v>
      </c>
      <c r="J122" s="87">
        <f>VLOOKUP($A122,'Data shares'!$C:$FA,93)</f>
        <v>4.5900000000000003E-2</v>
      </c>
      <c r="K122" s="86">
        <f>VLOOKUP($A122,'Data shares'!$C:$FA,94)</f>
        <v>2357475</v>
      </c>
      <c r="L122" s="86">
        <f>VLOOKUP($A122,'Data shares'!$C:$FA,96)</f>
        <v>138550</v>
      </c>
      <c r="M122" s="87">
        <f>VLOOKUP($A122,'Data shares'!$C:$FA,97)</f>
        <v>6.2399999999999997E-2</v>
      </c>
      <c r="N122" s="86">
        <f>VLOOKUP($A122,'Data shares'!$C:$FA,78)</f>
        <v>6377975</v>
      </c>
      <c r="O122" s="87">
        <f>VLOOKUP($A122,'Data shares'!$C:$FA,81)</f>
        <v>2.35E-2</v>
      </c>
    </row>
    <row r="123" spans="1:15" x14ac:dyDescent="0.25">
      <c r="A123" s="100" t="str">
        <f>'Data Vlaue (Cr)'!C118</f>
        <v>LAURUSLABS</v>
      </c>
      <c r="B123" s="82">
        <f>VLOOKUP(A123,'Data shares'!$C$2:$CV$220,98,0)</f>
        <v>26026150</v>
      </c>
      <c r="C123" s="82">
        <f>VLOOKUP(A123,'Data shares'!$C$2:$CX$220,100,0)</f>
        <v>547400</v>
      </c>
      <c r="D123" s="141">
        <f>VLOOKUP(A123,'Data shares'!$C$2:$CY$543,101,0)</f>
        <v>2.1499999999999998E-2</v>
      </c>
      <c r="E123" s="86">
        <f>VLOOKUP($A123,'Data shares'!$C:$FA,74)</f>
        <v>17280500</v>
      </c>
      <c r="F123" s="86">
        <f>VLOOKUP($A123,'Data shares'!$C:$FA,76)</f>
        <v>-18700</v>
      </c>
      <c r="G123" s="87">
        <f>VLOOKUP(A123,'Data shares'!$C$2:$CA$220,77,0)</f>
        <v>-1.1000000000000001E-3</v>
      </c>
      <c r="H123" s="86">
        <f>VLOOKUP($A123,'Data shares'!$C:$FA,90)</f>
        <v>4904500</v>
      </c>
      <c r="I123" s="86">
        <f>VLOOKUP($A123,'Data shares'!$C:$FA,92)</f>
        <v>342550</v>
      </c>
      <c r="J123" s="87">
        <f>VLOOKUP($A123,'Data shares'!$C:$FA,93)</f>
        <v>7.51E-2</v>
      </c>
      <c r="K123" s="86">
        <f>VLOOKUP($A123,'Data shares'!$C:$FA,94)</f>
        <v>3841150</v>
      </c>
      <c r="L123" s="86">
        <f>VLOOKUP($A123,'Data shares'!$C:$FA,96)</f>
        <v>223550</v>
      </c>
      <c r="M123" s="87">
        <f>VLOOKUP($A123,'Data shares'!$C:$FA,97)</f>
        <v>6.1800000000000001E-2</v>
      </c>
      <c r="N123" s="86">
        <f>VLOOKUP($A123,'Data shares'!$C:$FA,78)</f>
        <v>16722900</v>
      </c>
      <c r="O123" s="87">
        <f>VLOOKUP($A123,'Data shares'!$C:$FA,81)</f>
        <v>-5.1999999999999998E-3</v>
      </c>
    </row>
    <row r="124" spans="1:15" x14ac:dyDescent="0.25">
      <c r="A124" s="100" t="str">
        <f>'Data Vlaue (Cr)'!C119</f>
        <v>LICHSGFIN</v>
      </c>
      <c r="B124" s="82">
        <f>VLOOKUP(A124,'Data shares'!$C$2:$CV$220,98,0)</f>
        <v>42989000</v>
      </c>
      <c r="C124" s="82">
        <f>VLOOKUP(A124,'Data shares'!$C$2:$CX$220,100,0)</f>
        <v>4000</v>
      </c>
      <c r="D124" s="141">
        <f>VLOOKUP(A124,'Data shares'!$C$2:$CY$543,101,0)</f>
        <v>1E-4</v>
      </c>
      <c r="E124" s="86">
        <f>VLOOKUP($A124,'Data shares'!$C:$FA,74)</f>
        <v>33550000</v>
      </c>
      <c r="F124" s="86">
        <f>VLOOKUP($A124,'Data shares'!$C:$FA,76)</f>
        <v>-112000</v>
      </c>
      <c r="G124" s="87">
        <f>VLOOKUP(A124,'Data shares'!$C$2:$CA$220,77,0)</f>
        <v>-3.3E-3</v>
      </c>
      <c r="H124" s="86">
        <f>VLOOKUP($A124,'Data shares'!$C:$FA,90)</f>
        <v>4373000</v>
      </c>
      <c r="I124" s="86">
        <f>VLOOKUP($A124,'Data shares'!$C:$FA,92)</f>
        <v>237000</v>
      </c>
      <c r="J124" s="87">
        <f>VLOOKUP($A124,'Data shares'!$C:$FA,93)</f>
        <v>5.7299999999999997E-2</v>
      </c>
      <c r="K124" s="86">
        <f>VLOOKUP($A124,'Data shares'!$C:$FA,94)</f>
        <v>5066000</v>
      </c>
      <c r="L124" s="86">
        <f>VLOOKUP($A124,'Data shares'!$C:$FA,96)</f>
        <v>-121000</v>
      </c>
      <c r="M124" s="87">
        <f>VLOOKUP($A124,'Data shares'!$C:$FA,97)</f>
        <v>-2.3300000000000001E-2</v>
      </c>
      <c r="N124" s="86">
        <f>VLOOKUP($A124,'Data shares'!$C:$FA,78)</f>
        <v>32912000</v>
      </c>
      <c r="O124" s="87">
        <f>VLOOKUP($A124,'Data shares'!$C:$FA,81)</f>
        <v>-4.8999999999999998E-3</v>
      </c>
    </row>
    <row r="125" spans="1:15" x14ac:dyDescent="0.25">
      <c r="A125" s="100" t="str">
        <f>'Data Vlaue (Cr)'!C120</f>
        <v>LICI</v>
      </c>
      <c r="B125" s="82">
        <f>VLOOKUP(A125,'Data shares'!$C$2:$CV$220,98,0)</f>
        <v>16384200</v>
      </c>
      <c r="C125" s="82">
        <f>VLOOKUP(A125,'Data shares'!$C$2:$CX$220,100,0)</f>
        <v>613200</v>
      </c>
      <c r="D125" s="141">
        <f>VLOOKUP(A125,'Data shares'!$C$2:$CY$543,101,0)</f>
        <v>3.8899999999999997E-2</v>
      </c>
      <c r="E125" s="86">
        <f>VLOOKUP($A125,'Data shares'!$C:$FA,74)</f>
        <v>9186100</v>
      </c>
      <c r="F125" s="86">
        <f>VLOOKUP($A125,'Data shares'!$C:$FA,76)</f>
        <v>301700</v>
      </c>
      <c r="G125" s="87">
        <f>VLOOKUP(A125,'Data shares'!$C$2:$CA$220,77,0)</f>
        <v>3.4000000000000002E-2</v>
      </c>
      <c r="H125" s="86">
        <f>VLOOKUP($A125,'Data shares'!$C:$FA,90)</f>
        <v>4372200</v>
      </c>
      <c r="I125" s="86">
        <f>VLOOKUP($A125,'Data shares'!$C:$FA,92)</f>
        <v>100800</v>
      </c>
      <c r="J125" s="87">
        <f>VLOOKUP($A125,'Data shares'!$C:$FA,93)</f>
        <v>2.3599999999999999E-2</v>
      </c>
      <c r="K125" s="86">
        <f>VLOOKUP($A125,'Data shares'!$C:$FA,94)</f>
        <v>2825900</v>
      </c>
      <c r="L125" s="86">
        <f>VLOOKUP($A125,'Data shares'!$C:$FA,96)</f>
        <v>210700</v>
      </c>
      <c r="M125" s="87">
        <f>VLOOKUP($A125,'Data shares'!$C:$FA,97)</f>
        <v>8.0600000000000005E-2</v>
      </c>
      <c r="N125" s="86">
        <f>VLOOKUP($A125,'Data shares'!$C:$FA,78)</f>
        <v>8388800</v>
      </c>
      <c r="O125" s="87">
        <f>VLOOKUP($A125,'Data shares'!$C:$FA,81)</f>
        <v>2.4299999999999999E-2</v>
      </c>
    </row>
    <row r="126" spans="1:15" x14ac:dyDescent="0.25">
      <c r="A126" s="100" t="str">
        <f>'Data Vlaue (Cr)'!C121</f>
        <v>LODHA</v>
      </c>
      <c r="B126" s="82">
        <f>VLOOKUP(A126,'Data shares'!$C$2:$CV$220,98,0)</f>
        <v>33883650</v>
      </c>
      <c r="C126" s="82">
        <f>VLOOKUP(A126,'Data shares'!$C$2:$CX$220,100,0)</f>
        <v>-86400</v>
      </c>
      <c r="D126" s="141">
        <f>VLOOKUP(A126,'Data shares'!$C$2:$CY$543,101,0)</f>
        <v>-2.5000000000000001E-3</v>
      </c>
      <c r="E126" s="86">
        <f>VLOOKUP($A126,'Data shares'!$C:$FA,74)</f>
        <v>23573250</v>
      </c>
      <c r="F126" s="86">
        <f>VLOOKUP($A126,'Data shares'!$C:$FA,76)</f>
        <v>-375300</v>
      </c>
      <c r="G126" s="87">
        <f>VLOOKUP(A126,'Data shares'!$C$2:$CA$220,77,0)</f>
        <v>-1.5699999999999999E-2</v>
      </c>
      <c r="H126" s="86">
        <f>VLOOKUP($A126,'Data shares'!$C:$FA,90)</f>
        <v>5883300</v>
      </c>
      <c r="I126" s="86">
        <f>VLOOKUP($A126,'Data shares'!$C:$FA,92)</f>
        <v>-45000</v>
      </c>
      <c r="J126" s="87">
        <f>VLOOKUP($A126,'Data shares'!$C:$FA,93)</f>
        <v>-7.6E-3</v>
      </c>
      <c r="K126" s="86">
        <f>VLOOKUP($A126,'Data shares'!$C:$FA,94)</f>
        <v>4427100</v>
      </c>
      <c r="L126" s="86">
        <f>VLOOKUP($A126,'Data shares'!$C:$FA,96)</f>
        <v>333900</v>
      </c>
      <c r="M126" s="87">
        <f>VLOOKUP($A126,'Data shares'!$C:$FA,97)</f>
        <v>8.1600000000000006E-2</v>
      </c>
      <c r="N126" s="86">
        <f>VLOOKUP($A126,'Data shares'!$C:$FA,78)</f>
        <v>22416300</v>
      </c>
      <c r="O126" s="87">
        <f>VLOOKUP($A126,'Data shares'!$C:$FA,81)</f>
        <v>-1.6799999999999999E-2</v>
      </c>
    </row>
    <row r="127" spans="1:15" x14ac:dyDescent="0.25">
      <c r="A127" s="100" t="str">
        <f>'Data Vlaue (Cr)'!C122</f>
        <v>LT</v>
      </c>
      <c r="B127" s="82">
        <f>VLOOKUP(A127,'Data shares'!$C$2:$CV$220,98,0)</f>
        <v>30122050</v>
      </c>
      <c r="C127" s="82">
        <f>VLOOKUP(A127,'Data shares'!$C$2:$CX$220,100,0)</f>
        <v>1933225</v>
      </c>
      <c r="D127" s="141">
        <f>VLOOKUP(A127,'Data shares'!$C$2:$CY$543,101,0)</f>
        <v>6.8599999999999994E-2</v>
      </c>
      <c r="E127" s="86">
        <f>VLOOKUP($A127,'Data shares'!$C:$FA,74)</f>
        <v>15702925</v>
      </c>
      <c r="F127" s="86">
        <f>VLOOKUP($A127,'Data shares'!$C:$FA,76)</f>
        <v>487550</v>
      </c>
      <c r="G127" s="87">
        <f>VLOOKUP(A127,'Data shares'!$C$2:$CA$220,77,0)</f>
        <v>3.2000000000000001E-2</v>
      </c>
      <c r="H127" s="86">
        <f>VLOOKUP($A127,'Data shares'!$C:$FA,90)</f>
        <v>8291150</v>
      </c>
      <c r="I127" s="86">
        <f>VLOOKUP($A127,'Data shares'!$C:$FA,92)</f>
        <v>1283450</v>
      </c>
      <c r="J127" s="87">
        <f>VLOOKUP($A127,'Data shares'!$C:$FA,93)</f>
        <v>0.18310000000000001</v>
      </c>
      <c r="K127" s="86">
        <f>VLOOKUP($A127,'Data shares'!$C:$FA,94)</f>
        <v>6127975</v>
      </c>
      <c r="L127" s="86">
        <f>VLOOKUP($A127,'Data shares'!$C:$FA,96)</f>
        <v>162225</v>
      </c>
      <c r="M127" s="87">
        <f>VLOOKUP($A127,'Data shares'!$C:$FA,97)</f>
        <v>2.7199999999999998E-2</v>
      </c>
      <c r="N127" s="86">
        <f>VLOOKUP($A127,'Data shares'!$C:$FA,78)</f>
        <v>13388550</v>
      </c>
      <c r="O127" s="87">
        <f>VLOOKUP($A127,'Data shares'!$C:$FA,81)</f>
        <v>2.64E-2</v>
      </c>
    </row>
    <row r="128" spans="1:15" x14ac:dyDescent="0.25">
      <c r="A128" s="100" t="str">
        <f>'Data Vlaue (Cr)'!C123</f>
        <v>LTF</v>
      </c>
      <c r="B128" s="82">
        <f>VLOOKUP(A128,'Data shares'!$C$2:$CV$220,98,0)</f>
        <v>87423750</v>
      </c>
      <c r="C128" s="82">
        <f>VLOOKUP(A128,'Data shares'!$C$2:$CX$220,100,0)</f>
        <v>2277000</v>
      </c>
      <c r="D128" s="141">
        <f>VLOOKUP(A128,'Data shares'!$C$2:$CY$543,101,0)</f>
        <v>2.6700000000000002E-2</v>
      </c>
      <c r="E128" s="86">
        <f>VLOOKUP($A128,'Data shares'!$C:$FA,74)</f>
        <v>54135000</v>
      </c>
      <c r="F128" s="86">
        <f>VLOOKUP($A128,'Data shares'!$C:$FA,76)</f>
        <v>1260000</v>
      </c>
      <c r="G128" s="87">
        <f>VLOOKUP(A128,'Data shares'!$C$2:$CA$220,77,0)</f>
        <v>2.3800000000000002E-2</v>
      </c>
      <c r="H128" s="86">
        <f>VLOOKUP($A128,'Data shares'!$C:$FA,90)</f>
        <v>18533250</v>
      </c>
      <c r="I128" s="86">
        <f>VLOOKUP($A128,'Data shares'!$C:$FA,92)</f>
        <v>272250</v>
      </c>
      <c r="J128" s="87">
        <f>VLOOKUP($A128,'Data shares'!$C:$FA,93)</f>
        <v>1.49E-2</v>
      </c>
      <c r="K128" s="86">
        <f>VLOOKUP($A128,'Data shares'!$C:$FA,94)</f>
        <v>14755500</v>
      </c>
      <c r="L128" s="86">
        <f>VLOOKUP($A128,'Data shares'!$C:$FA,96)</f>
        <v>744750</v>
      </c>
      <c r="M128" s="87">
        <f>VLOOKUP($A128,'Data shares'!$C:$FA,97)</f>
        <v>5.3199999999999997E-2</v>
      </c>
      <c r="N128" s="86">
        <f>VLOOKUP($A128,'Data shares'!$C:$FA,78)</f>
        <v>52501500</v>
      </c>
      <c r="O128" s="87">
        <f>VLOOKUP($A128,'Data shares'!$C:$FA,81)</f>
        <v>1.34E-2</v>
      </c>
    </row>
    <row r="129" spans="1:15" x14ac:dyDescent="0.25">
      <c r="A129" s="100" t="str">
        <f>'Data Vlaue (Cr)'!C124</f>
        <v>LTM</v>
      </c>
      <c r="B129" s="82">
        <f>VLOOKUP(A129,'Data shares'!$C$2:$CV$220,98,0)</f>
        <v>5624550</v>
      </c>
      <c r="C129" s="82">
        <f>VLOOKUP(A129,'Data shares'!$C$2:$CX$220,100,0)</f>
        <v>147600</v>
      </c>
      <c r="D129" s="141">
        <f>VLOOKUP(A129,'Data shares'!$C$2:$CY$543,101,0)</f>
        <v>2.69E-2</v>
      </c>
      <c r="E129" s="86">
        <f>VLOOKUP($A129,'Data shares'!$C:$FA,74)</f>
        <v>3959250</v>
      </c>
      <c r="F129" s="86">
        <f>VLOOKUP($A129,'Data shares'!$C:$FA,76)</f>
        <v>70200</v>
      </c>
      <c r="G129" s="87">
        <f>VLOOKUP(A129,'Data shares'!$C$2:$CA$220,77,0)</f>
        <v>1.8100000000000002E-2</v>
      </c>
      <c r="H129" s="86">
        <f>VLOOKUP($A129,'Data shares'!$C:$FA,90)</f>
        <v>866250</v>
      </c>
      <c r="I129" s="86">
        <f>VLOOKUP($A129,'Data shares'!$C:$FA,92)</f>
        <v>34500</v>
      </c>
      <c r="J129" s="87">
        <f>VLOOKUP($A129,'Data shares'!$C:$FA,93)</f>
        <v>4.1500000000000002E-2</v>
      </c>
      <c r="K129" s="86">
        <f>VLOOKUP($A129,'Data shares'!$C:$FA,94)</f>
        <v>799050</v>
      </c>
      <c r="L129" s="86">
        <f>VLOOKUP($A129,'Data shares'!$C:$FA,96)</f>
        <v>42900</v>
      </c>
      <c r="M129" s="87">
        <f>VLOOKUP($A129,'Data shares'!$C:$FA,97)</f>
        <v>5.67E-2</v>
      </c>
      <c r="N129" s="86">
        <f>VLOOKUP($A129,'Data shares'!$C:$FA,78)</f>
        <v>3790350</v>
      </c>
      <c r="O129" s="87">
        <f>VLOOKUP($A129,'Data shares'!$C:$FA,81)</f>
        <v>1.2200000000000001E-2</v>
      </c>
    </row>
    <row r="130" spans="1:15" x14ac:dyDescent="0.25">
      <c r="A130" s="100" t="str">
        <f>'Data Vlaue (Cr)'!C125</f>
        <v>LUPIN</v>
      </c>
      <c r="B130" s="82">
        <f>VLOOKUP(A130,'Data shares'!$C$2:$CV$220,98,0)</f>
        <v>10096725</v>
      </c>
      <c r="C130" s="82">
        <f>VLOOKUP(A130,'Data shares'!$C$2:$CX$220,100,0)</f>
        <v>251600</v>
      </c>
      <c r="D130" s="141">
        <f>VLOOKUP(A130,'Data shares'!$C$2:$CY$543,101,0)</f>
        <v>2.5600000000000001E-2</v>
      </c>
      <c r="E130" s="86">
        <f>VLOOKUP($A130,'Data shares'!$C:$FA,74)</f>
        <v>6559025</v>
      </c>
      <c r="F130" s="86">
        <f>VLOOKUP($A130,'Data shares'!$C:$FA,76)</f>
        <v>214625</v>
      </c>
      <c r="G130" s="87">
        <f>VLOOKUP(A130,'Data shares'!$C$2:$CA$220,77,0)</f>
        <v>3.3799999999999997E-2</v>
      </c>
      <c r="H130" s="86">
        <f>VLOOKUP($A130,'Data shares'!$C:$FA,90)</f>
        <v>1989425</v>
      </c>
      <c r="I130" s="86">
        <f>VLOOKUP($A130,'Data shares'!$C:$FA,92)</f>
        <v>28900</v>
      </c>
      <c r="J130" s="87">
        <f>VLOOKUP($A130,'Data shares'!$C:$FA,93)</f>
        <v>1.47E-2</v>
      </c>
      <c r="K130" s="86">
        <f>VLOOKUP($A130,'Data shares'!$C:$FA,94)</f>
        <v>1548275</v>
      </c>
      <c r="L130" s="86">
        <f>VLOOKUP($A130,'Data shares'!$C:$FA,96)</f>
        <v>8075</v>
      </c>
      <c r="M130" s="87">
        <f>VLOOKUP($A130,'Data shares'!$C:$FA,97)</f>
        <v>5.1999999999999998E-3</v>
      </c>
      <c r="N130" s="86">
        <f>VLOOKUP($A130,'Data shares'!$C:$FA,78)</f>
        <v>6392000</v>
      </c>
      <c r="O130" s="87">
        <f>VLOOKUP($A130,'Data shares'!$C:$FA,81)</f>
        <v>3.2899999999999999E-2</v>
      </c>
    </row>
    <row r="131" spans="1:15" x14ac:dyDescent="0.25">
      <c r="A131" s="100" t="str">
        <f>'Data Vlaue (Cr)'!C126</f>
        <v>M&amp;M</v>
      </c>
      <c r="B131" s="82">
        <f>VLOOKUP(A131,'Data shares'!$C$2:$CV$220,98,0)</f>
        <v>27151400</v>
      </c>
      <c r="C131" s="82">
        <f>VLOOKUP(A131,'Data shares'!$C$2:$CX$220,100,0)</f>
        <v>322600</v>
      </c>
      <c r="D131" s="141">
        <f>VLOOKUP(A131,'Data shares'!$C$2:$CY$543,101,0)</f>
        <v>1.2E-2</v>
      </c>
      <c r="E131" s="86">
        <f>VLOOKUP($A131,'Data shares'!$C:$FA,74)</f>
        <v>20020200</v>
      </c>
      <c r="F131" s="86">
        <f>VLOOKUP($A131,'Data shares'!$C:$FA,76)</f>
        <v>-9600</v>
      </c>
      <c r="G131" s="87">
        <f>VLOOKUP(A131,'Data shares'!$C$2:$CA$220,77,0)</f>
        <v>-5.0000000000000001E-4</v>
      </c>
      <c r="H131" s="86">
        <f>VLOOKUP($A131,'Data shares'!$C:$FA,90)</f>
        <v>3963400</v>
      </c>
      <c r="I131" s="86">
        <f>VLOOKUP($A131,'Data shares'!$C:$FA,92)</f>
        <v>377200</v>
      </c>
      <c r="J131" s="87">
        <f>VLOOKUP($A131,'Data shares'!$C:$FA,93)</f>
        <v>0.1052</v>
      </c>
      <c r="K131" s="86">
        <f>VLOOKUP($A131,'Data shares'!$C:$FA,94)</f>
        <v>3167800</v>
      </c>
      <c r="L131" s="86">
        <f>VLOOKUP($A131,'Data shares'!$C:$FA,96)</f>
        <v>-45000</v>
      </c>
      <c r="M131" s="87">
        <f>VLOOKUP($A131,'Data shares'!$C:$FA,97)</f>
        <v>-1.4E-2</v>
      </c>
      <c r="N131" s="86">
        <f>VLOOKUP($A131,'Data shares'!$C:$FA,78)</f>
        <v>17110800</v>
      </c>
      <c r="O131" s="87">
        <f>VLOOKUP($A131,'Data shares'!$C:$FA,81)</f>
        <v>-4.1999999999999997E-3</v>
      </c>
    </row>
    <row r="132" spans="1:15" x14ac:dyDescent="0.25">
      <c r="A132" s="100" t="str">
        <f>'Data Vlaue (Cr)'!C127</f>
        <v>MANAPPURAM</v>
      </c>
      <c r="B132" s="82">
        <f>VLOOKUP(A132,'Data shares'!$C$2:$CV$220,98,0)</f>
        <v>74220000</v>
      </c>
      <c r="C132" s="82">
        <f>VLOOKUP(A132,'Data shares'!$C$2:$CX$220,100,0)</f>
        <v>1272000</v>
      </c>
      <c r="D132" s="141">
        <f>VLOOKUP(A132,'Data shares'!$C$2:$CY$543,101,0)</f>
        <v>1.7399999999999999E-2</v>
      </c>
      <c r="E132" s="86">
        <f>VLOOKUP($A132,'Data shares'!$C:$FA,74)</f>
        <v>51804000</v>
      </c>
      <c r="F132" s="86">
        <f>VLOOKUP($A132,'Data shares'!$C:$FA,76)</f>
        <v>615000</v>
      </c>
      <c r="G132" s="87">
        <f>VLOOKUP(A132,'Data shares'!$C$2:$CA$220,77,0)</f>
        <v>1.2E-2</v>
      </c>
      <c r="H132" s="86">
        <f>VLOOKUP($A132,'Data shares'!$C:$FA,90)</f>
        <v>13404000</v>
      </c>
      <c r="I132" s="86">
        <f>VLOOKUP($A132,'Data shares'!$C:$FA,92)</f>
        <v>408000</v>
      </c>
      <c r="J132" s="87">
        <f>VLOOKUP($A132,'Data shares'!$C:$FA,93)</f>
        <v>3.1399999999999997E-2</v>
      </c>
      <c r="K132" s="86">
        <f>VLOOKUP($A132,'Data shares'!$C:$FA,94)</f>
        <v>9012000</v>
      </c>
      <c r="L132" s="86">
        <f>VLOOKUP($A132,'Data shares'!$C:$FA,96)</f>
        <v>249000</v>
      </c>
      <c r="M132" s="87">
        <f>VLOOKUP($A132,'Data shares'!$C:$FA,97)</f>
        <v>2.8400000000000002E-2</v>
      </c>
      <c r="N132" s="86">
        <f>VLOOKUP($A132,'Data shares'!$C:$FA,78)</f>
        <v>51048000</v>
      </c>
      <c r="O132" s="87">
        <f>VLOOKUP($A132,'Data shares'!$C:$FA,81)</f>
        <v>8.8000000000000005E-3</v>
      </c>
    </row>
    <row r="133" spans="1:15" x14ac:dyDescent="0.25">
      <c r="A133" s="100" t="str">
        <f>'Data Vlaue (Cr)'!C128</f>
        <v>MANKIND</v>
      </c>
      <c r="B133" s="82">
        <f>VLOOKUP(A133,'Data shares'!$C$2:$CV$220,98,0)</f>
        <v>3497400</v>
      </c>
      <c r="C133" s="82">
        <f>VLOOKUP(A133,'Data shares'!$C$2:$CX$220,100,0)</f>
        <v>27900</v>
      </c>
      <c r="D133" s="141">
        <f>VLOOKUP(A133,'Data shares'!$C$2:$CY$543,101,0)</f>
        <v>8.0000000000000002E-3</v>
      </c>
      <c r="E133" s="86">
        <f>VLOOKUP($A133,'Data shares'!$C:$FA,74)</f>
        <v>2807325</v>
      </c>
      <c r="F133" s="86">
        <f>VLOOKUP($A133,'Data shares'!$C:$FA,76)</f>
        <v>49725</v>
      </c>
      <c r="G133" s="87">
        <f>VLOOKUP(A133,'Data shares'!$C$2:$CA$220,77,0)</f>
        <v>1.7999999999999999E-2</v>
      </c>
      <c r="H133" s="86">
        <f>VLOOKUP($A133,'Data shares'!$C:$FA,90)</f>
        <v>443475</v>
      </c>
      <c r="I133" s="86">
        <f>VLOOKUP($A133,'Data shares'!$C:$FA,92)</f>
        <v>-20025</v>
      </c>
      <c r="J133" s="87">
        <f>VLOOKUP($A133,'Data shares'!$C:$FA,93)</f>
        <v>-4.3200000000000002E-2</v>
      </c>
      <c r="K133" s="86">
        <f>VLOOKUP($A133,'Data shares'!$C:$FA,94)</f>
        <v>246600</v>
      </c>
      <c r="L133" s="86">
        <f>VLOOKUP($A133,'Data shares'!$C:$FA,96)</f>
        <v>-1800</v>
      </c>
      <c r="M133" s="87">
        <f>VLOOKUP($A133,'Data shares'!$C:$FA,97)</f>
        <v>-7.1999999999999998E-3</v>
      </c>
      <c r="N133" s="86">
        <f>VLOOKUP($A133,'Data shares'!$C:$FA,78)</f>
        <v>2661075</v>
      </c>
      <c r="O133" s="87">
        <f>VLOOKUP($A133,'Data shares'!$C:$FA,81)</f>
        <v>1.89E-2</v>
      </c>
    </row>
    <row r="134" spans="1:15" x14ac:dyDescent="0.25">
      <c r="A134" s="100" t="str">
        <f>'Data Vlaue (Cr)'!C129</f>
        <v>MARICO</v>
      </c>
      <c r="B134" s="82">
        <f>VLOOKUP(A134,'Data shares'!$C$2:$CV$220,98,0)</f>
        <v>34699200</v>
      </c>
      <c r="C134" s="82">
        <f>VLOOKUP(A134,'Data shares'!$C$2:$CX$220,100,0)</f>
        <v>567600</v>
      </c>
      <c r="D134" s="141">
        <f>VLOOKUP(A134,'Data shares'!$C$2:$CY$543,101,0)</f>
        <v>1.66E-2</v>
      </c>
      <c r="E134" s="86">
        <f>VLOOKUP($A134,'Data shares'!$C:$FA,74)</f>
        <v>26437200</v>
      </c>
      <c r="F134" s="86">
        <f>VLOOKUP($A134,'Data shares'!$C:$FA,76)</f>
        <v>238800</v>
      </c>
      <c r="G134" s="87">
        <f>VLOOKUP(A134,'Data shares'!$C$2:$CA$220,77,0)</f>
        <v>9.1000000000000004E-3</v>
      </c>
      <c r="H134" s="86">
        <f>VLOOKUP($A134,'Data shares'!$C:$FA,90)</f>
        <v>4011600</v>
      </c>
      <c r="I134" s="86">
        <f>VLOOKUP($A134,'Data shares'!$C:$FA,92)</f>
        <v>73200</v>
      </c>
      <c r="J134" s="87">
        <f>VLOOKUP($A134,'Data shares'!$C:$FA,93)</f>
        <v>1.8599999999999998E-2</v>
      </c>
      <c r="K134" s="86">
        <f>VLOOKUP($A134,'Data shares'!$C:$FA,94)</f>
        <v>4250400</v>
      </c>
      <c r="L134" s="86">
        <f>VLOOKUP($A134,'Data shares'!$C:$FA,96)</f>
        <v>255600</v>
      </c>
      <c r="M134" s="87">
        <f>VLOOKUP($A134,'Data shares'!$C:$FA,97)</f>
        <v>6.4000000000000001E-2</v>
      </c>
      <c r="N134" s="86">
        <f>VLOOKUP($A134,'Data shares'!$C:$FA,78)</f>
        <v>26307600</v>
      </c>
      <c r="O134" s="87">
        <f>VLOOKUP($A134,'Data shares'!$C:$FA,81)</f>
        <v>8.6E-3</v>
      </c>
    </row>
    <row r="135" spans="1:15" x14ac:dyDescent="0.25">
      <c r="A135" s="100" t="str">
        <f>'Data Vlaue (Cr)'!C130</f>
        <v>MARUTI</v>
      </c>
      <c r="B135" s="82">
        <f>VLOOKUP(A135,'Data shares'!$C$2:$CV$220,98,0)</f>
        <v>5764900</v>
      </c>
      <c r="C135" s="82">
        <f>VLOOKUP(A135,'Data shares'!$C$2:$CX$220,100,0)</f>
        <v>170900</v>
      </c>
      <c r="D135" s="141">
        <f>VLOOKUP(A135,'Data shares'!$C$2:$CY$543,101,0)</f>
        <v>3.0599999999999999E-2</v>
      </c>
      <c r="E135" s="86">
        <f>VLOOKUP($A135,'Data shares'!$C:$FA,74)</f>
        <v>3349350</v>
      </c>
      <c r="F135" s="86">
        <f>VLOOKUP($A135,'Data shares'!$C:$FA,76)</f>
        <v>-50350</v>
      </c>
      <c r="G135" s="87">
        <f>VLOOKUP(A135,'Data shares'!$C$2:$CA$220,77,0)</f>
        <v>-1.4800000000000001E-2</v>
      </c>
      <c r="H135" s="86">
        <f>VLOOKUP($A135,'Data shares'!$C:$FA,90)</f>
        <v>1479750</v>
      </c>
      <c r="I135" s="86">
        <f>VLOOKUP($A135,'Data shares'!$C:$FA,92)</f>
        <v>181000</v>
      </c>
      <c r="J135" s="87">
        <f>VLOOKUP($A135,'Data shares'!$C:$FA,93)</f>
        <v>0.1394</v>
      </c>
      <c r="K135" s="86">
        <f>VLOOKUP($A135,'Data shares'!$C:$FA,94)</f>
        <v>935800</v>
      </c>
      <c r="L135" s="86">
        <f>VLOOKUP($A135,'Data shares'!$C:$FA,96)</f>
        <v>40250</v>
      </c>
      <c r="M135" s="87">
        <f>VLOOKUP($A135,'Data shares'!$C:$FA,97)</f>
        <v>4.4900000000000002E-2</v>
      </c>
      <c r="N135" s="86">
        <f>VLOOKUP($A135,'Data shares'!$C:$FA,78)</f>
        <v>3049550</v>
      </c>
      <c r="O135" s="87">
        <f>VLOOKUP($A135,'Data shares'!$C:$FA,81)</f>
        <v>-1.7999999999999999E-2</v>
      </c>
    </row>
    <row r="136" spans="1:15" x14ac:dyDescent="0.25">
      <c r="A136" s="100" t="str">
        <f>'Data Vlaue (Cr)'!C131</f>
        <v>MAXHEALTH</v>
      </c>
      <c r="B136" s="82">
        <f>VLOOKUP(A136,'Data shares'!$C$2:$CV$220,98,0)</f>
        <v>18619650</v>
      </c>
      <c r="C136" s="82">
        <f>VLOOKUP(A136,'Data shares'!$C$2:$CX$220,100,0)</f>
        <v>18900</v>
      </c>
      <c r="D136" s="141">
        <f>VLOOKUP(A136,'Data shares'!$C$2:$CY$543,101,0)</f>
        <v>1E-3</v>
      </c>
      <c r="E136" s="86">
        <f>VLOOKUP($A136,'Data shares'!$C:$FA,74)</f>
        <v>14449575</v>
      </c>
      <c r="F136" s="86">
        <f>VLOOKUP($A136,'Data shares'!$C:$FA,76)</f>
        <v>-57750</v>
      </c>
      <c r="G136" s="87">
        <f>VLOOKUP(A136,'Data shares'!$C$2:$CA$220,77,0)</f>
        <v>-4.0000000000000001E-3</v>
      </c>
      <c r="H136" s="86">
        <f>VLOOKUP($A136,'Data shares'!$C:$FA,90)</f>
        <v>2525775</v>
      </c>
      <c r="I136" s="86">
        <f>VLOOKUP($A136,'Data shares'!$C:$FA,92)</f>
        <v>-39900</v>
      </c>
      <c r="J136" s="87">
        <f>VLOOKUP($A136,'Data shares'!$C:$FA,93)</f>
        <v>-1.5599999999999999E-2</v>
      </c>
      <c r="K136" s="86">
        <f>VLOOKUP($A136,'Data shares'!$C:$FA,94)</f>
        <v>1644300</v>
      </c>
      <c r="L136" s="86">
        <f>VLOOKUP($A136,'Data shares'!$C:$FA,96)</f>
        <v>116550</v>
      </c>
      <c r="M136" s="87">
        <f>VLOOKUP($A136,'Data shares'!$C:$FA,97)</f>
        <v>7.6300000000000007E-2</v>
      </c>
      <c r="N136" s="86">
        <f>VLOOKUP($A136,'Data shares'!$C:$FA,78)</f>
        <v>13763400</v>
      </c>
      <c r="O136" s="87">
        <f>VLOOKUP($A136,'Data shares'!$C:$FA,81)</f>
        <v>-6.8999999999999999E-3</v>
      </c>
    </row>
    <row r="137" spans="1:15" x14ac:dyDescent="0.25">
      <c r="A137" s="100" t="str">
        <f>'Data Vlaue (Cr)'!C132</f>
        <v>MAZDOCK</v>
      </c>
      <c r="B137" s="82">
        <f>VLOOKUP(A137,'Data shares'!$C$2:$CV$220,98,0)</f>
        <v>9238800</v>
      </c>
      <c r="C137" s="82">
        <f>VLOOKUP(A137,'Data shares'!$C$2:$CX$220,100,0)</f>
        <v>475200</v>
      </c>
      <c r="D137" s="141">
        <f>VLOOKUP(A137,'Data shares'!$C$2:$CY$543,101,0)</f>
        <v>5.4199999999999998E-2</v>
      </c>
      <c r="E137" s="86">
        <f>VLOOKUP($A137,'Data shares'!$C:$FA,74)</f>
        <v>4515800</v>
      </c>
      <c r="F137" s="86">
        <f>VLOOKUP($A137,'Data shares'!$C:$FA,76)</f>
        <v>77600</v>
      </c>
      <c r="G137" s="87">
        <f>VLOOKUP(A137,'Data shares'!$C$2:$CA$220,77,0)</f>
        <v>1.7500000000000002E-2</v>
      </c>
      <c r="H137" s="86">
        <f>VLOOKUP($A137,'Data shares'!$C:$FA,90)</f>
        <v>2592600</v>
      </c>
      <c r="I137" s="86">
        <f>VLOOKUP($A137,'Data shares'!$C:$FA,92)</f>
        <v>181600</v>
      </c>
      <c r="J137" s="87">
        <f>VLOOKUP($A137,'Data shares'!$C:$FA,93)</f>
        <v>7.5300000000000006E-2</v>
      </c>
      <c r="K137" s="86">
        <f>VLOOKUP($A137,'Data shares'!$C:$FA,94)</f>
        <v>2130400</v>
      </c>
      <c r="L137" s="86">
        <f>VLOOKUP($A137,'Data shares'!$C:$FA,96)</f>
        <v>216000</v>
      </c>
      <c r="M137" s="87">
        <f>VLOOKUP($A137,'Data shares'!$C:$FA,97)</f>
        <v>0.1128</v>
      </c>
      <c r="N137" s="86">
        <f>VLOOKUP($A137,'Data shares'!$C:$FA,78)</f>
        <v>4339000</v>
      </c>
      <c r="O137" s="87">
        <f>VLOOKUP($A137,'Data shares'!$C:$FA,81)</f>
        <v>1.5299999999999999E-2</v>
      </c>
    </row>
    <row r="138" spans="1:15" x14ac:dyDescent="0.25">
      <c r="A138" s="100" t="str">
        <f>'Data Vlaue (Cr)'!C133</f>
        <v>MCX</v>
      </c>
      <c r="B138" s="82">
        <f>VLOOKUP(A138,'Data shares'!$C$2:$CV$220,98,0)</f>
        <v>24019375</v>
      </c>
      <c r="C138" s="82">
        <f>VLOOKUP(A138,'Data shares'!$C$2:$CX$220,100,0)</f>
        <v>1295000</v>
      </c>
      <c r="D138" s="141">
        <f>VLOOKUP(A138,'Data shares'!$C$2:$CY$543,101,0)</f>
        <v>5.7000000000000002E-2</v>
      </c>
      <c r="E138" s="86">
        <f>VLOOKUP($A138,'Data shares'!$C:$FA,74)</f>
        <v>12935000</v>
      </c>
      <c r="F138" s="86">
        <f>VLOOKUP($A138,'Data shares'!$C:$FA,76)</f>
        <v>131875</v>
      </c>
      <c r="G138" s="87">
        <f>VLOOKUP(A138,'Data shares'!$C$2:$CA$220,77,0)</f>
        <v>1.03E-2</v>
      </c>
      <c r="H138" s="86">
        <f>VLOOKUP($A138,'Data shares'!$C:$FA,90)</f>
        <v>5783750</v>
      </c>
      <c r="I138" s="86">
        <f>VLOOKUP($A138,'Data shares'!$C:$FA,92)</f>
        <v>386250</v>
      </c>
      <c r="J138" s="87">
        <f>VLOOKUP($A138,'Data shares'!$C:$FA,93)</f>
        <v>7.1599999999999997E-2</v>
      </c>
      <c r="K138" s="86">
        <f>VLOOKUP($A138,'Data shares'!$C:$FA,94)</f>
        <v>5300625</v>
      </c>
      <c r="L138" s="86">
        <f>VLOOKUP($A138,'Data shares'!$C:$FA,96)</f>
        <v>776875</v>
      </c>
      <c r="M138" s="87">
        <f>VLOOKUP($A138,'Data shares'!$C:$FA,97)</f>
        <v>0.17169999999999999</v>
      </c>
      <c r="N138" s="86">
        <f>VLOOKUP($A138,'Data shares'!$C:$FA,78)</f>
        <v>12579375</v>
      </c>
      <c r="O138" s="87">
        <f>VLOOKUP($A138,'Data shares'!$C:$FA,81)</f>
        <v>9.1000000000000004E-3</v>
      </c>
    </row>
    <row r="139" spans="1:15" x14ac:dyDescent="0.25">
      <c r="A139" s="100" t="str">
        <f>'Data Vlaue (Cr)'!C134</f>
        <v>MFSL</v>
      </c>
      <c r="B139" s="82">
        <f>VLOOKUP(A139,'Data shares'!$C$2:$CV$220,98,0)</f>
        <v>11442800</v>
      </c>
      <c r="C139" s="82">
        <f>VLOOKUP(A139,'Data shares'!$C$2:$CX$220,100,0)</f>
        <v>-215600</v>
      </c>
      <c r="D139" s="141">
        <f>VLOOKUP(A139,'Data shares'!$C$2:$CY$543,101,0)</f>
        <v>-1.8499999999999999E-2</v>
      </c>
      <c r="E139" s="86">
        <f>VLOOKUP($A139,'Data shares'!$C:$FA,74)</f>
        <v>10428000</v>
      </c>
      <c r="F139" s="86">
        <f>VLOOKUP($A139,'Data shares'!$C:$FA,76)</f>
        <v>-285200</v>
      </c>
      <c r="G139" s="87">
        <f>VLOOKUP(A139,'Data shares'!$C$2:$CA$220,77,0)</f>
        <v>-2.6599999999999999E-2</v>
      </c>
      <c r="H139" s="86">
        <f>VLOOKUP($A139,'Data shares'!$C:$FA,90)</f>
        <v>571600</v>
      </c>
      <c r="I139" s="86">
        <f>VLOOKUP($A139,'Data shares'!$C:$FA,92)</f>
        <v>9200</v>
      </c>
      <c r="J139" s="87">
        <f>VLOOKUP($A139,'Data shares'!$C:$FA,93)</f>
        <v>1.6400000000000001E-2</v>
      </c>
      <c r="K139" s="86">
        <f>VLOOKUP($A139,'Data shares'!$C:$FA,94)</f>
        <v>443200</v>
      </c>
      <c r="L139" s="86">
        <f>VLOOKUP($A139,'Data shares'!$C:$FA,96)</f>
        <v>60400</v>
      </c>
      <c r="M139" s="87">
        <f>VLOOKUP($A139,'Data shares'!$C:$FA,97)</f>
        <v>0.1578</v>
      </c>
      <c r="N139" s="86">
        <f>VLOOKUP($A139,'Data shares'!$C:$FA,78)</f>
        <v>10415200</v>
      </c>
      <c r="O139" s="87">
        <f>VLOOKUP($A139,'Data shares'!$C:$FA,81)</f>
        <v>-2.6700000000000002E-2</v>
      </c>
    </row>
    <row r="140" spans="1:15" x14ac:dyDescent="0.25">
      <c r="A140" s="100" t="str">
        <f>'Data Vlaue (Cr)'!C135</f>
        <v>MIDCPNIFTY</v>
      </c>
      <c r="B140" s="82">
        <f>VLOOKUP(A140,'Data shares'!$C$2:$CV$220,98,0)</f>
        <v>10378560</v>
      </c>
      <c r="C140" s="82">
        <f>VLOOKUP(A140,'Data shares'!$C$2:$CX$220,100,0)</f>
        <v>879840</v>
      </c>
      <c r="D140" s="141">
        <f>VLOOKUP(A140,'Data shares'!$C$2:$CY$543,101,0)</f>
        <v>9.2600000000000002E-2</v>
      </c>
      <c r="E140" s="86">
        <f>VLOOKUP($A140,'Data shares'!$C:$FA,74)</f>
        <v>2648880</v>
      </c>
      <c r="F140" s="86">
        <f>VLOOKUP($A140,'Data shares'!$C:$FA,76)</f>
        <v>49200</v>
      </c>
      <c r="G140" s="87">
        <f>VLOOKUP(A140,'Data shares'!$C$2:$CA$220,77,0)</f>
        <v>1.89E-2</v>
      </c>
      <c r="H140" s="86">
        <f>VLOOKUP($A140,'Data shares'!$C:$FA,90)</f>
        <v>3696240</v>
      </c>
      <c r="I140" s="86">
        <f>VLOOKUP($A140,'Data shares'!$C:$FA,92)</f>
        <v>201240</v>
      </c>
      <c r="J140" s="87">
        <f>VLOOKUP($A140,'Data shares'!$C:$FA,93)</f>
        <v>5.7599999999999998E-2</v>
      </c>
      <c r="K140" s="86">
        <f>VLOOKUP($A140,'Data shares'!$C:$FA,94)</f>
        <v>4033440</v>
      </c>
      <c r="L140" s="86">
        <f>VLOOKUP($A140,'Data shares'!$C:$FA,96)</f>
        <v>629400</v>
      </c>
      <c r="M140" s="87">
        <f>VLOOKUP($A140,'Data shares'!$C:$FA,97)</f>
        <v>0.18490000000000001</v>
      </c>
      <c r="N140" s="86">
        <f>VLOOKUP($A140,'Data shares'!$C:$FA,78)</f>
        <v>2553480</v>
      </c>
      <c r="O140" s="87">
        <f>VLOOKUP($A140,'Data shares'!$C:$FA,81)</f>
        <v>1.9199999999999998E-2</v>
      </c>
    </row>
    <row r="141" spans="1:15" x14ac:dyDescent="0.25">
      <c r="A141" s="100" t="str">
        <f>'Data Vlaue (Cr)'!C136</f>
        <v>MOTHERSON</v>
      </c>
      <c r="B141" s="82">
        <f>VLOOKUP(A141,'Data shares'!$C$2:$CV$220,98,0)</f>
        <v>199635150</v>
      </c>
      <c r="C141" s="82">
        <f>VLOOKUP(A141,'Data shares'!$C$2:$CX$220,100,0)</f>
        <v>332100</v>
      </c>
      <c r="D141" s="141">
        <f>VLOOKUP(A141,'Data shares'!$C$2:$CY$543,101,0)</f>
        <v>1.6999999999999999E-3</v>
      </c>
      <c r="E141" s="86">
        <f>VLOOKUP($A141,'Data shares'!$C:$FA,74)</f>
        <v>145896450</v>
      </c>
      <c r="F141" s="86">
        <f>VLOOKUP($A141,'Data shares'!$C:$FA,76)</f>
        <v>1365300</v>
      </c>
      <c r="G141" s="87">
        <f>VLOOKUP(A141,'Data shares'!$C$2:$CA$220,77,0)</f>
        <v>9.4000000000000004E-3</v>
      </c>
      <c r="H141" s="86">
        <f>VLOOKUP($A141,'Data shares'!$C:$FA,90)</f>
        <v>29907450</v>
      </c>
      <c r="I141" s="86">
        <f>VLOOKUP($A141,'Data shares'!$C:$FA,92)</f>
        <v>-239850</v>
      </c>
      <c r="J141" s="87">
        <f>VLOOKUP($A141,'Data shares'!$C:$FA,93)</f>
        <v>-8.0000000000000002E-3</v>
      </c>
      <c r="K141" s="86">
        <f>VLOOKUP($A141,'Data shares'!$C:$FA,94)</f>
        <v>23831250</v>
      </c>
      <c r="L141" s="86">
        <f>VLOOKUP($A141,'Data shares'!$C:$FA,96)</f>
        <v>-793350</v>
      </c>
      <c r="M141" s="87">
        <f>VLOOKUP($A141,'Data shares'!$C:$FA,97)</f>
        <v>-3.2199999999999999E-2</v>
      </c>
      <c r="N141" s="86">
        <f>VLOOKUP($A141,'Data shares'!$C:$FA,78)</f>
        <v>142440150</v>
      </c>
      <c r="O141" s="87">
        <f>VLOOKUP($A141,'Data shares'!$C:$FA,81)</f>
        <v>7.7999999999999996E-3</v>
      </c>
    </row>
    <row r="142" spans="1:15" x14ac:dyDescent="0.25">
      <c r="A142" s="100" t="str">
        <f>'Data Vlaue (Cr)'!C137</f>
        <v>MOTILALOFS</v>
      </c>
      <c r="B142" s="82">
        <f>VLOOKUP(A142,'Data shares'!$C$2:$CV$220,98,0)</f>
        <v>2862075</v>
      </c>
      <c r="C142" s="82">
        <f>VLOOKUP(A142,'Data shares'!$C$2:$CX$220,100,0)</f>
        <v>514600</v>
      </c>
      <c r="D142" s="141">
        <f>VLOOKUP(A142,'Data shares'!$C$2:$CY$543,101,0)</f>
        <v>0.21920000000000001</v>
      </c>
      <c r="E142" s="86">
        <f>VLOOKUP($A142,'Data shares'!$C:$FA,74)</f>
        <v>1030750</v>
      </c>
      <c r="F142" s="86">
        <f>VLOOKUP($A142,'Data shares'!$C:$FA,76)</f>
        <v>159650</v>
      </c>
      <c r="G142" s="87">
        <f>VLOOKUP(A142,'Data shares'!$C$2:$CA$220,77,0)</f>
        <v>0.18329999999999999</v>
      </c>
      <c r="H142" s="86">
        <f>VLOOKUP($A142,'Data shares'!$C:$FA,90)</f>
        <v>981925</v>
      </c>
      <c r="I142" s="86">
        <f>VLOOKUP($A142,'Data shares'!$C:$FA,92)</f>
        <v>219325</v>
      </c>
      <c r="J142" s="87">
        <f>VLOOKUP($A142,'Data shares'!$C:$FA,93)</f>
        <v>0.28760000000000002</v>
      </c>
      <c r="K142" s="86">
        <f>VLOOKUP($A142,'Data shares'!$C:$FA,94)</f>
        <v>849400</v>
      </c>
      <c r="L142" s="86">
        <f>VLOOKUP($A142,'Data shares'!$C:$FA,96)</f>
        <v>135625</v>
      </c>
      <c r="M142" s="87">
        <f>VLOOKUP($A142,'Data shares'!$C:$FA,97)</f>
        <v>0.19</v>
      </c>
      <c r="N142" s="86">
        <f>VLOOKUP($A142,'Data shares'!$C:$FA,78)</f>
        <v>998200</v>
      </c>
      <c r="O142" s="87">
        <f>VLOOKUP($A142,'Data shares'!$C:$FA,81)</f>
        <v>0.1827</v>
      </c>
    </row>
    <row r="143" spans="1:15" x14ac:dyDescent="0.25">
      <c r="A143" s="100" t="str">
        <f>'Data Vlaue (Cr)'!C138</f>
        <v>MPHASIS</v>
      </c>
      <c r="B143" s="82">
        <f>VLOOKUP(A143,'Data shares'!$C$2:$CV$220,98,0)</f>
        <v>6593675</v>
      </c>
      <c r="C143" s="82">
        <f>VLOOKUP(A143,'Data shares'!$C$2:$CX$220,100,0)</f>
        <v>209825</v>
      </c>
      <c r="D143" s="141">
        <f>VLOOKUP(A143,'Data shares'!$C$2:$CY$543,101,0)</f>
        <v>3.2899999999999999E-2</v>
      </c>
      <c r="E143" s="86">
        <f>VLOOKUP($A143,'Data shares'!$C:$FA,74)</f>
        <v>4863100</v>
      </c>
      <c r="F143" s="86">
        <f>VLOOKUP($A143,'Data shares'!$C:$FA,76)</f>
        <v>-50325</v>
      </c>
      <c r="G143" s="87">
        <f>VLOOKUP(A143,'Data shares'!$C$2:$CA$220,77,0)</f>
        <v>-1.0200000000000001E-2</v>
      </c>
      <c r="H143" s="86">
        <f>VLOOKUP($A143,'Data shares'!$C:$FA,90)</f>
        <v>906400</v>
      </c>
      <c r="I143" s="86">
        <f>VLOOKUP($A143,'Data shares'!$C:$FA,92)</f>
        <v>82225</v>
      </c>
      <c r="J143" s="87">
        <f>VLOOKUP($A143,'Data shares'!$C:$FA,93)</f>
        <v>9.98E-2</v>
      </c>
      <c r="K143" s="86">
        <f>VLOOKUP($A143,'Data shares'!$C:$FA,94)</f>
        <v>824175</v>
      </c>
      <c r="L143" s="86">
        <f>VLOOKUP($A143,'Data shares'!$C:$FA,96)</f>
        <v>177925</v>
      </c>
      <c r="M143" s="87">
        <f>VLOOKUP($A143,'Data shares'!$C:$FA,97)</f>
        <v>0.27529999999999999</v>
      </c>
      <c r="N143" s="86">
        <f>VLOOKUP($A143,'Data shares'!$C:$FA,78)</f>
        <v>4810575</v>
      </c>
      <c r="O143" s="87">
        <f>VLOOKUP($A143,'Data shares'!$C:$FA,81)</f>
        <v>-1.0500000000000001E-2</v>
      </c>
    </row>
    <row r="144" spans="1:15" x14ac:dyDescent="0.25">
      <c r="A144" s="100" t="str">
        <f>'Data Vlaue (Cr)'!C139</f>
        <v>MUTHOOTFIN</v>
      </c>
      <c r="B144" s="82">
        <f>VLOOKUP(A144,'Data shares'!$C$2:$CV$220,98,0)</f>
        <v>6659675</v>
      </c>
      <c r="C144" s="82">
        <f>VLOOKUP(A144,'Data shares'!$C$2:$CX$220,100,0)</f>
        <v>-31350</v>
      </c>
      <c r="D144" s="141">
        <f>VLOOKUP(A144,'Data shares'!$C$2:$CY$543,101,0)</f>
        <v>-4.7000000000000002E-3</v>
      </c>
      <c r="E144" s="86">
        <f>VLOOKUP($A144,'Data shares'!$C:$FA,74)</f>
        <v>3547500</v>
      </c>
      <c r="F144" s="86">
        <f>VLOOKUP($A144,'Data shares'!$C:$FA,76)</f>
        <v>-2475</v>
      </c>
      <c r="G144" s="87">
        <f>VLOOKUP(A144,'Data shares'!$C$2:$CA$220,77,0)</f>
        <v>-6.9999999999999999E-4</v>
      </c>
      <c r="H144" s="86">
        <f>VLOOKUP($A144,'Data shares'!$C:$FA,90)</f>
        <v>1841675</v>
      </c>
      <c r="I144" s="86">
        <f>VLOOKUP($A144,'Data shares'!$C:$FA,92)</f>
        <v>-47025</v>
      </c>
      <c r="J144" s="87">
        <f>VLOOKUP($A144,'Data shares'!$C:$FA,93)</f>
        <v>-2.4899999999999999E-2</v>
      </c>
      <c r="K144" s="86">
        <f>VLOOKUP($A144,'Data shares'!$C:$FA,94)</f>
        <v>1270500</v>
      </c>
      <c r="L144" s="86">
        <f>VLOOKUP($A144,'Data shares'!$C:$FA,96)</f>
        <v>18150</v>
      </c>
      <c r="M144" s="87">
        <f>VLOOKUP($A144,'Data shares'!$C:$FA,97)</f>
        <v>1.4500000000000001E-2</v>
      </c>
      <c r="N144" s="86">
        <f>VLOOKUP($A144,'Data shares'!$C:$FA,78)</f>
        <v>3453450</v>
      </c>
      <c r="O144" s="87">
        <f>VLOOKUP($A144,'Data shares'!$C:$FA,81)</f>
        <v>-1.2999999999999999E-3</v>
      </c>
    </row>
    <row r="145" spans="1:15" x14ac:dyDescent="0.25">
      <c r="A145" s="100" t="str">
        <f>'Data Vlaue (Cr)'!C140</f>
        <v>NAM-INDIA</v>
      </c>
      <c r="B145" s="82">
        <f>VLOOKUP(A145,'Data shares'!$C$2:$CV$220,98,0)</f>
        <v>2213125</v>
      </c>
      <c r="C145" s="82">
        <f>VLOOKUP(A145,'Data shares'!$C$2:$CX$220,100,0)</f>
        <v>303125</v>
      </c>
      <c r="D145" s="141">
        <f>VLOOKUP(A145,'Data shares'!$C$2:$CY$543,101,0)</f>
        <v>0.15870000000000001</v>
      </c>
      <c r="E145" s="86">
        <f>VLOOKUP($A145,'Data shares'!$C:$FA,74)</f>
        <v>1813750</v>
      </c>
      <c r="F145" s="86">
        <f>VLOOKUP($A145,'Data shares'!$C:$FA,76)</f>
        <v>298125</v>
      </c>
      <c r="G145" s="87">
        <f>VLOOKUP(A145,'Data shares'!$C$2:$CA$220,77,0)</f>
        <v>0.19670000000000001</v>
      </c>
      <c r="H145" s="86">
        <f>VLOOKUP($A145,'Data shares'!$C:$FA,90)</f>
        <v>262500</v>
      </c>
      <c r="I145" s="86">
        <f>VLOOKUP($A145,'Data shares'!$C:$FA,92)</f>
        <v>-39375</v>
      </c>
      <c r="J145" s="87">
        <f>VLOOKUP($A145,'Data shares'!$C:$FA,93)</f>
        <v>-0.13039999999999999</v>
      </c>
      <c r="K145" s="86">
        <f>VLOOKUP($A145,'Data shares'!$C:$FA,94)</f>
        <v>136875</v>
      </c>
      <c r="L145" s="86">
        <f>VLOOKUP($A145,'Data shares'!$C:$FA,96)</f>
        <v>44375</v>
      </c>
      <c r="M145" s="87">
        <f>VLOOKUP($A145,'Data shares'!$C:$FA,97)</f>
        <v>0.47970000000000002</v>
      </c>
      <c r="N145" s="86">
        <f>VLOOKUP($A145,'Data shares'!$C:$FA,78)</f>
        <v>1730625</v>
      </c>
      <c r="O145" s="87">
        <f>VLOOKUP($A145,'Data shares'!$C:$FA,81)</f>
        <v>0.16389999999999999</v>
      </c>
    </row>
    <row r="146" spans="1:15" x14ac:dyDescent="0.25">
      <c r="A146" s="100" t="str">
        <f>'Data Vlaue (Cr)'!C141</f>
        <v>NATIONALUM</v>
      </c>
      <c r="B146" s="82">
        <f>VLOOKUP(A146,'Data shares'!$C$2:$CV$220,98,0)</f>
        <v>115230000</v>
      </c>
      <c r="C146" s="82">
        <f>VLOOKUP(A146,'Data shares'!$C$2:$CX$220,100,0)</f>
        <v>7383750</v>
      </c>
      <c r="D146" s="141">
        <f>VLOOKUP(A146,'Data shares'!$C$2:$CY$543,101,0)</f>
        <v>6.8500000000000005E-2</v>
      </c>
      <c r="E146" s="86">
        <f>VLOOKUP($A146,'Data shares'!$C:$FA,74)</f>
        <v>51307500</v>
      </c>
      <c r="F146" s="86">
        <f>VLOOKUP($A146,'Data shares'!$C:$FA,76)</f>
        <v>63750</v>
      </c>
      <c r="G146" s="87">
        <f>VLOOKUP(A146,'Data shares'!$C$2:$CA$220,77,0)</f>
        <v>1.1999999999999999E-3</v>
      </c>
      <c r="H146" s="86">
        <f>VLOOKUP($A146,'Data shares'!$C:$FA,90)</f>
        <v>35175000</v>
      </c>
      <c r="I146" s="86">
        <f>VLOOKUP($A146,'Data shares'!$C:$FA,92)</f>
        <v>6356250</v>
      </c>
      <c r="J146" s="87">
        <f>VLOOKUP($A146,'Data shares'!$C:$FA,93)</f>
        <v>0.22059999999999999</v>
      </c>
      <c r="K146" s="86">
        <f>VLOOKUP($A146,'Data shares'!$C:$FA,94)</f>
        <v>28747500</v>
      </c>
      <c r="L146" s="86">
        <f>VLOOKUP($A146,'Data shares'!$C:$FA,96)</f>
        <v>963750</v>
      </c>
      <c r="M146" s="87">
        <f>VLOOKUP($A146,'Data shares'!$C:$FA,97)</f>
        <v>3.4700000000000002E-2</v>
      </c>
      <c r="N146" s="86">
        <f>VLOOKUP($A146,'Data shares'!$C:$FA,78)</f>
        <v>49822500</v>
      </c>
      <c r="O146" s="87">
        <f>VLOOKUP($A146,'Data shares'!$C:$FA,81)</f>
        <v>5.7999999999999996E-3</v>
      </c>
    </row>
    <row r="147" spans="1:15" x14ac:dyDescent="0.25">
      <c r="A147" s="100" t="str">
        <f>'Data Vlaue (Cr)'!C142</f>
        <v>NAUKRI</v>
      </c>
      <c r="B147" s="82">
        <f>VLOOKUP(A147,'Data shares'!$C$2:$CV$220,98,0)</f>
        <v>13364250</v>
      </c>
      <c r="C147" s="82">
        <f>VLOOKUP(A147,'Data shares'!$C$2:$CX$220,100,0)</f>
        <v>979500</v>
      </c>
      <c r="D147" s="141">
        <f>VLOOKUP(A147,'Data shares'!$C$2:$CY$543,101,0)</f>
        <v>7.9100000000000004E-2</v>
      </c>
      <c r="E147" s="86">
        <f>VLOOKUP($A147,'Data shares'!$C:$FA,74)</f>
        <v>10071375</v>
      </c>
      <c r="F147" s="86">
        <f>VLOOKUP($A147,'Data shares'!$C:$FA,76)</f>
        <v>537000</v>
      </c>
      <c r="G147" s="87">
        <f>VLOOKUP(A147,'Data shares'!$C$2:$CA$220,77,0)</f>
        <v>5.6300000000000003E-2</v>
      </c>
      <c r="H147" s="86">
        <f>VLOOKUP($A147,'Data shares'!$C:$FA,90)</f>
        <v>2190375</v>
      </c>
      <c r="I147" s="86">
        <f>VLOOKUP($A147,'Data shares'!$C:$FA,92)</f>
        <v>233250</v>
      </c>
      <c r="J147" s="87">
        <f>VLOOKUP($A147,'Data shares'!$C:$FA,93)</f>
        <v>0.1192</v>
      </c>
      <c r="K147" s="86">
        <f>VLOOKUP($A147,'Data shares'!$C:$FA,94)</f>
        <v>1102500</v>
      </c>
      <c r="L147" s="86">
        <f>VLOOKUP($A147,'Data shares'!$C:$FA,96)</f>
        <v>209250</v>
      </c>
      <c r="M147" s="87">
        <f>VLOOKUP($A147,'Data shares'!$C:$FA,97)</f>
        <v>0.23430000000000001</v>
      </c>
      <c r="N147" s="86">
        <f>VLOOKUP($A147,'Data shares'!$C:$FA,78)</f>
        <v>9890250</v>
      </c>
      <c r="O147" s="87">
        <f>VLOOKUP($A147,'Data shares'!$C:$FA,81)</f>
        <v>5.1299999999999998E-2</v>
      </c>
    </row>
    <row r="148" spans="1:15" x14ac:dyDescent="0.25">
      <c r="A148" s="100" t="str">
        <f>'Data Vlaue (Cr)'!C143</f>
        <v>NBCC</v>
      </c>
      <c r="B148" s="82">
        <f>VLOOKUP(A148,'Data shares'!$C$2:$CV$220,98,0)</f>
        <v>106353000</v>
      </c>
      <c r="C148" s="82">
        <f>VLOOKUP(A148,'Data shares'!$C$2:$CX$220,100,0)</f>
        <v>1709500</v>
      </c>
      <c r="D148" s="141">
        <f>VLOOKUP(A148,'Data shares'!$C$2:$CY$543,101,0)</f>
        <v>1.6299999999999999E-2</v>
      </c>
      <c r="E148" s="86">
        <f>VLOOKUP($A148,'Data shares'!$C:$FA,74)</f>
        <v>78318500</v>
      </c>
      <c r="F148" s="86">
        <f>VLOOKUP($A148,'Data shares'!$C:$FA,76)</f>
        <v>-149500</v>
      </c>
      <c r="G148" s="87">
        <f>VLOOKUP(A148,'Data shares'!$C$2:$CA$220,77,0)</f>
        <v>-1.9E-3</v>
      </c>
      <c r="H148" s="86">
        <f>VLOOKUP($A148,'Data shares'!$C:$FA,90)</f>
        <v>15301000</v>
      </c>
      <c r="I148" s="86">
        <f>VLOOKUP($A148,'Data shares'!$C:$FA,92)</f>
        <v>1443000</v>
      </c>
      <c r="J148" s="87">
        <f>VLOOKUP($A148,'Data shares'!$C:$FA,93)</f>
        <v>0.1041</v>
      </c>
      <c r="K148" s="86">
        <f>VLOOKUP($A148,'Data shares'!$C:$FA,94)</f>
        <v>12733500</v>
      </c>
      <c r="L148" s="86">
        <f>VLOOKUP($A148,'Data shares'!$C:$FA,96)</f>
        <v>416000</v>
      </c>
      <c r="M148" s="87">
        <f>VLOOKUP($A148,'Data shares'!$C:$FA,97)</f>
        <v>3.3799999999999997E-2</v>
      </c>
      <c r="N148" s="86">
        <f>VLOOKUP($A148,'Data shares'!$C:$FA,78)</f>
        <v>75627500</v>
      </c>
      <c r="O148" s="87">
        <f>VLOOKUP($A148,'Data shares'!$C:$FA,81)</f>
        <v>-1.6000000000000001E-3</v>
      </c>
    </row>
    <row r="149" spans="1:15" x14ac:dyDescent="0.25">
      <c r="A149" s="100" t="str">
        <f>'Data Vlaue (Cr)'!C144</f>
        <v>NESTLEIND</v>
      </c>
      <c r="B149" s="82">
        <f>VLOOKUP(A149,'Data shares'!$C$2:$CV$220,98,0)</f>
        <v>22165000</v>
      </c>
      <c r="C149" s="82">
        <f>VLOOKUP(A149,'Data shares'!$C$2:$CX$220,100,0)</f>
        <v>-247500</v>
      </c>
      <c r="D149" s="141">
        <f>VLOOKUP(A149,'Data shares'!$C$2:$CY$543,101,0)</f>
        <v>-1.0999999999999999E-2</v>
      </c>
      <c r="E149" s="86">
        <f>VLOOKUP($A149,'Data shares'!$C:$FA,74)</f>
        <v>18209500</v>
      </c>
      <c r="F149" s="86">
        <f>VLOOKUP($A149,'Data shares'!$C:$FA,76)</f>
        <v>-194000</v>
      </c>
      <c r="G149" s="87">
        <f>VLOOKUP(A149,'Data shares'!$C$2:$CA$220,77,0)</f>
        <v>-1.0500000000000001E-2</v>
      </c>
      <c r="H149" s="86">
        <f>VLOOKUP($A149,'Data shares'!$C:$FA,90)</f>
        <v>2291000</v>
      </c>
      <c r="I149" s="86">
        <f>VLOOKUP($A149,'Data shares'!$C:$FA,92)</f>
        <v>-57000</v>
      </c>
      <c r="J149" s="87">
        <f>VLOOKUP($A149,'Data shares'!$C:$FA,93)</f>
        <v>-2.4299999999999999E-2</v>
      </c>
      <c r="K149" s="86">
        <f>VLOOKUP($A149,'Data shares'!$C:$FA,94)</f>
        <v>1664500</v>
      </c>
      <c r="L149" s="86">
        <f>VLOOKUP($A149,'Data shares'!$C:$FA,96)</f>
        <v>3500</v>
      </c>
      <c r="M149" s="87">
        <f>VLOOKUP($A149,'Data shares'!$C:$FA,97)</f>
        <v>2.0999999999999999E-3</v>
      </c>
      <c r="N149" s="86">
        <f>VLOOKUP($A149,'Data shares'!$C:$FA,78)</f>
        <v>17688500</v>
      </c>
      <c r="O149" s="87">
        <f>VLOOKUP($A149,'Data shares'!$C:$FA,81)</f>
        <v>-1.12E-2</v>
      </c>
    </row>
    <row r="150" spans="1:15" x14ac:dyDescent="0.25">
      <c r="A150" s="100" t="str">
        <f>'Data Vlaue (Cr)'!C145</f>
        <v>NHPC</v>
      </c>
      <c r="B150" s="82">
        <f>VLOOKUP(A150,'Data shares'!$C$2:$CV$220,98,0)</f>
        <v>139008000</v>
      </c>
      <c r="C150" s="82">
        <f>VLOOKUP(A150,'Data shares'!$C$2:$CX$220,100,0)</f>
        <v>20761600</v>
      </c>
      <c r="D150" s="141">
        <f>VLOOKUP(A150,'Data shares'!$C$2:$CY$543,101,0)</f>
        <v>0.17560000000000001</v>
      </c>
      <c r="E150" s="86">
        <f>VLOOKUP($A150,'Data shares'!$C:$FA,74)</f>
        <v>71859200</v>
      </c>
      <c r="F150" s="86">
        <f>VLOOKUP($A150,'Data shares'!$C:$FA,76)</f>
        <v>2617600</v>
      </c>
      <c r="G150" s="87">
        <f>VLOOKUP(A150,'Data shares'!$C$2:$CA$220,77,0)</f>
        <v>3.78E-2</v>
      </c>
      <c r="H150" s="86">
        <f>VLOOKUP($A150,'Data shares'!$C:$FA,90)</f>
        <v>42342400</v>
      </c>
      <c r="I150" s="86">
        <f>VLOOKUP($A150,'Data shares'!$C:$FA,92)</f>
        <v>13056000</v>
      </c>
      <c r="J150" s="87">
        <f>VLOOKUP($A150,'Data shares'!$C:$FA,93)</f>
        <v>0.44579999999999997</v>
      </c>
      <c r="K150" s="86">
        <f>VLOOKUP($A150,'Data shares'!$C:$FA,94)</f>
        <v>24806400</v>
      </c>
      <c r="L150" s="86">
        <f>VLOOKUP($A150,'Data shares'!$C:$FA,96)</f>
        <v>5088000</v>
      </c>
      <c r="M150" s="87">
        <f>VLOOKUP($A150,'Data shares'!$C:$FA,97)</f>
        <v>0.25800000000000001</v>
      </c>
      <c r="N150" s="86">
        <f>VLOOKUP($A150,'Data shares'!$C:$FA,78)</f>
        <v>68819200</v>
      </c>
      <c r="O150" s="87">
        <f>VLOOKUP($A150,'Data shares'!$C:$FA,81)</f>
        <v>2.92E-2</v>
      </c>
    </row>
    <row r="151" spans="1:15" x14ac:dyDescent="0.25">
      <c r="A151" s="100" t="str">
        <f>'Data Vlaue (Cr)'!C146</f>
        <v>NIFTY</v>
      </c>
      <c r="B151" s="82">
        <f>VLOOKUP(A151,'Data shares'!$C$2:$CV$220,98,0)</f>
        <v>444262440</v>
      </c>
      <c r="C151" s="82">
        <f>VLOOKUP(A151,'Data shares'!$C$2:$CX$220,100,0)</f>
        <v>58348005</v>
      </c>
      <c r="D151" s="141">
        <f>VLOOKUP(A151,'Data shares'!$C$2:$CY$543,101,0)</f>
        <v>0.1512</v>
      </c>
      <c r="E151" s="86">
        <f>VLOOKUP($A151,'Data shares'!$C:$FA,74)</f>
        <v>22720035</v>
      </c>
      <c r="F151" s="86">
        <f>VLOOKUP($A151,'Data shares'!$C:$FA,76)</f>
        <v>-280865</v>
      </c>
      <c r="G151" s="87">
        <f>VLOOKUP(A151,'Data shares'!$C$2:$CA$220,77,0)</f>
        <v>-1.2200000000000001E-2</v>
      </c>
      <c r="H151" s="86">
        <f>VLOOKUP($A151,'Data shares'!$C:$FA,90)</f>
        <v>213651855</v>
      </c>
      <c r="I151" s="86">
        <f>VLOOKUP($A151,'Data shares'!$C:$FA,92)</f>
        <v>43020245</v>
      </c>
      <c r="J151" s="87">
        <f>VLOOKUP($A151,'Data shares'!$C:$FA,93)</f>
        <v>0.25209999999999999</v>
      </c>
      <c r="K151" s="86">
        <f>VLOOKUP($A151,'Data shares'!$C:$FA,94)</f>
        <v>207890550</v>
      </c>
      <c r="L151" s="86">
        <f>VLOOKUP($A151,'Data shares'!$C:$FA,96)</f>
        <v>15608625</v>
      </c>
      <c r="M151" s="87">
        <f>VLOOKUP($A151,'Data shares'!$C:$FA,97)</f>
        <v>8.1199999999999994E-2</v>
      </c>
      <c r="N151" s="86">
        <f>VLOOKUP($A151,'Data shares'!$C:$FA,78)</f>
        <v>19774820</v>
      </c>
      <c r="O151" s="87">
        <f>VLOOKUP($A151,'Data shares'!$C:$FA,81)</f>
        <v>-1.83E-2</v>
      </c>
    </row>
    <row r="152" spans="1:15" x14ac:dyDescent="0.25">
      <c r="A152" s="100" t="str">
        <f>'Data Vlaue (Cr)'!C147</f>
        <v>NIFTYNXT50</v>
      </c>
      <c r="B152" s="82">
        <f>VLOOKUP(A152,'Data shares'!$C$2:$CV$220,98,0)</f>
        <v>23750</v>
      </c>
      <c r="C152" s="82">
        <f>VLOOKUP(A152,'Data shares'!$C$2:$CX$220,100,0)</f>
        <v>675</v>
      </c>
      <c r="D152" s="141">
        <f>VLOOKUP(A152,'Data shares'!$C$2:$CY$543,101,0)</f>
        <v>2.93E-2</v>
      </c>
      <c r="E152" s="86">
        <f>VLOOKUP($A152,'Data shares'!$C:$FA,74)</f>
        <v>18525</v>
      </c>
      <c r="F152" s="86">
        <f>VLOOKUP($A152,'Data shares'!$C:$FA,76)</f>
        <v>100</v>
      </c>
      <c r="G152" s="87">
        <f>VLOOKUP(A152,'Data shares'!$C$2:$CA$220,77,0)</f>
        <v>5.4000000000000003E-3</v>
      </c>
      <c r="H152" s="86">
        <f>VLOOKUP($A152,'Data shares'!$C:$FA,90)</f>
        <v>2425</v>
      </c>
      <c r="I152" s="86">
        <f>VLOOKUP($A152,'Data shares'!$C:$FA,92)</f>
        <v>200</v>
      </c>
      <c r="J152" s="87">
        <f>VLOOKUP($A152,'Data shares'!$C:$FA,93)</f>
        <v>8.9899999999999994E-2</v>
      </c>
      <c r="K152" s="86">
        <f>VLOOKUP($A152,'Data shares'!$C:$FA,94)</f>
        <v>2800</v>
      </c>
      <c r="L152" s="86">
        <f>VLOOKUP($A152,'Data shares'!$C:$FA,96)</f>
        <v>375</v>
      </c>
      <c r="M152" s="87">
        <f>VLOOKUP($A152,'Data shares'!$C:$FA,97)</f>
        <v>0.15459999999999999</v>
      </c>
      <c r="N152" s="86">
        <f>VLOOKUP($A152,'Data shares'!$C:$FA,78)</f>
        <v>17075</v>
      </c>
      <c r="O152" s="87">
        <f>VLOOKUP($A152,'Data shares'!$C:$FA,81)</f>
        <v>1.04E-2</v>
      </c>
    </row>
    <row r="153" spans="1:15" x14ac:dyDescent="0.25">
      <c r="A153" s="100" t="str">
        <f>'Data Vlaue (Cr)'!C148</f>
        <v>NMDC</v>
      </c>
      <c r="B153" s="82">
        <f>VLOOKUP(A153,'Data shares'!$C$2:$CV$220,98,0)</f>
        <v>439803000</v>
      </c>
      <c r="C153" s="82">
        <f>VLOOKUP(A153,'Data shares'!$C$2:$CX$220,100,0)</f>
        <v>11286000</v>
      </c>
      <c r="D153" s="141">
        <f>VLOOKUP(A153,'Data shares'!$C$2:$CY$543,101,0)</f>
        <v>2.63E-2</v>
      </c>
      <c r="E153" s="86">
        <f>VLOOKUP($A153,'Data shares'!$C:$FA,74)</f>
        <v>331506000</v>
      </c>
      <c r="F153" s="86">
        <f>VLOOKUP($A153,'Data shares'!$C:$FA,76)</f>
        <v>2828250</v>
      </c>
      <c r="G153" s="87">
        <f>VLOOKUP(A153,'Data shares'!$C$2:$CA$220,77,0)</f>
        <v>8.6E-3</v>
      </c>
      <c r="H153" s="86">
        <f>VLOOKUP($A153,'Data shares'!$C:$FA,90)</f>
        <v>67081500</v>
      </c>
      <c r="I153" s="86">
        <f>VLOOKUP($A153,'Data shares'!$C:$FA,92)</f>
        <v>4738500</v>
      </c>
      <c r="J153" s="87">
        <f>VLOOKUP($A153,'Data shares'!$C:$FA,93)</f>
        <v>7.5999999999999998E-2</v>
      </c>
      <c r="K153" s="86">
        <f>VLOOKUP($A153,'Data shares'!$C:$FA,94)</f>
        <v>41215500</v>
      </c>
      <c r="L153" s="86">
        <f>VLOOKUP($A153,'Data shares'!$C:$FA,96)</f>
        <v>3719250</v>
      </c>
      <c r="M153" s="87">
        <f>VLOOKUP($A153,'Data shares'!$C:$FA,97)</f>
        <v>9.9199999999999997E-2</v>
      </c>
      <c r="N153" s="86">
        <f>VLOOKUP($A153,'Data shares'!$C:$FA,78)</f>
        <v>324155250</v>
      </c>
      <c r="O153" s="87">
        <f>VLOOKUP($A153,'Data shares'!$C:$FA,81)</f>
        <v>4.5999999999999999E-3</v>
      </c>
    </row>
    <row r="154" spans="1:15" x14ac:dyDescent="0.25">
      <c r="A154" s="100" t="str">
        <f>'Data Vlaue (Cr)'!C149</f>
        <v>NTPC</v>
      </c>
      <c r="B154" s="82">
        <f>VLOOKUP(A154,'Data shares'!$C$2:$CV$220,98,0)</f>
        <v>141190500</v>
      </c>
      <c r="C154" s="82">
        <f>VLOOKUP(A154,'Data shares'!$C$2:$CX$220,100,0)</f>
        <v>8959500</v>
      </c>
      <c r="D154" s="141">
        <f>VLOOKUP(A154,'Data shares'!$C$2:$CY$543,101,0)</f>
        <v>6.7799999999999999E-2</v>
      </c>
      <c r="E154" s="86">
        <f>VLOOKUP($A154,'Data shares'!$C:$FA,74)</f>
        <v>87567000</v>
      </c>
      <c r="F154" s="86">
        <f>VLOOKUP($A154,'Data shares'!$C:$FA,76)</f>
        <v>1333500</v>
      </c>
      <c r="G154" s="87">
        <f>VLOOKUP(A154,'Data shares'!$C$2:$CA$220,77,0)</f>
        <v>1.55E-2</v>
      </c>
      <c r="H154" s="86">
        <f>VLOOKUP($A154,'Data shares'!$C:$FA,90)</f>
        <v>36079500</v>
      </c>
      <c r="I154" s="86">
        <f>VLOOKUP($A154,'Data shares'!$C:$FA,92)</f>
        <v>5962500</v>
      </c>
      <c r="J154" s="87">
        <f>VLOOKUP($A154,'Data shares'!$C:$FA,93)</f>
        <v>0.19800000000000001</v>
      </c>
      <c r="K154" s="86">
        <f>VLOOKUP($A154,'Data shares'!$C:$FA,94)</f>
        <v>17544000</v>
      </c>
      <c r="L154" s="86">
        <f>VLOOKUP($A154,'Data shares'!$C:$FA,96)</f>
        <v>1663500</v>
      </c>
      <c r="M154" s="87">
        <f>VLOOKUP($A154,'Data shares'!$C:$FA,97)</f>
        <v>0.1048</v>
      </c>
      <c r="N154" s="86">
        <f>VLOOKUP($A154,'Data shares'!$C:$FA,78)</f>
        <v>77679000</v>
      </c>
      <c r="O154" s="87">
        <f>VLOOKUP($A154,'Data shares'!$C:$FA,81)</f>
        <v>1.5299999999999999E-2</v>
      </c>
    </row>
    <row r="155" spans="1:15" x14ac:dyDescent="0.25">
      <c r="A155" s="100" t="str">
        <f>'Data Vlaue (Cr)'!C150</f>
        <v>NUVAMA</v>
      </c>
      <c r="B155" s="82">
        <f>VLOOKUP(A155,'Data shares'!$C$2:$CV$220,98,0)</f>
        <v>3305000</v>
      </c>
      <c r="C155" s="82">
        <f>VLOOKUP(A155,'Data shares'!$C$2:$CX$220,100,0)</f>
        <v>175500</v>
      </c>
      <c r="D155" s="141">
        <f>VLOOKUP(A155,'Data shares'!$C$2:$CY$543,101,0)</f>
        <v>5.6099999999999997E-2</v>
      </c>
      <c r="E155" s="86">
        <f>VLOOKUP($A155,'Data shares'!$C:$FA,74)</f>
        <v>2003000</v>
      </c>
      <c r="F155" s="86">
        <f>VLOOKUP($A155,'Data shares'!$C:$FA,76)</f>
        <v>-2000</v>
      </c>
      <c r="G155" s="87">
        <f>VLOOKUP(A155,'Data shares'!$C$2:$CA$220,77,0)</f>
        <v>-1E-3</v>
      </c>
      <c r="H155" s="86">
        <f>VLOOKUP($A155,'Data shares'!$C:$FA,90)</f>
        <v>746500</v>
      </c>
      <c r="I155" s="86">
        <f>VLOOKUP($A155,'Data shares'!$C:$FA,92)</f>
        <v>134000</v>
      </c>
      <c r="J155" s="87">
        <f>VLOOKUP($A155,'Data shares'!$C:$FA,93)</f>
        <v>0.21879999999999999</v>
      </c>
      <c r="K155" s="86">
        <f>VLOOKUP($A155,'Data shares'!$C:$FA,94)</f>
        <v>555500</v>
      </c>
      <c r="L155" s="86">
        <f>VLOOKUP($A155,'Data shares'!$C:$FA,96)</f>
        <v>43500</v>
      </c>
      <c r="M155" s="87">
        <f>VLOOKUP($A155,'Data shares'!$C:$FA,97)</f>
        <v>8.5000000000000006E-2</v>
      </c>
      <c r="N155" s="86">
        <f>VLOOKUP($A155,'Data shares'!$C:$FA,78)</f>
        <v>1940500</v>
      </c>
      <c r="O155" s="87">
        <f>VLOOKUP($A155,'Data shares'!$C:$FA,81)</f>
        <v>-4.1000000000000003E-3</v>
      </c>
    </row>
    <row r="156" spans="1:15" x14ac:dyDescent="0.25">
      <c r="A156" s="100" t="str">
        <f>'Data Vlaue (Cr)'!C151</f>
        <v>NYKAA</v>
      </c>
      <c r="B156" s="82">
        <f>VLOOKUP(A156,'Data shares'!$C$2:$CV$220,98,0)</f>
        <v>57984375</v>
      </c>
      <c r="C156" s="82">
        <f>VLOOKUP(A156,'Data shares'!$C$2:$CX$220,100,0)</f>
        <v>-31250</v>
      </c>
      <c r="D156" s="141">
        <f>VLOOKUP(A156,'Data shares'!$C$2:$CY$543,101,0)</f>
        <v>-5.0000000000000001E-4</v>
      </c>
      <c r="E156" s="86">
        <f>VLOOKUP($A156,'Data shares'!$C:$FA,74)</f>
        <v>46071875</v>
      </c>
      <c r="F156" s="86">
        <f>VLOOKUP($A156,'Data shares'!$C:$FA,76)</f>
        <v>-784375</v>
      </c>
      <c r="G156" s="87">
        <f>VLOOKUP(A156,'Data shares'!$C$2:$CA$220,77,0)</f>
        <v>-1.67E-2</v>
      </c>
      <c r="H156" s="86">
        <f>VLOOKUP($A156,'Data shares'!$C:$FA,90)</f>
        <v>7487500</v>
      </c>
      <c r="I156" s="86">
        <f>VLOOKUP($A156,'Data shares'!$C:$FA,92)</f>
        <v>578125</v>
      </c>
      <c r="J156" s="87">
        <f>VLOOKUP($A156,'Data shares'!$C:$FA,93)</f>
        <v>8.3699999999999997E-2</v>
      </c>
      <c r="K156" s="86">
        <f>VLOOKUP($A156,'Data shares'!$C:$FA,94)</f>
        <v>4425000</v>
      </c>
      <c r="L156" s="86">
        <f>VLOOKUP($A156,'Data shares'!$C:$FA,96)</f>
        <v>175000</v>
      </c>
      <c r="M156" s="87">
        <f>VLOOKUP($A156,'Data shares'!$C:$FA,97)</f>
        <v>4.1200000000000001E-2</v>
      </c>
      <c r="N156" s="86">
        <f>VLOOKUP($A156,'Data shares'!$C:$FA,78)</f>
        <v>45456250</v>
      </c>
      <c r="O156" s="87">
        <f>VLOOKUP($A156,'Data shares'!$C:$FA,81)</f>
        <v>-1.8200000000000001E-2</v>
      </c>
    </row>
    <row r="157" spans="1:15" x14ac:dyDescent="0.25">
      <c r="A157" s="100" t="str">
        <f>'Data Vlaue (Cr)'!C152</f>
        <v>OBEROIRLTY</v>
      </c>
      <c r="B157" s="82">
        <f>VLOOKUP(A157,'Data shares'!$C$2:$CV$220,98,0)</f>
        <v>10997350</v>
      </c>
      <c r="C157" s="82">
        <f>VLOOKUP(A157,'Data shares'!$C$2:$CX$220,100,0)</f>
        <v>870100</v>
      </c>
      <c r="D157" s="141">
        <f>VLOOKUP(A157,'Data shares'!$C$2:$CY$543,101,0)</f>
        <v>8.5900000000000004E-2</v>
      </c>
      <c r="E157" s="86">
        <f>VLOOKUP($A157,'Data shares'!$C:$FA,74)</f>
        <v>9212700</v>
      </c>
      <c r="F157" s="86">
        <f>VLOOKUP($A157,'Data shares'!$C:$FA,76)</f>
        <v>696500</v>
      </c>
      <c r="G157" s="87">
        <f>VLOOKUP(A157,'Data shares'!$C$2:$CA$220,77,0)</f>
        <v>8.1799999999999998E-2</v>
      </c>
      <c r="H157" s="86">
        <f>VLOOKUP($A157,'Data shares'!$C:$FA,90)</f>
        <v>941500</v>
      </c>
      <c r="I157" s="86">
        <f>VLOOKUP($A157,'Data shares'!$C:$FA,92)</f>
        <v>98350</v>
      </c>
      <c r="J157" s="87">
        <f>VLOOKUP($A157,'Data shares'!$C:$FA,93)</f>
        <v>0.1166</v>
      </c>
      <c r="K157" s="86">
        <f>VLOOKUP($A157,'Data shares'!$C:$FA,94)</f>
        <v>843150</v>
      </c>
      <c r="L157" s="86">
        <f>VLOOKUP($A157,'Data shares'!$C:$FA,96)</f>
        <v>75250</v>
      </c>
      <c r="M157" s="87">
        <f>VLOOKUP($A157,'Data shares'!$C:$FA,97)</f>
        <v>9.8000000000000004E-2</v>
      </c>
      <c r="N157" s="86">
        <f>VLOOKUP($A157,'Data shares'!$C:$FA,78)</f>
        <v>8788850</v>
      </c>
      <c r="O157" s="87">
        <f>VLOOKUP($A157,'Data shares'!$C:$FA,81)</f>
        <v>4.8899999999999999E-2</v>
      </c>
    </row>
    <row r="158" spans="1:15" x14ac:dyDescent="0.25">
      <c r="A158" s="100" t="str">
        <f>'Data Vlaue (Cr)'!C153</f>
        <v>OFSS</v>
      </c>
      <c r="B158" s="82">
        <f>VLOOKUP(A158,'Data shares'!$C$2:$CV$220,98,0)</f>
        <v>2295750</v>
      </c>
      <c r="C158" s="82">
        <f>VLOOKUP(A158,'Data shares'!$C$2:$CX$220,100,0)</f>
        <v>32550</v>
      </c>
      <c r="D158" s="141">
        <f>VLOOKUP(A158,'Data shares'!$C$2:$CY$543,101,0)</f>
        <v>1.44E-2</v>
      </c>
      <c r="E158" s="86">
        <f>VLOOKUP($A158,'Data shares'!$C:$FA,74)</f>
        <v>1499025</v>
      </c>
      <c r="F158" s="86">
        <f>VLOOKUP($A158,'Data shares'!$C:$FA,76)</f>
        <v>-8025</v>
      </c>
      <c r="G158" s="87">
        <f>VLOOKUP(A158,'Data shares'!$C$2:$CA$220,77,0)</f>
        <v>-5.3E-3</v>
      </c>
      <c r="H158" s="86">
        <f>VLOOKUP($A158,'Data shares'!$C:$FA,90)</f>
        <v>424725</v>
      </c>
      <c r="I158" s="86">
        <f>VLOOKUP($A158,'Data shares'!$C:$FA,92)</f>
        <v>-18000</v>
      </c>
      <c r="J158" s="87">
        <f>VLOOKUP($A158,'Data shares'!$C:$FA,93)</f>
        <v>-4.07E-2</v>
      </c>
      <c r="K158" s="86">
        <f>VLOOKUP($A158,'Data shares'!$C:$FA,94)</f>
        <v>372000</v>
      </c>
      <c r="L158" s="86">
        <f>VLOOKUP($A158,'Data shares'!$C:$FA,96)</f>
        <v>58575</v>
      </c>
      <c r="M158" s="87">
        <f>VLOOKUP($A158,'Data shares'!$C:$FA,97)</f>
        <v>0.18690000000000001</v>
      </c>
      <c r="N158" s="86">
        <f>VLOOKUP($A158,'Data shares'!$C:$FA,78)</f>
        <v>1447800</v>
      </c>
      <c r="O158" s="87">
        <f>VLOOKUP($A158,'Data shares'!$C:$FA,81)</f>
        <v>-1.2E-2</v>
      </c>
    </row>
    <row r="159" spans="1:15" x14ac:dyDescent="0.25">
      <c r="A159" s="100" t="str">
        <f>'Data Vlaue (Cr)'!C154</f>
        <v>OIL</v>
      </c>
      <c r="B159" s="82">
        <f>VLOOKUP(A159,'Data shares'!$C$2:$CV$220,98,0)</f>
        <v>34903400</v>
      </c>
      <c r="C159" s="82">
        <f>VLOOKUP(A159,'Data shares'!$C$2:$CX$220,100,0)</f>
        <v>-1006600</v>
      </c>
      <c r="D159" s="141">
        <f>VLOOKUP(A159,'Data shares'!$C$2:$CY$543,101,0)</f>
        <v>-2.8000000000000001E-2</v>
      </c>
      <c r="E159" s="86">
        <f>VLOOKUP($A159,'Data shares'!$C:$FA,74)</f>
        <v>20860000</v>
      </c>
      <c r="F159" s="86">
        <f>VLOOKUP($A159,'Data shares'!$C:$FA,76)</f>
        <v>-443800</v>
      </c>
      <c r="G159" s="87">
        <f>VLOOKUP(A159,'Data shares'!$C$2:$CA$220,77,0)</f>
        <v>-2.0799999999999999E-2</v>
      </c>
      <c r="H159" s="86">
        <f>VLOOKUP($A159,'Data shares'!$C:$FA,90)</f>
        <v>9559200</v>
      </c>
      <c r="I159" s="86">
        <f>VLOOKUP($A159,'Data shares'!$C:$FA,92)</f>
        <v>-652400</v>
      </c>
      <c r="J159" s="87">
        <f>VLOOKUP($A159,'Data shares'!$C:$FA,93)</f>
        <v>-6.3899999999999998E-2</v>
      </c>
      <c r="K159" s="86">
        <f>VLOOKUP($A159,'Data shares'!$C:$FA,94)</f>
        <v>4484200</v>
      </c>
      <c r="L159" s="86">
        <f>VLOOKUP($A159,'Data shares'!$C:$FA,96)</f>
        <v>89600</v>
      </c>
      <c r="M159" s="87">
        <f>VLOOKUP($A159,'Data shares'!$C:$FA,97)</f>
        <v>2.0400000000000001E-2</v>
      </c>
      <c r="N159" s="86">
        <f>VLOOKUP($A159,'Data shares'!$C:$FA,78)</f>
        <v>20321000</v>
      </c>
      <c r="O159" s="87">
        <f>VLOOKUP($A159,'Data shares'!$C:$FA,81)</f>
        <v>-2.01E-2</v>
      </c>
    </row>
    <row r="160" spans="1:15" x14ac:dyDescent="0.25">
      <c r="A160" s="100" t="str">
        <f>'Data Vlaue (Cr)'!C155</f>
        <v>ONGC</v>
      </c>
      <c r="B160" s="82">
        <f>VLOOKUP(A160,'Data shares'!$C$2:$CV$220,98,0)</f>
        <v>199548000</v>
      </c>
      <c r="C160" s="82">
        <f>VLOOKUP(A160,'Data shares'!$C$2:$CX$220,100,0)</f>
        <v>958500</v>
      </c>
      <c r="D160" s="141">
        <f>VLOOKUP(A160,'Data shares'!$C$2:$CY$543,101,0)</f>
        <v>4.7999999999999996E-3</v>
      </c>
      <c r="E160" s="86">
        <f>VLOOKUP($A160,'Data shares'!$C:$FA,74)</f>
        <v>96448500</v>
      </c>
      <c r="F160" s="86">
        <f>VLOOKUP($A160,'Data shares'!$C:$FA,76)</f>
        <v>-33750</v>
      </c>
      <c r="G160" s="87">
        <f>VLOOKUP(A160,'Data shares'!$C$2:$CA$220,77,0)</f>
        <v>-2.9999999999999997E-4</v>
      </c>
      <c r="H160" s="86">
        <f>VLOOKUP($A160,'Data shares'!$C:$FA,90)</f>
        <v>67007250</v>
      </c>
      <c r="I160" s="86">
        <f>VLOOKUP($A160,'Data shares'!$C:$FA,92)</f>
        <v>-600750</v>
      </c>
      <c r="J160" s="87">
        <f>VLOOKUP($A160,'Data shares'!$C:$FA,93)</f>
        <v>-8.8999999999999999E-3</v>
      </c>
      <c r="K160" s="86">
        <f>VLOOKUP($A160,'Data shares'!$C:$FA,94)</f>
        <v>36092250</v>
      </c>
      <c r="L160" s="86">
        <f>VLOOKUP($A160,'Data shares'!$C:$FA,96)</f>
        <v>1593000</v>
      </c>
      <c r="M160" s="87">
        <f>VLOOKUP($A160,'Data shares'!$C:$FA,97)</f>
        <v>4.6199999999999998E-2</v>
      </c>
      <c r="N160" s="86">
        <f>VLOOKUP($A160,'Data shares'!$C:$FA,78)</f>
        <v>94239000</v>
      </c>
      <c r="O160" s="87">
        <f>VLOOKUP($A160,'Data shares'!$C:$FA,81)</f>
        <v>-1.1999999999999999E-3</v>
      </c>
    </row>
    <row r="161" spans="1:15" x14ac:dyDescent="0.25">
      <c r="A161" s="100" t="str">
        <f>'Data Vlaue (Cr)'!C156</f>
        <v>PAGEIND</v>
      </c>
      <c r="B161" s="82">
        <f>VLOOKUP(A161,'Data shares'!$C$2:$CV$220,98,0)</f>
        <v>476760</v>
      </c>
      <c r="C161" s="82">
        <f>VLOOKUP(A161,'Data shares'!$C$2:$CX$220,100,0)</f>
        <v>12555</v>
      </c>
      <c r="D161" s="141">
        <f>VLOOKUP(A161,'Data shares'!$C$2:$CY$543,101,0)</f>
        <v>2.7E-2</v>
      </c>
      <c r="E161" s="86">
        <f>VLOOKUP($A161,'Data shares'!$C:$FA,74)</f>
        <v>363465</v>
      </c>
      <c r="F161" s="86">
        <f>VLOOKUP($A161,'Data shares'!$C:$FA,76)</f>
        <v>4935</v>
      </c>
      <c r="G161" s="87">
        <f>VLOOKUP(A161,'Data shares'!$C$2:$CA$220,77,0)</f>
        <v>1.38E-2</v>
      </c>
      <c r="H161" s="86">
        <f>VLOOKUP($A161,'Data shares'!$C:$FA,90)</f>
        <v>59865</v>
      </c>
      <c r="I161" s="86">
        <f>VLOOKUP($A161,'Data shares'!$C:$FA,92)</f>
        <v>1800</v>
      </c>
      <c r="J161" s="87">
        <f>VLOOKUP($A161,'Data shares'!$C:$FA,93)</f>
        <v>3.1E-2</v>
      </c>
      <c r="K161" s="86">
        <f>VLOOKUP($A161,'Data shares'!$C:$FA,94)</f>
        <v>53430</v>
      </c>
      <c r="L161" s="86">
        <f>VLOOKUP($A161,'Data shares'!$C:$FA,96)</f>
        <v>5820</v>
      </c>
      <c r="M161" s="87">
        <f>VLOOKUP($A161,'Data shares'!$C:$FA,97)</f>
        <v>0.1222</v>
      </c>
      <c r="N161" s="86">
        <f>VLOOKUP($A161,'Data shares'!$C:$FA,78)</f>
        <v>357540</v>
      </c>
      <c r="O161" s="87">
        <f>VLOOKUP($A161,'Data shares'!$C:$FA,81)</f>
        <v>1.38E-2</v>
      </c>
    </row>
    <row r="162" spans="1:15" x14ac:dyDescent="0.25">
      <c r="A162" s="100" t="str">
        <f>'Data Vlaue (Cr)'!C157</f>
        <v>PATANJALI</v>
      </c>
      <c r="B162" s="82">
        <f>VLOOKUP(A162,'Data shares'!$C$2:$CV$220,98,0)</f>
        <v>39402900</v>
      </c>
      <c r="C162" s="82">
        <f>VLOOKUP(A162,'Data shares'!$C$2:$CX$220,100,0)</f>
        <v>492300</v>
      </c>
      <c r="D162" s="141">
        <f>VLOOKUP(A162,'Data shares'!$C$2:$CY$543,101,0)</f>
        <v>1.2699999999999999E-2</v>
      </c>
      <c r="E162" s="86">
        <f>VLOOKUP($A162,'Data shares'!$C:$FA,74)</f>
        <v>34405200</v>
      </c>
      <c r="F162" s="86">
        <f>VLOOKUP($A162,'Data shares'!$C:$FA,76)</f>
        <v>158400</v>
      </c>
      <c r="G162" s="87">
        <f>VLOOKUP(A162,'Data shares'!$C$2:$CA$220,77,0)</f>
        <v>4.5999999999999999E-3</v>
      </c>
      <c r="H162" s="86">
        <f>VLOOKUP($A162,'Data shares'!$C:$FA,90)</f>
        <v>2872800</v>
      </c>
      <c r="I162" s="86">
        <f>VLOOKUP($A162,'Data shares'!$C:$FA,92)</f>
        <v>270000</v>
      </c>
      <c r="J162" s="87">
        <f>VLOOKUP($A162,'Data shares'!$C:$FA,93)</f>
        <v>0.1037</v>
      </c>
      <c r="K162" s="86">
        <f>VLOOKUP($A162,'Data shares'!$C:$FA,94)</f>
        <v>2124900</v>
      </c>
      <c r="L162" s="86">
        <f>VLOOKUP($A162,'Data shares'!$C:$FA,96)</f>
        <v>63900</v>
      </c>
      <c r="M162" s="87">
        <f>VLOOKUP($A162,'Data shares'!$C:$FA,97)</f>
        <v>3.1E-2</v>
      </c>
      <c r="N162" s="86">
        <f>VLOOKUP($A162,'Data shares'!$C:$FA,78)</f>
        <v>34222500</v>
      </c>
      <c r="O162" s="87">
        <f>VLOOKUP($A162,'Data shares'!$C:$FA,81)</f>
        <v>3.8E-3</v>
      </c>
    </row>
    <row r="163" spans="1:15" x14ac:dyDescent="0.25">
      <c r="A163" s="100" t="str">
        <f>'Data Vlaue (Cr)'!C158</f>
        <v>PAYTM</v>
      </c>
      <c r="B163" s="82">
        <f>VLOOKUP(A163,'Data shares'!$C$2:$CV$220,98,0)</f>
        <v>27451400</v>
      </c>
      <c r="C163" s="82">
        <f>VLOOKUP(A163,'Data shares'!$C$2:$CX$220,100,0)</f>
        <v>1602250</v>
      </c>
      <c r="D163" s="141">
        <f>VLOOKUP(A163,'Data shares'!$C$2:$CY$543,101,0)</f>
        <v>6.2E-2</v>
      </c>
      <c r="E163" s="86">
        <f>VLOOKUP($A163,'Data shares'!$C:$FA,74)</f>
        <v>17025175</v>
      </c>
      <c r="F163" s="86">
        <f>VLOOKUP($A163,'Data shares'!$C:$FA,76)</f>
        <v>-673525</v>
      </c>
      <c r="G163" s="87">
        <f>VLOOKUP(A163,'Data shares'!$C$2:$CA$220,77,0)</f>
        <v>-3.8100000000000002E-2</v>
      </c>
      <c r="H163" s="86">
        <f>VLOOKUP($A163,'Data shares'!$C:$FA,90)</f>
        <v>5782600</v>
      </c>
      <c r="I163" s="86">
        <f>VLOOKUP($A163,'Data shares'!$C:$FA,92)</f>
        <v>1408675</v>
      </c>
      <c r="J163" s="87">
        <f>VLOOKUP($A163,'Data shares'!$C:$FA,93)</f>
        <v>0.3221</v>
      </c>
      <c r="K163" s="86">
        <f>VLOOKUP($A163,'Data shares'!$C:$FA,94)</f>
        <v>4643625</v>
      </c>
      <c r="L163" s="86">
        <f>VLOOKUP($A163,'Data shares'!$C:$FA,96)</f>
        <v>867100</v>
      </c>
      <c r="M163" s="87">
        <f>VLOOKUP($A163,'Data shares'!$C:$FA,97)</f>
        <v>0.2296</v>
      </c>
      <c r="N163" s="86">
        <f>VLOOKUP($A163,'Data shares'!$C:$FA,78)</f>
        <v>16368325</v>
      </c>
      <c r="O163" s="87">
        <f>VLOOKUP($A163,'Data shares'!$C:$FA,81)</f>
        <v>-4.2000000000000003E-2</v>
      </c>
    </row>
    <row r="164" spans="1:15" x14ac:dyDescent="0.25">
      <c r="A164" s="100" t="str">
        <f>'Data Vlaue (Cr)'!C159</f>
        <v>PERSISTENT</v>
      </c>
      <c r="B164" s="82">
        <f>VLOOKUP(A164,'Data shares'!$C$2:$CV$220,98,0)</f>
        <v>7325100</v>
      </c>
      <c r="C164" s="82">
        <f>VLOOKUP(A164,'Data shares'!$C$2:$CX$220,100,0)</f>
        <v>110500</v>
      </c>
      <c r="D164" s="141">
        <f>VLOOKUP(A164,'Data shares'!$C$2:$CY$543,101,0)</f>
        <v>1.5299999999999999E-2</v>
      </c>
      <c r="E164" s="86">
        <f>VLOOKUP($A164,'Data shares'!$C:$FA,74)</f>
        <v>5610100</v>
      </c>
      <c r="F164" s="86">
        <f>VLOOKUP($A164,'Data shares'!$C:$FA,76)</f>
        <v>-10400</v>
      </c>
      <c r="G164" s="87">
        <f>VLOOKUP(A164,'Data shares'!$C$2:$CA$220,77,0)</f>
        <v>-1.9E-3</v>
      </c>
      <c r="H164" s="86">
        <f>VLOOKUP($A164,'Data shares'!$C:$FA,90)</f>
        <v>877500</v>
      </c>
      <c r="I164" s="86">
        <f>VLOOKUP($A164,'Data shares'!$C:$FA,92)</f>
        <v>42000</v>
      </c>
      <c r="J164" s="87">
        <f>VLOOKUP($A164,'Data shares'!$C:$FA,93)</f>
        <v>5.0299999999999997E-2</v>
      </c>
      <c r="K164" s="86">
        <f>VLOOKUP($A164,'Data shares'!$C:$FA,94)</f>
        <v>837500</v>
      </c>
      <c r="L164" s="86">
        <f>VLOOKUP($A164,'Data shares'!$C:$FA,96)</f>
        <v>78900</v>
      </c>
      <c r="M164" s="87">
        <f>VLOOKUP($A164,'Data shares'!$C:$FA,97)</f>
        <v>0.104</v>
      </c>
      <c r="N164" s="86">
        <f>VLOOKUP($A164,'Data shares'!$C:$FA,78)</f>
        <v>5383400</v>
      </c>
      <c r="O164" s="87">
        <f>VLOOKUP($A164,'Data shares'!$C:$FA,81)</f>
        <v>-9.2999999999999992E-3</v>
      </c>
    </row>
    <row r="165" spans="1:15" x14ac:dyDescent="0.25">
      <c r="A165" s="100" t="str">
        <f>'Data Vlaue (Cr)'!C160</f>
        <v>PETRONET</v>
      </c>
      <c r="B165" s="82">
        <f>VLOOKUP(A165,'Data shares'!$C$2:$CV$220,98,0)</f>
        <v>59823400</v>
      </c>
      <c r="C165" s="82">
        <f>VLOOKUP(A165,'Data shares'!$C$2:$CX$220,100,0)</f>
        <v>5086300</v>
      </c>
      <c r="D165" s="141">
        <f>VLOOKUP(A165,'Data shares'!$C$2:$CY$543,101,0)</f>
        <v>9.2899999999999996E-2</v>
      </c>
      <c r="E165" s="86">
        <f>VLOOKUP($A165,'Data shares'!$C:$FA,74)</f>
        <v>36704200</v>
      </c>
      <c r="F165" s="86">
        <f>VLOOKUP($A165,'Data shares'!$C:$FA,76)</f>
        <v>919600</v>
      </c>
      <c r="G165" s="87">
        <f>VLOOKUP(A165,'Data shares'!$C$2:$CA$220,77,0)</f>
        <v>2.5700000000000001E-2</v>
      </c>
      <c r="H165" s="86">
        <f>VLOOKUP($A165,'Data shares'!$C:$FA,90)</f>
        <v>14295600</v>
      </c>
      <c r="I165" s="86">
        <f>VLOOKUP($A165,'Data shares'!$C:$FA,92)</f>
        <v>3435200</v>
      </c>
      <c r="J165" s="87">
        <f>VLOOKUP($A165,'Data shares'!$C:$FA,93)</f>
        <v>0.31630000000000003</v>
      </c>
      <c r="K165" s="86">
        <f>VLOOKUP($A165,'Data shares'!$C:$FA,94)</f>
        <v>8823600</v>
      </c>
      <c r="L165" s="86">
        <f>VLOOKUP($A165,'Data shares'!$C:$FA,96)</f>
        <v>731500</v>
      </c>
      <c r="M165" s="87">
        <f>VLOOKUP($A165,'Data shares'!$C:$FA,97)</f>
        <v>9.0399999999999994E-2</v>
      </c>
      <c r="N165" s="86">
        <f>VLOOKUP($A165,'Data shares'!$C:$FA,78)</f>
        <v>35674400</v>
      </c>
      <c r="O165" s="87">
        <f>VLOOKUP($A165,'Data shares'!$C:$FA,81)</f>
        <v>2.4500000000000001E-2</v>
      </c>
    </row>
    <row r="166" spans="1:15" x14ac:dyDescent="0.25">
      <c r="A166" s="100" t="str">
        <f>'Data Vlaue (Cr)'!C161</f>
        <v>PFC</v>
      </c>
      <c r="B166" s="82">
        <f>VLOOKUP(A166,'Data shares'!$C$2:$CV$220,98,0)</f>
        <v>89512800</v>
      </c>
      <c r="C166" s="82">
        <f>VLOOKUP(A166,'Data shares'!$C$2:$CX$220,100,0)</f>
        <v>7143500</v>
      </c>
      <c r="D166" s="141">
        <f>VLOOKUP(A166,'Data shares'!$C$2:$CY$543,101,0)</f>
        <v>8.6699999999999999E-2</v>
      </c>
      <c r="E166" s="86">
        <f>VLOOKUP($A166,'Data shares'!$C:$FA,74)</f>
        <v>56355000</v>
      </c>
      <c r="F166" s="86">
        <f>VLOOKUP($A166,'Data shares'!$C:$FA,76)</f>
        <v>1618500</v>
      </c>
      <c r="G166" s="87">
        <f>VLOOKUP(A166,'Data shares'!$C$2:$CA$220,77,0)</f>
        <v>2.9600000000000001E-2</v>
      </c>
      <c r="H166" s="86">
        <f>VLOOKUP($A166,'Data shares'!$C:$FA,90)</f>
        <v>18990400</v>
      </c>
      <c r="I166" s="86">
        <f>VLOOKUP($A166,'Data shares'!$C:$FA,92)</f>
        <v>3230500</v>
      </c>
      <c r="J166" s="87">
        <f>VLOOKUP($A166,'Data shares'!$C:$FA,93)</f>
        <v>0.20499999999999999</v>
      </c>
      <c r="K166" s="86">
        <f>VLOOKUP($A166,'Data shares'!$C:$FA,94)</f>
        <v>14167400</v>
      </c>
      <c r="L166" s="86">
        <f>VLOOKUP($A166,'Data shares'!$C:$FA,96)</f>
        <v>2294500</v>
      </c>
      <c r="M166" s="87">
        <f>VLOOKUP($A166,'Data shares'!$C:$FA,97)</f>
        <v>0.1933</v>
      </c>
      <c r="N166" s="86">
        <f>VLOOKUP($A166,'Data shares'!$C:$FA,78)</f>
        <v>50373700</v>
      </c>
      <c r="O166" s="87">
        <f>VLOOKUP($A166,'Data shares'!$C:$FA,81)</f>
        <v>2.4400000000000002E-2</v>
      </c>
    </row>
    <row r="167" spans="1:15" x14ac:dyDescent="0.25">
      <c r="A167" s="100" t="str">
        <f>'Data Vlaue (Cr)'!C162</f>
        <v>PGEL</v>
      </c>
      <c r="B167" s="82">
        <f>VLOOKUP(A167,'Data shares'!$C$2:$CV$220,98,0)</f>
        <v>32376950</v>
      </c>
      <c r="C167" s="82">
        <f>VLOOKUP(A167,'Data shares'!$C$2:$CX$220,100,0)</f>
        <v>-91200</v>
      </c>
      <c r="D167" s="141">
        <f>VLOOKUP(A167,'Data shares'!$C$2:$CY$543,101,0)</f>
        <v>-2.8E-3</v>
      </c>
      <c r="E167" s="86">
        <f>VLOOKUP($A167,'Data shares'!$C:$FA,74)</f>
        <v>17619650</v>
      </c>
      <c r="F167" s="86">
        <f>VLOOKUP($A167,'Data shares'!$C:$FA,76)</f>
        <v>93100</v>
      </c>
      <c r="G167" s="87">
        <f>VLOOKUP(A167,'Data shares'!$C$2:$CA$220,77,0)</f>
        <v>5.3E-3</v>
      </c>
      <c r="H167" s="86">
        <f>VLOOKUP($A167,'Data shares'!$C:$FA,90)</f>
        <v>9114300</v>
      </c>
      <c r="I167" s="86">
        <f>VLOOKUP($A167,'Data shares'!$C:$FA,92)</f>
        <v>-438900</v>
      </c>
      <c r="J167" s="87">
        <f>VLOOKUP($A167,'Data shares'!$C:$FA,93)</f>
        <v>-4.5900000000000003E-2</v>
      </c>
      <c r="K167" s="86">
        <f>VLOOKUP($A167,'Data shares'!$C:$FA,94)</f>
        <v>5643000</v>
      </c>
      <c r="L167" s="86">
        <f>VLOOKUP($A167,'Data shares'!$C:$FA,96)</f>
        <v>254600</v>
      </c>
      <c r="M167" s="87">
        <f>VLOOKUP($A167,'Data shares'!$C:$FA,97)</f>
        <v>4.7199999999999999E-2</v>
      </c>
      <c r="N167" s="86">
        <f>VLOOKUP($A167,'Data shares'!$C:$FA,78)</f>
        <v>15818450</v>
      </c>
      <c r="O167" s="87">
        <f>VLOOKUP($A167,'Data shares'!$C:$FA,81)</f>
        <v>-5.7000000000000002E-3</v>
      </c>
    </row>
    <row r="168" spans="1:15" x14ac:dyDescent="0.25">
      <c r="A168" s="100" t="str">
        <f>'Data Vlaue (Cr)'!C163</f>
        <v>PHOENIXLTD</v>
      </c>
      <c r="B168" s="82">
        <f>VLOOKUP(A168,'Data shares'!$C$2:$CV$220,98,0)</f>
        <v>4811800</v>
      </c>
      <c r="C168" s="82">
        <f>VLOOKUP(A168,'Data shares'!$C$2:$CX$220,100,0)</f>
        <v>-64050</v>
      </c>
      <c r="D168" s="141">
        <f>VLOOKUP(A168,'Data shares'!$C$2:$CY$543,101,0)</f>
        <v>-1.3100000000000001E-2</v>
      </c>
      <c r="E168" s="86">
        <f>VLOOKUP($A168,'Data shares'!$C:$FA,74)</f>
        <v>3831800</v>
      </c>
      <c r="F168" s="86">
        <f>VLOOKUP($A168,'Data shares'!$C:$FA,76)</f>
        <v>-58450</v>
      </c>
      <c r="G168" s="87">
        <f>VLOOKUP(A168,'Data shares'!$C$2:$CA$220,77,0)</f>
        <v>-1.4999999999999999E-2</v>
      </c>
      <c r="H168" s="86">
        <f>VLOOKUP($A168,'Data shares'!$C:$FA,90)</f>
        <v>427350</v>
      </c>
      <c r="I168" s="86">
        <f>VLOOKUP($A168,'Data shares'!$C:$FA,92)</f>
        <v>4900</v>
      </c>
      <c r="J168" s="87">
        <f>VLOOKUP($A168,'Data shares'!$C:$FA,93)</f>
        <v>1.1599999999999999E-2</v>
      </c>
      <c r="K168" s="86">
        <f>VLOOKUP($A168,'Data shares'!$C:$FA,94)</f>
        <v>552650</v>
      </c>
      <c r="L168" s="86">
        <f>VLOOKUP($A168,'Data shares'!$C:$FA,96)</f>
        <v>-10500</v>
      </c>
      <c r="M168" s="87">
        <f>VLOOKUP($A168,'Data shares'!$C:$FA,97)</f>
        <v>-1.8599999999999998E-2</v>
      </c>
      <c r="N168" s="86">
        <f>VLOOKUP($A168,'Data shares'!$C:$FA,78)</f>
        <v>3815000</v>
      </c>
      <c r="O168" s="87">
        <f>VLOOKUP($A168,'Data shares'!$C:$FA,81)</f>
        <v>-1.55E-2</v>
      </c>
    </row>
    <row r="169" spans="1:15" x14ac:dyDescent="0.25">
      <c r="A169" s="100" t="str">
        <f>'Data Vlaue (Cr)'!C164</f>
        <v>PIDILITIND</v>
      </c>
      <c r="B169" s="82">
        <f>VLOOKUP(A169,'Data shares'!$C$2:$CV$220,98,0)</f>
        <v>9602500</v>
      </c>
      <c r="C169" s="82">
        <f>VLOOKUP(A169,'Data shares'!$C$2:$CX$220,100,0)</f>
        <v>6000</v>
      </c>
      <c r="D169" s="141">
        <f>VLOOKUP(A169,'Data shares'!$C$2:$CY$543,101,0)</f>
        <v>5.9999999999999995E-4</v>
      </c>
      <c r="E169" s="86">
        <f>VLOOKUP($A169,'Data shares'!$C:$FA,74)</f>
        <v>7837000</v>
      </c>
      <c r="F169" s="86">
        <f>VLOOKUP($A169,'Data shares'!$C:$FA,76)</f>
        <v>3500</v>
      </c>
      <c r="G169" s="87">
        <f>VLOOKUP(A169,'Data shares'!$C$2:$CA$220,77,0)</f>
        <v>4.0000000000000002E-4</v>
      </c>
      <c r="H169" s="86">
        <f>VLOOKUP($A169,'Data shares'!$C:$FA,90)</f>
        <v>960500</v>
      </c>
      <c r="I169" s="86">
        <f>VLOOKUP($A169,'Data shares'!$C:$FA,92)</f>
        <v>10500</v>
      </c>
      <c r="J169" s="87">
        <f>VLOOKUP($A169,'Data shares'!$C:$FA,93)</f>
        <v>1.11E-2</v>
      </c>
      <c r="K169" s="86">
        <f>VLOOKUP($A169,'Data shares'!$C:$FA,94)</f>
        <v>805000</v>
      </c>
      <c r="L169" s="86">
        <f>VLOOKUP($A169,'Data shares'!$C:$FA,96)</f>
        <v>-8000</v>
      </c>
      <c r="M169" s="87">
        <f>VLOOKUP($A169,'Data shares'!$C:$FA,97)</f>
        <v>-9.7999999999999997E-3</v>
      </c>
      <c r="N169" s="86">
        <f>VLOOKUP($A169,'Data shares'!$C:$FA,78)</f>
        <v>7742500</v>
      </c>
      <c r="O169" s="87">
        <f>VLOOKUP($A169,'Data shares'!$C:$FA,81)</f>
        <v>-4.0000000000000002E-4</v>
      </c>
    </row>
    <row r="170" spans="1:15" x14ac:dyDescent="0.25">
      <c r="A170" s="100" t="str">
        <f>'Data Vlaue (Cr)'!C165</f>
        <v>PIIND</v>
      </c>
      <c r="B170" s="82">
        <f>VLOOKUP(A170,'Data shares'!$C$2:$CV$220,98,0)</f>
        <v>3580150</v>
      </c>
      <c r="C170" s="82">
        <f>VLOOKUP(A170,'Data shares'!$C$2:$CX$220,100,0)</f>
        <v>104475</v>
      </c>
      <c r="D170" s="141">
        <f>VLOOKUP(A170,'Data shares'!$C$2:$CY$543,101,0)</f>
        <v>3.0099999999999998E-2</v>
      </c>
      <c r="E170" s="86">
        <f>VLOOKUP($A170,'Data shares'!$C:$FA,74)</f>
        <v>2605400</v>
      </c>
      <c r="F170" s="86">
        <f>VLOOKUP($A170,'Data shares'!$C:$FA,76)</f>
        <v>-65275</v>
      </c>
      <c r="G170" s="87">
        <f>VLOOKUP(A170,'Data shares'!$C$2:$CA$220,77,0)</f>
        <v>-2.4400000000000002E-2</v>
      </c>
      <c r="H170" s="86">
        <f>VLOOKUP($A170,'Data shares'!$C:$FA,90)</f>
        <v>495950</v>
      </c>
      <c r="I170" s="86">
        <f>VLOOKUP($A170,'Data shares'!$C:$FA,92)</f>
        <v>70175</v>
      </c>
      <c r="J170" s="87">
        <f>VLOOKUP($A170,'Data shares'!$C:$FA,93)</f>
        <v>0.1648</v>
      </c>
      <c r="K170" s="86">
        <f>VLOOKUP($A170,'Data shares'!$C:$FA,94)</f>
        <v>478800</v>
      </c>
      <c r="L170" s="86">
        <f>VLOOKUP($A170,'Data shares'!$C:$FA,96)</f>
        <v>99575</v>
      </c>
      <c r="M170" s="87">
        <f>VLOOKUP($A170,'Data shares'!$C:$FA,97)</f>
        <v>0.2626</v>
      </c>
      <c r="N170" s="86">
        <f>VLOOKUP($A170,'Data shares'!$C:$FA,78)</f>
        <v>2526650</v>
      </c>
      <c r="O170" s="87">
        <f>VLOOKUP($A170,'Data shares'!$C:$FA,81)</f>
        <v>-2.7799999999999998E-2</v>
      </c>
    </row>
    <row r="171" spans="1:15" x14ac:dyDescent="0.25">
      <c r="A171" s="100" t="str">
        <f>'Data Vlaue (Cr)'!C166</f>
        <v>PNB</v>
      </c>
      <c r="B171" s="82">
        <f>VLOOKUP(A171,'Data shares'!$C$2:$CV$220,98,0)</f>
        <v>431936000</v>
      </c>
      <c r="C171" s="82">
        <f>VLOOKUP(A171,'Data shares'!$C$2:$CX$220,100,0)</f>
        <v>15672000</v>
      </c>
      <c r="D171" s="141">
        <f>VLOOKUP(A171,'Data shares'!$C$2:$CY$543,101,0)</f>
        <v>3.7600000000000001E-2</v>
      </c>
      <c r="E171" s="86">
        <f>VLOOKUP($A171,'Data shares'!$C:$FA,74)</f>
        <v>285616000</v>
      </c>
      <c r="F171" s="86">
        <f>VLOOKUP($A171,'Data shares'!$C:$FA,76)</f>
        <v>5936000</v>
      </c>
      <c r="G171" s="87">
        <f>VLOOKUP(A171,'Data shares'!$C$2:$CA$220,77,0)</f>
        <v>2.12E-2</v>
      </c>
      <c r="H171" s="86">
        <f>VLOOKUP($A171,'Data shares'!$C:$FA,90)</f>
        <v>82976000</v>
      </c>
      <c r="I171" s="86">
        <f>VLOOKUP($A171,'Data shares'!$C:$FA,92)</f>
        <v>6664000</v>
      </c>
      <c r="J171" s="87">
        <f>VLOOKUP($A171,'Data shares'!$C:$FA,93)</f>
        <v>8.7300000000000003E-2</v>
      </c>
      <c r="K171" s="86">
        <f>VLOOKUP($A171,'Data shares'!$C:$FA,94)</f>
        <v>63344000</v>
      </c>
      <c r="L171" s="86">
        <f>VLOOKUP($A171,'Data shares'!$C:$FA,96)</f>
        <v>3072000</v>
      </c>
      <c r="M171" s="87">
        <f>VLOOKUP($A171,'Data shares'!$C:$FA,97)</f>
        <v>5.0999999999999997E-2</v>
      </c>
      <c r="N171" s="86">
        <f>VLOOKUP($A171,'Data shares'!$C:$FA,78)</f>
        <v>269096000</v>
      </c>
      <c r="O171" s="87">
        <f>VLOOKUP($A171,'Data shares'!$C:$FA,81)</f>
        <v>1.44E-2</v>
      </c>
    </row>
    <row r="172" spans="1:15" x14ac:dyDescent="0.25">
      <c r="A172" s="100" t="str">
        <f>'Data Vlaue (Cr)'!C167</f>
        <v>PNBHOUSING</v>
      </c>
      <c r="B172" s="82">
        <f>VLOOKUP(A172,'Data shares'!$C$2:$CV$220,98,0)</f>
        <v>15793700</v>
      </c>
      <c r="C172" s="82">
        <f>VLOOKUP(A172,'Data shares'!$C$2:$CX$220,100,0)</f>
        <v>-52650</v>
      </c>
      <c r="D172" s="141">
        <f>VLOOKUP(A172,'Data shares'!$C$2:$CY$543,101,0)</f>
        <v>-3.3E-3</v>
      </c>
      <c r="E172" s="86">
        <f>VLOOKUP($A172,'Data shares'!$C:$FA,74)</f>
        <v>13499200</v>
      </c>
      <c r="F172" s="86">
        <f>VLOOKUP($A172,'Data shares'!$C:$FA,76)</f>
        <v>-81250</v>
      </c>
      <c r="G172" s="87">
        <f>VLOOKUP(A172,'Data shares'!$C$2:$CA$220,77,0)</f>
        <v>-6.0000000000000001E-3</v>
      </c>
      <c r="H172" s="86">
        <f>VLOOKUP($A172,'Data shares'!$C:$FA,90)</f>
        <v>1229800</v>
      </c>
      <c r="I172" s="86">
        <f>VLOOKUP($A172,'Data shares'!$C:$FA,92)</f>
        <v>-40950</v>
      </c>
      <c r="J172" s="87">
        <f>VLOOKUP($A172,'Data shares'!$C:$FA,93)</f>
        <v>-3.2199999999999999E-2</v>
      </c>
      <c r="K172" s="86">
        <f>VLOOKUP($A172,'Data shares'!$C:$FA,94)</f>
        <v>1064700</v>
      </c>
      <c r="L172" s="86">
        <f>VLOOKUP($A172,'Data shares'!$C:$FA,96)</f>
        <v>69550</v>
      </c>
      <c r="M172" s="87">
        <f>VLOOKUP($A172,'Data shares'!$C:$FA,97)</f>
        <v>6.9900000000000004E-2</v>
      </c>
      <c r="N172" s="86">
        <f>VLOOKUP($A172,'Data shares'!$C:$FA,78)</f>
        <v>13269100</v>
      </c>
      <c r="O172" s="87">
        <f>VLOOKUP($A172,'Data shares'!$C:$FA,81)</f>
        <v>-6.6E-3</v>
      </c>
    </row>
    <row r="173" spans="1:15" x14ac:dyDescent="0.25">
      <c r="A173" s="100" t="str">
        <f>'Data Vlaue (Cr)'!C168</f>
        <v>POLICYBZR</v>
      </c>
      <c r="B173" s="82">
        <f>VLOOKUP(A173,'Data shares'!$C$2:$CV$220,98,0)</f>
        <v>9786000</v>
      </c>
      <c r="C173" s="82">
        <f>VLOOKUP(A173,'Data shares'!$C$2:$CX$220,100,0)</f>
        <v>239750</v>
      </c>
      <c r="D173" s="141">
        <f>VLOOKUP(A173,'Data shares'!$C$2:$CY$543,101,0)</f>
        <v>2.5100000000000001E-2</v>
      </c>
      <c r="E173" s="86">
        <f>VLOOKUP($A173,'Data shares'!$C:$FA,74)</f>
        <v>7868000</v>
      </c>
      <c r="F173" s="86">
        <f>VLOOKUP($A173,'Data shares'!$C:$FA,76)</f>
        <v>171150</v>
      </c>
      <c r="G173" s="87">
        <f>VLOOKUP(A173,'Data shares'!$C$2:$CA$220,77,0)</f>
        <v>2.2200000000000001E-2</v>
      </c>
      <c r="H173" s="86">
        <f>VLOOKUP($A173,'Data shares'!$C:$FA,90)</f>
        <v>1005900</v>
      </c>
      <c r="I173" s="86">
        <f>VLOOKUP($A173,'Data shares'!$C:$FA,92)</f>
        <v>32900</v>
      </c>
      <c r="J173" s="87">
        <f>VLOOKUP($A173,'Data shares'!$C:$FA,93)</f>
        <v>3.3799999999999997E-2</v>
      </c>
      <c r="K173" s="86">
        <f>VLOOKUP($A173,'Data shares'!$C:$FA,94)</f>
        <v>912100</v>
      </c>
      <c r="L173" s="86">
        <f>VLOOKUP($A173,'Data shares'!$C:$FA,96)</f>
        <v>35700</v>
      </c>
      <c r="M173" s="87">
        <f>VLOOKUP($A173,'Data shares'!$C:$FA,97)</f>
        <v>4.07E-2</v>
      </c>
      <c r="N173" s="86">
        <f>VLOOKUP($A173,'Data shares'!$C:$FA,78)</f>
        <v>7815150</v>
      </c>
      <c r="O173" s="87">
        <f>VLOOKUP($A173,'Data shares'!$C:$FA,81)</f>
        <v>2.1999999999999999E-2</v>
      </c>
    </row>
    <row r="174" spans="1:15" x14ac:dyDescent="0.25">
      <c r="A174" s="100" t="str">
        <f>'Data Vlaue (Cr)'!C169</f>
        <v>POLYCAB</v>
      </c>
      <c r="B174" s="82">
        <f>VLOOKUP(A174,'Data shares'!$C$2:$CV$220,98,0)</f>
        <v>3645875</v>
      </c>
      <c r="C174" s="82">
        <f>VLOOKUP(A174,'Data shares'!$C$2:$CX$220,100,0)</f>
        <v>110125</v>
      </c>
      <c r="D174" s="141">
        <f>VLOOKUP(A174,'Data shares'!$C$2:$CY$543,101,0)</f>
        <v>3.1099999999999999E-2</v>
      </c>
      <c r="E174" s="86">
        <f>VLOOKUP($A174,'Data shares'!$C:$FA,74)</f>
        <v>2026375</v>
      </c>
      <c r="F174" s="86">
        <f>VLOOKUP($A174,'Data shares'!$C:$FA,76)</f>
        <v>-18250</v>
      </c>
      <c r="G174" s="87">
        <f>VLOOKUP(A174,'Data shares'!$C$2:$CA$220,77,0)</f>
        <v>-8.8999999999999999E-3</v>
      </c>
      <c r="H174" s="86">
        <f>VLOOKUP($A174,'Data shares'!$C:$FA,90)</f>
        <v>824000</v>
      </c>
      <c r="I174" s="86">
        <f>VLOOKUP($A174,'Data shares'!$C:$FA,92)</f>
        <v>73250</v>
      </c>
      <c r="J174" s="87">
        <f>VLOOKUP($A174,'Data shares'!$C:$FA,93)</f>
        <v>9.7600000000000006E-2</v>
      </c>
      <c r="K174" s="86">
        <f>VLOOKUP($A174,'Data shares'!$C:$FA,94)</f>
        <v>795500</v>
      </c>
      <c r="L174" s="86">
        <f>VLOOKUP($A174,'Data shares'!$C:$FA,96)</f>
        <v>55125</v>
      </c>
      <c r="M174" s="87">
        <f>VLOOKUP($A174,'Data shares'!$C:$FA,97)</f>
        <v>7.4499999999999997E-2</v>
      </c>
      <c r="N174" s="86">
        <f>VLOOKUP($A174,'Data shares'!$C:$FA,78)</f>
        <v>1977000</v>
      </c>
      <c r="O174" s="87">
        <f>VLOOKUP($A174,'Data shares'!$C:$FA,81)</f>
        <v>-1.11E-2</v>
      </c>
    </row>
    <row r="175" spans="1:15" x14ac:dyDescent="0.25">
      <c r="A175" s="100" t="str">
        <f>'Data Vlaue (Cr)'!C170</f>
        <v>POWERGRID</v>
      </c>
      <c r="B175" s="82">
        <f>VLOOKUP(A175,'Data shares'!$C$2:$CV$220,98,0)</f>
        <v>124248600</v>
      </c>
      <c r="C175" s="82">
        <f>VLOOKUP(A175,'Data shares'!$C$2:$CX$220,100,0)</f>
        <v>-796100</v>
      </c>
      <c r="D175" s="141">
        <f>VLOOKUP(A175,'Data shares'!$C$2:$CY$543,101,0)</f>
        <v>-6.4000000000000003E-3</v>
      </c>
      <c r="E175" s="86">
        <f>VLOOKUP($A175,'Data shares'!$C:$FA,74)</f>
        <v>79325000</v>
      </c>
      <c r="F175" s="86">
        <f>VLOOKUP($A175,'Data shares'!$C:$FA,76)</f>
        <v>364800</v>
      </c>
      <c r="G175" s="87">
        <f>VLOOKUP(A175,'Data shares'!$C$2:$CA$220,77,0)</f>
        <v>4.5999999999999999E-3</v>
      </c>
      <c r="H175" s="86">
        <f>VLOOKUP($A175,'Data shares'!$C:$FA,90)</f>
        <v>29833800</v>
      </c>
      <c r="I175" s="86">
        <f>VLOOKUP($A175,'Data shares'!$C:$FA,92)</f>
        <v>-1594100</v>
      </c>
      <c r="J175" s="87">
        <f>VLOOKUP($A175,'Data shares'!$C:$FA,93)</f>
        <v>-5.0700000000000002E-2</v>
      </c>
      <c r="K175" s="86">
        <f>VLOOKUP($A175,'Data shares'!$C:$FA,94)</f>
        <v>15089800</v>
      </c>
      <c r="L175" s="86">
        <f>VLOOKUP($A175,'Data shares'!$C:$FA,96)</f>
        <v>433200</v>
      </c>
      <c r="M175" s="87">
        <f>VLOOKUP($A175,'Data shares'!$C:$FA,97)</f>
        <v>2.9600000000000001E-2</v>
      </c>
      <c r="N175" s="86">
        <f>VLOOKUP($A175,'Data shares'!$C:$FA,78)</f>
        <v>74485700</v>
      </c>
      <c r="O175" s="87">
        <f>VLOOKUP($A175,'Data shares'!$C:$FA,81)</f>
        <v>-2E-3</v>
      </c>
    </row>
    <row r="176" spans="1:15" x14ac:dyDescent="0.25">
      <c r="A176" s="100" t="str">
        <f>'Data Vlaue (Cr)'!C171</f>
        <v>POWERINDIA</v>
      </c>
      <c r="B176" s="82">
        <f>VLOOKUP(A176,'Data shares'!$C$2:$CV$220,98,0)</f>
        <v>675250</v>
      </c>
      <c r="C176" s="82">
        <f>VLOOKUP(A176,'Data shares'!$C$2:$CX$220,100,0)</f>
        <v>140300</v>
      </c>
      <c r="D176" s="141">
        <f>VLOOKUP(A176,'Data shares'!$C$2:$CY$543,101,0)</f>
        <v>0.26229999999999998</v>
      </c>
      <c r="E176" s="86">
        <f>VLOOKUP($A176,'Data shares'!$C:$FA,74)</f>
        <v>361950</v>
      </c>
      <c r="F176" s="86">
        <f>VLOOKUP($A176,'Data shares'!$C:$FA,76)</f>
        <v>43550</v>
      </c>
      <c r="G176" s="87">
        <f>VLOOKUP(A176,'Data shares'!$C$2:$CA$220,77,0)</f>
        <v>0.1368</v>
      </c>
      <c r="H176" s="86">
        <f>VLOOKUP($A176,'Data shares'!$C:$FA,90)</f>
        <v>159700</v>
      </c>
      <c r="I176" s="86">
        <f>VLOOKUP($A176,'Data shares'!$C:$FA,92)</f>
        <v>42550</v>
      </c>
      <c r="J176" s="87">
        <f>VLOOKUP($A176,'Data shares'!$C:$FA,93)</f>
        <v>0.36320000000000002</v>
      </c>
      <c r="K176" s="86">
        <f>VLOOKUP($A176,'Data shares'!$C:$FA,94)</f>
        <v>153600</v>
      </c>
      <c r="L176" s="86">
        <f>VLOOKUP($A176,'Data shares'!$C:$FA,96)</f>
        <v>54200</v>
      </c>
      <c r="M176" s="87">
        <f>VLOOKUP($A176,'Data shares'!$C:$FA,97)</f>
        <v>0.54530000000000001</v>
      </c>
      <c r="N176" s="86">
        <f>VLOOKUP($A176,'Data shares'!$C:$FA,78)</f>
        <v>341900</v>
      </c>
      <c r="O176" s="87">
        <f>VLOOKUP($A176,'Data shares'!$C:$FA,81)</f>
        <v>0.12970000000000001</v>
      </c>
    </row>
    <row r="177" spans="1:15" x14ac:dyDescent="0.25">
      <c r="A177" s="100" t="str">
        <f>'Data Vlaue (Cr)'!C172</f>
        <v>PPLPHARMA</v>
      </c>
      <c r="B177" s="82">
        <f>VLOOKUP(A177,'Data shares'!$C$2:$CV$220,98,0)</f>
        <v>19936875</v>
      </c>
      <c r="C177" s="82">
        <f>VLOOKUP(A177,'Data shares'!$C$2:$CX$220,100,0)</f>
        <v>1291500</v>
      </c>
      <c r="D177" s="141">
        <f>VLOOKUP(A177,'Data shares'!$C$2:$CY$543,101,0)</f>
        <v>6.93E-2</v>
      </c>
      <c r="E177" s="86">
        <f>VLOOKUP($A177,'Data shares'!$C:$FA,74)</f>
        <v>13285125</v>
      </c>
      <c r="F177" s="86">
        <f>VLOOKUP($A177,'Data shares'!$C:$FA,76)</f>
        <v>294000</v>
      </c>
      <c r="G177" s="87">
        <f>VLOOKUP(A177,'Data shares'!$C$2:$CA$220,77,0)</f>
        <v>2.2599999999999999E-2</v>
      </c>
      <c r="H177" s="86">
        <f>VLOOKUP($A177,'Data shares'!$C:$FA,90)</f>
        <v>4160625</v>
      </c>
      <c r="I177" s="86">
        <f>VLOOKUP($A177,'Data shares'!$C:$FA,92)</f>
        <v>832125</v>
      </c>
      <c r="J177" s="87">
        <f>VLOOKUP($A177,'Data shares'!$C:$FA,93)</f>
        <v>0.25</v>
      </c>
      <c r="K177" s="86">
        <f>VLOOKUP($A177,'Data shares'!$C:$FA,94)</f>
        <v>2491125</v>
      </c>
      <c r="L177" s="86">
        <f>VLOOKUP($A177,'Data shares'!$C:$FA,96)</f>
        <v>165375</v>
      </c>
      <c r="M177" s="87">
        <f>VLOOKUP($A177,'Data shares'!$C:$FA,97)</f>
        <v>7.1099999999999997E-2</v>
      </c>
      <c r="N177" s="86">
        <f>VLOOKUP($A177,'Data shares'!$C:$FA,78)</f>
        <v>13285125</v>
      </c>
      <c r="O177" s="87">
        <f>VLOOKUP($A177,'Data shares'!$C:$FA,81)</f>
        <v>2.2599999999999999E-2</v>
      </c>
    </row>
    <row r="178" spans="1:15" x14ac:dyDescent="0.25">
      <c r="A178" s="100" t="str">
        <f>'Data Vlaue (Cr)'!C173</f>
        <v>PREMIERENE</v>
      </c>
      <c r="B178" s="82">
        <f>VLOOKUP(A178,'Data shares'!$C$2:$CV$220,98,0)</f>
        <v>14394550</v>
      </c>
      <c r="C178" s="82">
        <f>VLOOKUP(A178,'Data shares'!$C$2:$CX$220,100,0)</f>
        <v>518650</v>
      </c>
      <c r="D178" s="141">
        <f>VLOOKUP(A178,'Data shares'!$C$2:$CY$543,101,0)</f>
        <v>3.7400000000000003E-2</v>
      </c>
      <c r="E178" s="86">
        <f>VLOOKUP($A178,'Data shares'!$C:$FA,74)</f>
        <v>10568500</v>
      </c>
      <c r="F178" s="86">
        <f>VLOOKUP($A178,'Data shares'!$C:$FA,76)</f>
        <v>207000</v>
      </c>
      <c r="G178" s="87">
        <f>VLOOKUP(A178,'Data shares'!$C$2:$CA$220,77,0)</f>
        <v>0.02</v>
      </c>
      <c r="H178" s="86">
        <f>VLOOKUP($A178,'Data shares'!$C:$FA,90)</f>
        <v>2074600</v>
      </c>
      <c r="I178" s="86">
        <f>VLOOKUP($A178,'Data shares'!$C:$FA,92)</f>
        <v>221375</v>
      </c>
      <c r="J178" s="87">
        <f>VLOOKUP($A178,'Data shares'!$C:$FA,93)</f>
        <v>0.1195</v>
      </c>
      <c r="K178" s="86">
        <f>VLOOKUP($A178,'Data shares'!$C:$FA,94)</f>
        <v>1751450</v>
      </c>
      <c r="L178" s="86">
        <f>VLOOKUP($A178,'Data shares'!$C:$FA,96)</f>
        <v>90275</v>
      </c>
      <c r="M178" s="87">
        <f>VLOOKUP($A178,'Data shares'!$C:$FA,97)</f>
        <v>5.4300000000000001E-2</v>
      </c>
      <c r="N178" s="86">
        <f>VLOOKUP($A178,'Data shares'!$C:$FA,78)</f>
        <v>10502950</v>
      </c>
      <c r="O178" s="87">
        <f>VLOOKUP($A178,'Data shares'!$C:$FA,81)</f>
        <v>2.0299999999999999E-2</v>
      </c>
    </row>
    <row r="179" spans="1:15" x14ac:dyDescent="0.25">
      <c r="A179" s="100" t="str">
        <f>'Data Vlaue (Cr)'!C174</f>
        <v>PRESTIGE</v>
      </c>
      <c r="B179" s="82">
        <f>VLOOKUP(A179,'Data shares'!$C$2:$CV$220,98,0)</f>
        <v>9586800</v>
      </c>
      <c r="C179" s="82">
        <f>VLOOKUP(A179,'Data shares'!$C$2:$CX$220,100,0)</f>
        <v>429300</v>
      </c>
      <c r="D179" s="141">
        <f>VLOOKUP(A179,'Data shares'!$C$2:$CY$543,101,0)</f>
        <v>4.6899999999999997E-2</v>
      </c>
      <c r="E179" s="86">
        <f>VLOOKUP($A179,'Data shares'!$C:$FA,74)</f>
        <v>6901200</v>
      </c>
      <c r="F179" s="86">
        <f>VLOOKUP($A179,'Data shares'!$C:$FA,76)</f>
        <v>148050</v>
      </c>
      <c r="G179" s="87">
        <f>VLOOKUP(A179,'Data shares'!$C$2:$CA$220,77,0)</f>
        <v>2.1899999999999999E-2</v>
      </c>
      <c r="H179" s="86">
        <f>VLOOKUP($A179,'Data shares'!$C:$FA,90)</f>
        <v>1670850</v>
      </c>
      <c r="I179" s="86">
        <f>VLOOKUP($A179,'Data shares'!$C:$FA,92)</f>
        <v>213750</v>
      </c>
      <c r="J179" s="87">
        <f>VLOOKUP($A179,'Data shares'!$C:$FA,93)</f>
        <v>0.1467</v>
      </c>
      <c r="K179" s="86">
        <f>VLOOKUP($A179,'Data shares'!$C:$FA,94)</f>
        <v>1014750</v>
      </c>
      <c r="L179" s="86">
        <f>VLOOKUP($A179,'Data shares'!$C:$FA,96)</f>
        <v>67500</v>
      </c>
      <c r="M179" s="87">
        <f>VLOOKUP($A179,'Data shares'!$C:$FA,97)</f>
        <v>7.1300000000000002E-2</v>
      </c>
      <c r="N179" s="86">
        <f>VLOOKUP($A179,'Data shares'!$C:$FA,78)</f>
        <v>6821550</v>
      </c>
      <c r="O179" s="87">
        <f>VLOOKUP($A179,'Data shares'!$C:$FA,81)</f>
        <v>2.24E-2</v>
      </c>
    </row>
    <row r="180" spans="1:15" x14ac:dyDescent="0.25">
      <c r="A180" s="100" t="str">
        <f>'Data Vlaue (Cr)'!C175</f>
        <v>RBLBANK</v>
      </c>
      <c r="B180" s="82">
        <f>VLOOKUP(A180,'Data shares'!$C$2:$CV$220,98,0)</f>
        <v>121231025</v>
      </c>
      <c r="C180" s="82">
        <f>VLOOKUP(A180,'Data shares'!$C$2:$CX$220,100,0)</f>
        <v>-650875</v>
      </c>
      <c r="D180" s="141">
        <f>VLOOKUP(A180,'Data shares'!$C$2:$CY$543,101,0)</f>
        <v>-5.3E-3</v>
      </c>
      <c r="E180" s="86">
        <f>VLOOKUP($A180,'Data shares'!$C:$FA,74)</f>
        <v>64547750</v>
      </c>
      <c r="F180" s="86">
        <f>VLOOKUP($A180,'Data shares'!$C:$FA,76)</f>
        <v>-971550</v>
      </c>
      <c r="G180" s="87">
        <f>VLOOKUP(A180,'Data shares'!$C$2:$CA$220,77,0)</f>
        <v>-1.4800000000000001E-2</v>
      </c>
      <c r="H180" s="86">
        <f>VLOOKUP($A180,'Data shares'!$C:$FA,90)</f>
        <v>27670125</v>
      </c>
      <c r="I180" s="86">
        <f>VLOOKUP($A180,'Data shares'!$C:$FA,92)</f>
        <v>403225</v>
      </c>
      <c r="J180" s="87">
        <f>VLOOKUP($A180,'Data shares'!$C:$FA,93)</f>
        <v>1.4800000000000001E-2</v>
      </c>
      <c r="K180" s="86">
        <f>VLOOKUP($A180,'Data shares'!$C:$FA,94)</f>
        <v>29013150</v>
      </c>
      <c r="L180" s="86">
        <f>VLOOKUP($A180,'Data shares'!$C:$FA,96)</f>
        <v>-82550</v>
      </c>
      <c r="M180" s="87">
        <f>VLOOKUP($A180,'Data shares'!$C:$FA,97)</f>
        <v>-2.8E-3</v>
      </c>
      <c r="N180" s="86">
        <f>VLOOKUP($A180,'Data shares'!$C:$FA,78)</f>
        <v>63985775</v>
      </c>
      <c r="O180" s="87">
        <f>VLOOKUP($A180,'Data shares'!$C:$FA,81)</f>
        <v>-1.55E-2</v>
      </c>
    </row>
    <row r="181" spans="1:15" x14ac:dyDescent="0.25">
      <c r="A181" s="100" t="str">
        <f>'Data Vlaue (Cr)'!C176</f>
        <v>RECLTD</v>
      </c>
      <c r="B181" s="82">
        <f>VLOOKUP(A181,'Data shares'!$C$2:$CV$220,98,0)</f>
        <v>109282600</v>
      </c>
      <c r="C181" s="82">
        <f>VLOOKUP(A181,'Data shares'!$C$2:$CX$220,100,0)</f>
        <v>1997800</v>
      </c>
      <c r="D181" s="141">
        <f>VLOOKUP(A181,'Data shares'!$C$2:$CY$543,101,0)</f>
        <v>1.8599999999999998E-2</v>
      </c>
      <c r="E181" s="86">
        <f>VLOOKUP($A181,'Data shares'!$C:$FA,74)</f>
        <v>69851600</v>
      </c>
      <c r="F181" s="86">
        <f>VLOOKUP($A181,'Data shares'!$C:$FA,76)</f>
        <v>263200</v>
      </c>
      <c r="G181" s="87">
        <f>VLOOKUP(A181,'Data shares'!$C$2:$CA$220,77,0)</f>
        <v>3.8E-3</v>
      </c>
      <c r="H181" s="86">
        <f>VLOOKUP($A181,'Data shares'!$C:$FA,90)</f>
        <v>20868400</v>
      </c>
      <c r="I181" s="86">
        <f>VLOOKUP($A181,'Data shares'!$C:$FA,92)</f>
        <v>1069600</v>
      </c>
      <c r="J181" s="87">
        <f>VLOOKUP($A181,'Data shares'!$C:$FA,93)</f>
        <v>5.3999999999999999E-2</v>
      </c>
      <c r="K181" s="86">
        <f>VLOOKUP($A181,'Data shares'!$C:$FA,94)</f>
        <v>18562600</v>
      </c>
      <c r="L181" s="86">
        <f>VLOOKUP($A181,'Data shares'!$C:$FA,96)</f>
        <v>665000</v>
      </c>
      <c r="M181" s="87">
        <f>VLOOKUP($A181,'Data shares'!$C:$FA,97)</f>
        <v>3.7199999999999997E-2</v>
      </c>
      <c r="N181" s="86">
        <f>VLOOKUP($A181,'Data shares'!$C:$FA,78)</f>
        <v>64979600</v>
      </c>
      <c r="O181" s="87">
        <f>VLOOKUP($A181,'Data shares'!$C:$FA,81)</f>
        <v>1.6999999999999999E-3</v>
      </c>
    </row>
    <row r="182" spans="1:15" x14ac:dyDescent="0.25">
      <c r="A182" s="100" t="str">
        <f>'Data Vlaue (Cr)'!C177</f>
        <v>RELIANCE</v>
      </c>
      <c r="B182" s="82">
        <f>VLOOKUP(A182,'Data shares'!$C$2:$CV$220,98,0)</f>
        <v>208974500</v>
      </c>
      <c r="C182" s="82">
        <f>VLOOKUP(A182,'Data shares'!$C$2:$CX$220,100,0)</f>
        <v>2547000</v>
      </c>
      <c r="D182" s="141">
        <f>VLOOKUP(A182,'Data shares'!$C$2:$CY$543,101,0)</f>
        <v>1.23E-2</v>
      </c>
      <c r="E182" s="86">
        <f>VLOOKUP($A182,'Data shares'!$C:$FA,74)</f>
        <v>93538500</v>
      </c>
      <c r="F182" s="86">
        <f>VLOOKUP($A182,'Data shares'!$C:$FA,76)</f>
        <v>1655000</v>
      </c>
      <c r="G182" s="87">
        <f>VLOOKUP(A182,'Data shares'!$C$2:$CA$220,77,0)</f>
        <v>1.7999999999999999E-2</v>
      </c>
      <c r="H182" s="86">
        <f>VLOOKUP($A182,'Data shares'!$C:$FA,90)</f>
        <v>80429500</v>
      </c>
      <c r="I182" s="86">
        <f>VLOOKUP($A182,'Data shares'!$C:$FA,92)</f>
        <v>540000</v>
      </c>
      <c r="J182" s="87">
        <f>VLOOKUP($A182,'Data shares'!$C:$FA,93)</f>
        <v>6.7999999999999996E-3</v>
      </c>
      <c r="K182" s="86">
        <f>VLOOKUP($A182,'Data shares'!$C:$FA,94)</f>
        <v>35006500</v>
      </c>
      <c r="L182" s="86">
        <f>VLOOKUP($A182,'Data shares'!$C:$FA,96)</f>
        <v>352000</v>
      </c>
      <c r="M182" s="87">
        <f>VLOOKUP($A182,'Data shares'!$C:$FA,97)</f>
        <v>1.0200000000000001E-2</v>
      </c>
      <c r="N182" s="86">
        <f>VLOOKUP($A182,'Data shares'!$C:$FA,78)</f>
        <v>79184500</v>
      </c>
      <c r="O182" s="87">
        <f>VLOOKUP($A182,'Data shares'!$C:$FA,81)</f>
        <v>8.2000000000000007E-3</v>
      </c>
    </row>
    <row r="183" spans="1:15" x14ac:dyDescent="0.25">
      <c r="A183" s="100" t="str">
        <f>'Data Vlaue (Cr)'!C178</f>
        <v>RVNL</v>
      </c>
      <c r="B183" s="82">
        <f>VLOOKUP(A183,'Data shares'!$C$2:$CV$220,98,0)</f>
        <v>76178325</v>
      </c>
      <c r="C183" s="82">
        <f>VLOOKUP(A183,'Data shares'!$C$2:$CX$220,100,0)</f>
        <v>1489925</v>
      </c>
      <c r="D183" s="141">
        <f>VLOOKUP(A183,'Data shares'!$C$2:$CY$543,101,0)</f>
        <v>1.9900000000000001E-2</v>
      </c>
      <c r="E183" s="86">
        <f>VLOOKUP($A183,'Data shares'!$C:$FA,74)</f>
        <v>50309750</v>
      </c>
      <c r="F183" s="86">
        <f>VLOOKUP($A183,'Data shares'!$C:$FA,76)</f>
        <v>463600</v>
      </c>
      <c r="G183" s="87">
        <f>VLOOKUP(A183,'Data shares'!$C$2:$CA$220,77,0)</f>
        <v>9.2999999999999992E-3</v>
      </c>
      <c r="H183" s="86">
        <f>VLOOKUP($A183,'Data shares'!$C:$FA,90)</f>
        <v>15095975</v>
      </c>
      <c r="I183" s="86">
        <f>VLOOKUP($A183,'Data shares'!$C:$FA,92)</f>
        <v>753350</v>
      </c>
      <c r="J183" s="87">
        <f>VLOOKUP($A183,'Data shares'!$C:$FA,93)</f>
        <v>5.2499999999999998E-2</v>
      </c>
      <c r="K183" s="86">
        <f>VLOOKUP($A183,'Data shares'!$C:$FA,94)</f>
        <v>10772600</v>
      </c>
      <c r="L183" s="86">
        <f>VLOOKUP($A183,'Data shares'!$C:$FA,96)</f>
        <v>272975</v>
      </c>
      <c r="M183" s="87">
        <f>VLOOKUP($A183,'Data shares'!$C:$FA,97)</f>
        <v>2.5999999999999999E-2</v>
      </c>
      <c r="N183" s="86">
        <f>VLOOKUP($A183,'Data shares'!$C:$FA,78)</f>
        <v>44128925</v>
      </c>
      <c r="O183" s="87">
        <f>VLOOKUP($A183,'Data shares'!$C:$FA,81)</f>
        <v>-1.6500000000000001E-2</v>
      </c>
    </row>
    <row r="184" spans="1:15" x14ac:dyDescent="0.25">
      <c r="A184" s="100" t="str">
        <f>'Data Vlaue (Cr)'!C179</f>
        <v>SAIL</v>
      </c>
      <c r="B184" s="82">
        <f>VLOOKUP(A184,'Data shares'!$C$2:$CV$220,98,0)</f>
        <v>228730200</v>
      </c>
      <c r="C184" s="82">
        <f>VLOOKUP(A184,'Data shares'!$C$2:$CX$220,100,0)</f>
        <v>-4784600</v>
      </c>
      <c r="D184" s="141">
        <f>VLOOKUP(A184,'Data shares'!$C$2:$CY$543,101,0)</f>
        <v>-2.0500000000000001E-2</v>
      </c>
      <c r="E184" s="86">
        <f>VLOOKUP($A184,'Data shares'!$C:$FA,74)</f>
        <v>208116000</v>
      </c>
      <c r="F184" s="86">
        <f>VLOOKUP($A184,'Data shares'!$C:$FA,76)</f>
        <v>-3656600</v>
      </c>
      <c r="G184" s="87">
        <f>VLOOKUP(A184,'Data shares'!$C$2:$CA$220,77,0)</f>
        <v>-1.7299999999999999E-2</v>
      </c>
      <c r="H184" s="86">
        <f>VLOOKUP($A184,'Data shares'!$C:$FA,90)</f>
        <v>12032000</v>
      </c>
      <c r="I184" s="86">
        <f>VLOOKUP($A184,'Data shares'!$C:$FA,92)</f>
        <v>-878900</v>
      </c>
      <c r="J184" s="87">
        <f>VLOOKUP($A184,'Data shares'!$C:$FA,93)</f>
        <v>-6.8099999999999994E-2</v>
      </c>
      <c r="K184" s="86">
        <f>VLOOKUP($A184,'Data shares'!$C:$FA,94)</f>
        <v>8582200</v>
      </c>
      <c r="L184" s="86">
        <f>VLOOKUP($A184,'Data shares'!$C:$FA,96)</f>
        <v>-249100</v>
      </c>
      <c r="M184" s="87">
        <f>VLOOKUP($A184,'Data shares'!$C:$FA,97)</f>
        <v>-2.8199999999999999E-2</v>
      </c>
      <c r="N184" s="86">
        <f>VLOOKUP($A184,'Data shares'!$C:$FA,78)</f>
        <v>171723900</v>
      </c>
      <c r="O184" s="87">
        <f>VLOOKUP($A184,'Data shares'!$C:$FA,81)</f>
        <v>-2.0500000000000001E-2</v>
      </c>
    </row>
    <row r="185" spans="1:15" x14ac:dyDescent="0.25">
      <c r="A185" s="100" t="str">
        <f>'Data Vlaue (Cr)'!C180</f>
        <v>SAMMAANCAP</v>
      </c>
      <c r="B185" s="82">
        <f>VLOOKUP(A185,'Data shares'!$C$2:$CV$220,98,0)</f>
        <v>147541600</v>
      </c>
      <c r="C185" s="82">
        <f>VLOOKUP(A185,'Data shares'!$C$2:$CX$220,100,0)</f>
        <v>-1836100</v>
      </c>
      <c r="D185" s="141">
        <f>VLOOKUP(A185,'Data shares'!$C$2:$CY$543,101,0)</f>
        <v>-1.23E-2</v>
      </c>
      <c r="E185" s="86">
        <f>VLOOKUP($A185,'Data shares'!$C:$FA,74)</f>
        <v>106855000</v>
      </c>
      <c r="F185" s="86">
        <f>VLOOKUP($A185,'Data shares'!$C:$FA,76)</f>
        <v>-1079300</v>
      </c>
      <c r="G185" s="87">
        <f>VLOOKUP(A185,'Data shares'!$C$2:$CA$220,77,0)</f>
        <v>-0.01</v>
      </c>
      <c r="H185" s="86">
        <f>VLOOKUP($A185,'Data shares'!$C:$FA,90)</f>
        <v>19887500</v>
      </c>
      <c r="I185" s="86">
        <f>VLOOKUP($A185,'Data shares'!$C:$FA,92)</f>
        <v>-503100</v>
      </c>
      <c r="J185" s="87">
        <f>VLOOKUP($A185,'Data shares'!$C:$FA,93)</f>
        <v>-2.47E-2</v>
      </c>
      <c r="K185" s="86">
        <f>VLOOKUP($A185,'Data shares'!$C:$FA,94)</f>
        <v>20799100</v>
      </c>
      <c r="L185" s="86">
        <f>VLOOKUP($A185,'Data shares'!$C:$FA,96)</f>
        <v>-253700</v>
      </c>
      <c r="M185" s="87">
        <f>VLOOKUP($A185,'Data shares'!$C:$FA,97)</f>
        <v>-1.21E-2</v>
      </c>
      <c r="N185" s="86">
        <f>VLOOKUP($A185,'Data shares'!$C:$FA,78)</f>
        <v>102512000</v>
      </c>
      <c r="O185" s="87">
        <f>VLOOKUP($A185,'Data shares'!$C:$FA,81)</f>
        <v>-9.5999999999999992E-3</v>
      </c>
    </row>
    <row r="186" spans="1:15" x14ac:dyDescent="0.25">
      <c r="A186" s="100" t="str">
        <f>'Data Vlaue (Cr)'!C181</f>
        <v>SBICARD</v>
      </c>
      <c r="B186" s="82">
        <f>VLOOKUP(A186,'Data shares'!$C$2:$CV$220,98,0)</f>
        <v>35560800</v>
      </c>
      <c r="C186" s="82">
        <f>VLOOKUP(A186,'Data shares'!$C$2:$CX$220,100,0)</f>
        <v>411200</v>
      </c>
      <c r="D186" s="141">
        <f>VLOOKUP(A186,'Data shares'!$C$2:$CY$543,101,0)</f>
        <v>1.17E-2</v>
      </c>
      <c r="E186" s="86">
        <f>VLOOKUP($A186,'Data shares'!$C:$FA,74)</f>
        <v>24935200</v>
      </c>
      <c r="F186" s="86">
        <f>VLOOKUP($A186,'Data shares'!$C:$FA,76)</f>
        <v>192000</v>
      </c>
      <c r="G186" s="87">
        <f>VLOOKUP(A186,'Data shares'!$C$2:$CA$220,77,0)</f>
        <v>7.7999999999999996E-3</v>
      </c>
      <c r="H186" s="86">
        <f>VLOOKUP($A186,'Data shares'!$C:$FA,90)</f>
        <v>6051200</v>
      </c>
      <c r="I186" s="86">
        <f>VLOOKUP($A186,'Data shares'!$C:$FA,92)</f>
        <v>397600</v>
      </c>
      <c r="J186" s="87">
        <f>VLOOKUP($A186,'Data shares'!$C:$FA,93)</f>
        <v>7.0300000000000001E-2</v>
      </c>
      <c r="K186" s="86">
        <f>VLOOKUP($A186,'Data shares'!$C:$FA,94)</f>
        <v>4574400</v>
      </c>
      <c r="L186" s="86">
        <f>VLOOKUP($A186,'Data shares'!$C:$FA,96)</f>
        <v>-178400</v>
      </c>
      <c r="M186" s="87">
        <f>VLOOKUP($A186,'Data shares'!$C:$FA,97)</f>
        <v>-3.7499999999999999E-2</v>
      </c>
      <c r="N186" s="86">
        <f>VLOOKUP($A186,'Data shares'!$C:$FA,78)</f>
        <v>22978400</v>
      </c>
      <c r="O186" s="87">
        <f>VLOOKUP($A186,'Data shares'!$C:$FA,81)</f>
        <v>-3.7000000000000002E-3</v>
      </c>
    </row>
    <row r="187" spans="1:15" x14ac:dyDescent="0.25">
      <c r="A187" s="100" t="str">
        <f>'Data Vlaue (Cr)'!C182</f>
        <v>SBILIFE</v>
      </c>
      <c r="B187" s="82">
        <f>VLOOKUP(A187,'Data shares'!$C$2:$CV$220,98,0)</f>
        <v>12719250</v>
      </c>
      <c r="C187" s="82">
        <f>VLOOKUP(A187,'Data shares'!$C$2:$CX$220,100,0)</f>
        <v>9375</v>
      </c>
      <c r="D187" s="141">
        <f>VLOOKUP(A187,'Data shares'!$C$2:$CY$543,101,0)</f>
        <v>6.9999999999999999E-4</v>
      </c>
      <c r="E187" s="86">
        <f>VLOOKUP($A187,'Data shares'!$C:$FA,74)</f>
        <v>10715625</v>
      </c>
      <c r="F187" s="86">
        <f>VLOOKUP($A187,'Data shares'!$C:$FA,76)</f>
        <v>-90000</v>
      </c>
      <c r="G187" s="87">
        <f>VLOOKUP(A187,'Data shares'!$C$2:$CA$220,77,0)</f>
        <v>-8.3000000000000001E-3</v>
      </c>
      <c r="H187" s="86">
        <f>VLOOKUP($A187,'Data shares'!$C:$FA,90)</f>
        <v>800250</v>
      </c>
      <c r="I187" s="86">
        <f>VLOOKUP($A187,'Data shares'!$C:$FA,92)</f>
        <v>112500</v>
      </c>
      <c r="J187" s="87">
        <f>VLOOKUP($A187,'Data shares'!$C:$FA,93)</f>
        <v>0.1636</v>
      </c>
      <c r="K187" s="86">
        <f>VLOOKUP($A187,'Data shares'!$C:$FA,94)</f>
        <v>1203375</v>
      </c>
      <c r="L187" s="86">
        <f>VLOOKUP($A187,'Data shares'!$C:$FA,96)</f>
        <v>-13125</v>
      </c>
      <c r="M187" s="87">
        <f>VLOOKUP($A187,'Data shares'!$C:$FA,97)</f>
        <v>-1.0800000000000001E-2</v>
      </c>
      <c r="N187" s="86">
        <f>VLOOKUP($A187,'Data shares'!$C:$FA,78)</f>
        <v>10456875</v>
      </c>
      <c r="O187" s="87">
        <f>VLOOKUP($A187,'Data shares'!$C:$FA,81)</f>
        <v>-1.0200000000000001E-2</v>
      </c>
    </row>
    <row r="188" spans="1:15" x14ac:dyDescent="0.25">
      <c r="A188" s="100" t="str">
        <f>'Data Vlaue (Cr)'!C183</f>
        <v>SBIN</v>
      </c>
      <c r="B188" s="82">
        <f>VLOOKUP(A188,'Data shares'!$C$2:$CV$220,98,0)</f>
        <v>151741500</v>
      </c>
      <c r="C188" s="82">
        <f>VLOOKUP(A188,'Data shares'!$C$2:$CX$220,100,0)</f>
        <v>8123250</v>
      </c>
      <c r="D188" s="141">
        <f>VLOOKUP(A188,'Data shares'!$C$2:$CY$543,101,0)</f>
        <v>5.6599999999999998E-2</v>
      </c>
      <c r="E188" s="86">
        <f>VLOOKUP($A188,'Data shares'!$C:$FA,74)</f>
        <v>82201500</v>
      </c>
      <c r="F188" s="86">
        <f>VLOOKUP($A188,'Data shares'!$C:$FA,76)</f>
        <v>2339250</v>
      </c>
      <c r="G188" s="87">
        <f>VLOOKUP(A188,'Data shares'!$C$2:$CA$220,77,0)</f>
        <v>2.93E-2</v>
      </c>
      <c r="H188" s="86">
        <f>VLOOKUP($A188,'Data shares'!$C:$FA,90)</f>
        <v>42215250</v>
      </c>
      <c r="I188" s="86">
        <f>VLOOKUP($A188,'Data shares'!$C:$FA,92)</f>
        <v>5010000</v>
      </c>
      <c r="J188" s="87">
        <f>VLOOKUP($A188,'Data shares'!$C:$FA,93)</f>
        <v>0.13469999999999999</v>
      </c>
      <c r="K188" s="86">
        <f>VLOOKUP($A188,'Data shares'!$C:$FA,94)</f>
        <v>27324750</v>
      </c>
      <c r="L188" s="86">
        <f>VLOOKUP($A188,'Data shares'!$C:$FA,96)</f>
        <v>774000</v>
      </c>
      <c r="M188" s="87">
        <f>VLOOKUP($A188,'Data shares'!$C:$FA,97)</f>
        <v>2.92E-2</v>
      </c>
      <c r="N188" s="86">
        <f>VLOOKUP($A188,'Data shares'!$C:$FA,78)</f>
        <v>77110500</v>
      </c>
      <c r="O188" s="87">
        <f>VLOOKUP($A188,'Data shares'!$C:$FA,81)</f>
        <v>2.0500000000000001E-2</v>
      </c>
    </row>
    <row r="189" spans="1:15" x14ac:dyDescent="0.25">
      <c r="A189" s="100" t="str">
        <f>'Data Vlaue (Cr)'!C184</f>
        <v>SHREECEM</v>
      </c>
      <c r="B189" s="82">
        <f>VLOOKUP(A189,'Data shares'!$C$2:$CV$220,98,0)</f>
        <v>481900</v>
      </c>
      <c r="C189" s="82">
        <f>VLOOKUP(A189,'Data shares'!$C$2:$CX$220,100,0)</f>
        <v>23150</v>
      </c>
      <c r="D189" s="141">
        <f>VLOOKUP(A189,'Data shares'!$C$2:$CY$543,101,0)</f>
        <v>5.0500000000000003E-2</v>
      </c>
      <c r="E189" s="86">
        <f>VLOOKUP($A189,'Data shares'!$C:$FA,74)</f>
        <v>386775</v>
      </c>
      <c r="F189" s="86">
        <f>VLOOKUP($A189,'Data shares'!$C:$FA,76)</f>
        <v>14400</v>
      </c>
      <c r="G189" s="87">
        <f>VLOOKUP(A189,'Data shares'!$C$2:$CA$220,77,0)</f>
        <v>3.8699999999999998E-2</v>
      </c>
      <c r="H189" s="86">
        <f>VLOOKUP($A189,'Data shares'!$C:$FA,90)</f>
        <v>57125</v>
      </c>
      <c r="I189" s="86">
        <f>VLOOKUP($A189,'Data shares'!$C:$FA,92)</f>
        <v>6675</v>
      </c>
      <c r="J189" s="87">
        <f>VLOOKUP($A189,'Data shares'!$C:$FA,93)</f>
        <v>0.1323</v>
      </c>
      <c r="K189" s="86">
        <f>VLOOKUP($A189,'Data shares'!$C:$FA,94)</f>
        <v>38000</v>
      </c>
      <c r="L189" s="86">
        <f>VLOOKUP($A189,'Data shares'!$C:$FA,96)</f>
        <v>2075</v>
      </c>
      <c r="M189" s="87">
        <f>VLOOKUP($A189,'Data shares'!$C:$FA,97)</f>
        <v>5.7799999999999997E-2</v>
      </c>
      <c r="N189" s="86">
        <f>VLOOKUP($A189,'Data shares'!$C:$FA,78)</f>
        <v>375825</v>
      </c>
      <c r="O189" s="87">
        <f>VLOOKUP($A189,'Data shares'!$C:$FA,81)</f>
        <v>3.6799999999999999E-2</v>
      </c>
    </row>
    <row r="190" spans="1:15" x14ac:dyDescent="0.25">
      <c r="A190" s="100" t="str">
        <f>'Data Vlaue (Cr)'!C185</f>
        <v>SHRIRAMFIN</v>
      </c>
      <c r="B190" s="82">
        <f>VLOOKUP(A190,'Data shares'!$C$2:$CV$220,98,0)</f>
        <v>62667825</v>
      </c>
      <c r="C190" s="82">
        <f>VLOOKUP(A190,'Data shares'!$C$2:$CX$220,100,0)</f>
        <v>379500</v>
      </c>
      <c r="D190" s="141">
        <f>VLOOKUP(A190,'Data shares'!$C$2:$CY$543,101,0)</f>
        <v>6.1000000000000004E-3</v>
      </c>
      <c r="E190" s="86">
        <f>VLOOKUP($A190,'Data shares'!$C:$FA,74)</f>
        <v>42706950</v>
      </c>
      <c r="F190" s="86">
        <f>VLOOKUP($A190,'Data shares'!$C:$FA,76)</f>
        <v>-491700</v>
      </c>
      <c r="G190" s="87">
        <f>VLOOKUP(A190,'Data shares'!$C$2:$CA$220,77,0)</f>
        <v>-1.14E-2</v>
      </c>
      <c r="H190" s="86">
        <f>VLOOKUP($A190,'Data shares'!$C:$FA,90)</f>
        <v>11757075</v>
      </c>
      <c r="I190" s="86">
        <f>VLOOKUP($A190,'Data shares'!$C:$FA,92)</f>
        <v>839850</v>
      </c>
      <c r="J190" s="87">
        <f>VLOOKUP($A190,'Data shares'!$C:$FA,93)</f>
        <v>7.6899999999999996E-2</v>
      </c>
      <c r="K190" s="86">
        <f>VLOOKUP($A190,'Data shares'!$C:$FA,94)</f>
        <v>8203800</v>
      </c>
      <c r="L190" s="86">
        <f>VLOOKUP($A190,'Data shares'!$C:$FA,96)</f>
        <v>31350</v>
      </c>
      <c r="M190" s="87">
        <f>VLOOKUP($A190,'Data shares'!$C:$FA,97)</f>
        <v>3.8E-3</v>
      </c>
      <c r="N190" s="86">
        <f>VLOOKUP($A190,'Data shares'!$C:$FA,78)</f>
        <v>40404375</v>
      </c>
      <c r="O190" s="87">
        <f>VLOOKUP($A190,'Data shares'!$C:$FA,81)</f>
        <v>-1.6299999999999999E-2</v>
      </c>
    </row>
    <row r="191" spans="1:15" x14ac:dyDescent="0.25">
      <c r="A191" s="100" t="str">
        <f>'Data Vlaue (Cr)'!C186</f>
        <v>SIEMENS</v>
      </c>
      <c r="B191" s="82">
        <f>VLOOKUP(A191,'Data shares'!$C$2:$CV$220,98,0)</f>
        <v>3523975</v>
      </c>
      <c r="C191" s="82">
        <f>VLOOKUP(A191,'Data shares'!$C$2:$CX$220,100,0)</f>
        <v>50750</v>
      </c>
      <c r="D191" s="141">
        <f>VLOOKUP(A191,'Data shares'!$C$2:$CY$543,101,0)</f>
        <v>1.46E-2</v>
      </c>
      <c r="E191" s="86">
        <f>VLOOKUP($A191,'Data shares'!$C:$FA,74)</f>
        <v>2600675</v>
      </c>
      <c r="F191" s="86">
        <f>VLOOKUP($A191,'Data shares'!$C:$FA,76)</f>
        <v>-2100</v>
      </c>
      <c r="G191" s="87">
        <f>VLOOKUP(A191,'Data shares'!$C$2:$CA$220,77,0)</f>
        <v>-8.0000000000000004E-4</v>
      </c>
      <c r="H191" s="86">
        <f>VLOOKUP($A191,'Data shares'!$C:$FA,90)</f>
        <v>545825</v>
      </c>
      <c r="I191" s="86">
        <f>VLOOKUP($A191,'Data shares'!$C:$FA,92)</f>
        <v>22925</v>
      </c>
      <c r="J191" s="87">
        <f>VLOOKUP($A191,'Data shares'!$C:$FA,93)</f>
        <v>4.3799999999999999E-2</v>
      </c>
      <c r="K191" s="86">
        <f>VLOOKUP($A191,'Data shares'!$C:$FA,94)</f>
        <v>377475</v>
      </c>
      <c r="L191" s="86">
        <f>VLOOKUP($A191,'Data shares'!$C:$FA,96)</f>
        <v>29925</v>
      </c>
      <c r="M191" s="87">
        <f>VLOOKUP($A191,'Data shares'!$C:$FA,97)</f>
        <v>8.6099999999999996E-2</v>
      </c>
      <c r="N191" s="86">
        <f>VLOOKUP($A191,'Data shares'!$C:$FA,78)</f>
        <v>2555700</v>
      </c>
      <c r="O191" s="87">
        <f>VLOOKUP($A191,'Data shares'!$C:$FA,81)</f>
        <v>-1.6000000000000001E-3</v>
      </c>
    </row>
    <row r="192" spans="1:15" x14ac:dyDescent="0.25">
      <c r="A192" s="100" t="str">
        <f>'Data Vlaue (Cr)'!C187</f>
        <v>SOLARINDS</v>
      </c>
      <c r="B192" s="82">
        <f>VLOOKUP(A192,'Data shares'!$C$2:$CV$220,98,0)</f>
        <v>1174400</v>
      </c>
      <c r="C192" s="82">
        <f>VLOOKUP(A192,'Data shares'!$C$2:$CX$220,100,0)</f>
        <v>67650</v>
      </c>
      <c r="D192" s="141">
        <f>VLOOKUP(A192,'Data shares'!$C$2:$CY$543,101,0)</f>
        <v>6.1100000000000002E-2</v>
      </c>
      <c r="E192" s="86">
        <f>VLOOKUP($A192,'Data shares'!$C:$FA,74)</f>
        <v>772250</v>
      </c>
      <c r="F192" s="86">
        <f>VLOOKUP($A192,'Data shares'!$C:$FA,76)</f>
        <v>5450</v>
      </c>
      <c r="G192" s="87">
        <f>VLOOKUP(A192,'Data shares'!$C$2:$CA$220,77,0)</f>
        <v>7.1000000000000004E-3</v>
      </c>
      <c r="H192" s="86">
        <f>VLOOKUP($A192,'Data shares'!$C:$FA,90)</f>
        <v>221550</v>
      </c>
      <c r="I192" s="86">
        <f>VLOOKUP($A192,'Data shares'!$C:$FA,92)</f>
        <v>36950</v>
      </c>
      <c r="J192" s="87">
        <f>VLOOKUP($A192,'Data shares'!$C:$FA,93)</f>
        <v>0.20019999999999999</v>
      </c>
      <c r="K192" s="86">
        <f>VLOOKUP($A192,'Data shares'!$C:$FA,94)</f>
        <v>180600</v>
      </c>
      <c r="L192" s="86">
        <f>VLOOKUP($A192,'Data shares'!$C:$FA,96)</f>
        <v>25250</v>
      </c>
      <c r="M192" s="87">
        <f>VLOOKUP($A192,'Data shares'!$C:$FA,97)</f>
        <v>0.16250000000000001</v>
      </c>
      <c r="N192" s="86">
        <f>VLOOKUP($A192,'Data shares'!$C:$FA,78)</f>
        <v>678900</v>
      </c>
      <c r="O192" s="87">
        <f>VLOOKUP($A192,'Data shares'!$C:$FA,81)</f>
        <v>6.4000000000000003E-3</v>
      </c>
    </row>
    <row r="193" spans="1:15" x14ac:dyDescent="0.25">
      <c r="A193" s="100" t="str">
        <f>'Data Vlaue (Cr)'!C188</f>
        <v>SONACOMS</v>
      </c>
      <c r="B193" s="82">
        <f>VLOOKUP(A193,'Data shares'!$C$2:$CV$220,98,0)</f>
        <v>18367650</v>
      </c>
      <c r="C193" s="82">
        <f>VLOOKUP(A193,'Data shares'!$C$2:$CX$220,100,0)</f>
        <v>305025</v>
      </c>
      <c r="D193" s="141">
        <f>VLOOKUP(A193,'Data shares'!$C$2:$CY$543,101,0)</f>
        <v>1.6899999999999998E-2</v>
      </c>
      <c r="E193" s="86">
        <f>VLOOKUP($A193,'Data shares'!$C:$FA,74)</f>
        <v>12468050</v>
      </c>
      <c r="F193" s="86">
        <f>VLOOKUP($A193,'Data shares'!$C:$FA,76)</f>
        <v>-155575</v>
      </c>
      <c r="G193" s="87">
        <f>VLOOKUP(A193,'Data shares'!$C$2:$CA$220,77,0)</f>
        <v>-1.23E-2</v>
      </c>
      <c r="H193" s="86">
        <f>VLOOKUP($A193,'Data shares'!$C:$FA,90)</f>
        <v>3482675</v>
      </c>
      <c r="I193" s="86">
        <f>VLOOKUP($A193,'Data shares'!$C:$FA,92)</f>
        <v>387100</v>
      </c>
      <c r="J193" s="87">
        <f>VLOOKUP($A193,'Data shares'!$C:$FA,93)</f>
        <v>0.125</v>
      </c>
      <c r="K193" s="86">
        <f>VLOOKUP($A193,'Data shares'!$C:$FA,94)</f>
        <v>2416925</v>
      </c>
      <c r="L193" s="86">
        <f>VLOOKUP($A193,'Data shares'!$C:$FA,96)</f>
        <v>73500</v>
      </c>
      <c r="M193" s="87">
        <f>VLOOKUP($A193,'Data shares'!$C:$FA,97)</f>
        <v>3.1399999999999997E-2</v>
      </c>
      <c r="N193" s="86">
        <f>VLOOKUP($A193,'Data shares'!$C:$FA,78)</f>
        <v>12327175</v>
      </c>
      <c r="O193" s="87">
        <f>VLOOKUP($A193,'Data shares'!$C:$FA,81)</f>
        <v>-1.34E-2</v>
      </c>
    </row>
    <row r="194" spans="1:15" x14ac:dyDescent="0.25">
      <c r="A194" s="100" t="str">
        <f>'Data Vlaue (Cr)'!C189</f>
        <v>SRF</v>
      </c>
      <c r="B194" s="82">
        <f>VLOOKUP(A194,'Data shares'!$C$2:$CV$220,98,0)</f>
        <v>6953200</v>
      </c>
      <c r="C194" s="82">
        <f>VLOOKUP(A194,'Data shares'!$C$2:$CX$220,100,0)</f>
        <v>500800</v>
      </c>
      <c r="D194" s="141">
        <f>VLOOKUP(A194,'Data shares'!$C$2:$CY$543,101,0)</f>
        <v>7.7600000000000002E-2</v>
      </c>
      <c r="E194" s="86">
        <f>VLOOKUP($A194,'Data shares'!$C:$FA,74)</f>
        <v>4377200</v>
      </c>
      <c r="F194" s="86">
        <f>VLOOKUP($A194,'Data shares'!$C:$FA,76)</f>
        <v>274600</v>
      </c>
      <c r="G194" s="87">
        <f>VLOOKUP(A194,'Data shares'!$C$2:$CA$220,77,0)</f>
        <v>6.6900000000000001E-2</v>
      </c>
      <c r="H194" s="86">
        <f>VLOOKUP($A194,'Data shares'!$C:$FA,90)</f>
        <v>1543200</v>
      </c>
      <c r="I194" s="86">
        <f>VLOOKUP($A194,'Data shares'!$C:$FA,92)</f>
        <v>175000</v>
      </c>
      <c r="J194" s="87">
        <f>VLOOKUP($A194,'Data shares'!$C:$FA,93)</f>
        <v>0.12790000000000001</v>
      </c>
      <c r="K194" s="86">
        <f>VLOOKUP($A194,'Data shares'!$C:$FA,94)</f>
        <v>1032800</v>
      </c>
      <c r="L194" s="86">
        <f>VLOOKUP($A194,'Data shares'!$C:$FA,96)</f>
        <v>51200</v>
      </c>
      <c r="M194" s="87">
        <f>VLOOKUP($A194,'Data shares'!$C:$FA,97)</f>
        <v>5.2200000000000003E-2</v>
      </c>
      <c r="N194" s="86">
        <f>VLOOKUP($A194,'Data shares'!$C:$FA,78)</f>
        <v>4278200</v>
      </c>
      <c r="O194" s="87">
        <f>VLOOKUP($A194,'Data shares'!$C:$FA,81)</f>
        <v>6.2100000000000002E-2</v>
      </c>
    </row>
    <row r="195" spans="1:15" x14ac:dyDescent="0.25">
      <c r="A195" s="100" t="str">
        <f>'Data Vlaue (Cr)'!C190</f>
        <v>SUNPHARMA</v>
      </c>
      <c r="B195" s="82">
        <f>VLOOKUP(A195,'Data shares'!$C$2:$CV$220,98,0)</f>
        <v>27810650</v>
      </c>
      <c r="C195" s="82">
        <f>VLOOKUP(A195,'Data shares'!$C$2:$CX$220,100,0)</f>
        <v>129150</v>
      </c>
      <c r="D195" s="141">
        <f>VLOOKUP(A195,'Data shares'!$C$2:$CY$543,101,0)</f>
        <v>4.7000000000000002E-3</v>
      </c>
      <c r="E195" s="86">
        <f>VLOOKUP($A195,'Data shares'!$C:$FA,74)</f>
        <v>19044900</v>
      </c>
      <c r="F195" s="86">
        <f>VLOOKUP($A195,'Data shares'!$C:$FA,76)</f>
        <v>339150</v>
      </c>
      <c r="G195" s="87">
        <f>VLOOKUP(A195,'Data shares'!$C$2:$CA$220,77,0)</f>
        <v>1.8100000000000002E-2</v>
      </c>
      <c r="H195" s="86">
        <f>VLOOKUP($A195,'Data shares'!$C:$FA,90)</f>
        <v>4630500</v>
      </c>
      <c r="I195" s="86">
        <f>VLOOKUP($A195,'Data shares'!$C:$FA,92)</f>
        <v>-136850</v>
      </c>
      <c r="J195" s="87">
        <f>VLOOKUP($A195,'Data shares'!$C:$FA,93)</f>
        <v>-2.87E-2</v>
      </c>
      <c r="K195" s="86">
        <f>VLOOKUP($A195,'Data shares'!$C:$FA,94)</f>
        <v>4135250</v>
      </c>
      <c r="L195" s="86">
        <f>VLOOKUP($A195,'Data shares'!$C:$FA,96)</f>
        <v>-73150</v>
      </c>
      <c r="M195" s="87">
        <f>VLOOKUP($A195,'Data shares'!$C:$FA,97)</f>
        <v>-1.7399999999999999E-2</v>
      </c>
      <c r="N195" s="86">
        <f>VLOOKUP($A195,'Data shares'!$C:$FA,78)</f>
        <v>16507050</v>
      </c>
      <c r="O195" s="87">
        <f>VLOOKUP($A195,'Data shares'!$C:$FA,81)</f>
        <v>5.5999999999999999E-3</v>
      </c>
    </row>
    <row r="196" spans="1:15" x14ac:dyDescent="0.25">
      <c r="A196" s="100" t="str">
        <f>'Data Vlaue (Cr)'!C191</f>
        <v>SUPREMEIND</v>
      </c>
      <c r="B196" s="82">
        <f>VLOOKUP(A196,'Data shares'!$C$2:$CV$220,98,0)</f>
        <v>2832200</v>
      </c>
      <c r="C196" s="82">
        <f>VLOOKUP(A196,'Data shares'!$C$2:$CX$220,100,0)</f>
        <v>199150</v>
      </c>
      <c r="D196" s="141">
        <f>VLOOKUP(A196,'Data shares'!$C$2:$CY$543,101,0)</f>
        <v>7.5600000000000001E-2</v>
      </c>
      <c r="E196" s="86">
        <f>VLOOKUP($A196,'Data shares'!$C:$FA,74)</f>
        <v>1987125</v>
      </c>
      <c r="F196" s="86">
        <f>VLOOKUP($A196,'Data shares'!$C:$FA,76)</f>
        <v>40950</v>
      </c>
      <c r="G196" s="87">
        <f>VLOOKUP(A196,'Data shares'!$C$2:$CA$220,77,0)</f>
        <v>2.1000000000000001E-2</v>
      </c>
      <c r="H196" s="86">
        <f>VLOOKUP($A196,'Data shares'!$C:$FA,90)</f>
        <v>514850</v>
      </c>
      <c r="I196" s="86">
        <f>VLOOKUP($A196,'Data shares'!$C:$FA,92)</f>
        <v>131600</v>
      </c>
      <c r="J196" s="87">
        <f>VLOOKUP($A196,'Data shares'!$C:$FA,93)</f>
        <v>0.34339999999999998</v>
      </c>
      <c r="K196" s="86">
        <f>VLOOKUP($A196,'Data shares'!$C:$FA,94)</f>
        <v>330225</v>
      </c>
      <c r="L196" s="86">
        <f>VLOOKUP($A196,'Data shares'!$C:$FA,96)</f>
        <v>26600</v>
      </c>
      <c r="M196" s="87">
        <f>VLOOKUP($A196,'Data shares'!$C:$FA,97)</f>
        <v>8.7599999999999997E-2</v>
      </c>
      <c r="N196" s="86">
        <f>VLOOKUP($A196,'Data shares'!$C:$FA,78)</f>
        <v>1972425</v>
      </c>
      <c r="O196" s="87">
        <f>VLOOKUP($A196,'Data shares'!$C:$FA,81)</f>
        <v>2.06E-2</v>
      </c>
    </row>
    <row r="197" spans="1:15" x14ac:dyDescent="0.25">
      <c r="A197" s="100" t="str">
        <f>'Data Vlaue (Cr)'!C192</f>
        <v>SUZLON</v>
      </c>
      <c r="B197" s="82">
        <f>VLOOKUP(A197,'Data shares'!$C$2:$CV$220,98,0)</f>
        <v>472558025</v>
      </c>
      <c r="C197" s="82">
        <f>VLOOKUP(A197,'Data shares'!$C$2:$CX$220,100,0)</f>
        <v>14981500</v>
      </c>
      <c r="D197" s="141">
        <f>VLOOKUP(A197,'Data shares'!$C$2:$CY$543,101,0)</f>
        <v>3.27E-2</v>
      </c>
      <c r="E197" s="86">
        <f>VLOOKUP($A197,'Data shares'!$C:$FA,74)</f>
        <v>299034350</v>
      </c>
      <c r="F197" s="86">
        <f>VLOOKUP($A197,'Data shares'!$C:$FA,76)</f>
        <v>4693000</v>
      </c>
      <c r="G197" s="87">
        <f>VLOOKUP(A197,'Data shares'!$C$2:$CA$220,77,0)</f>
        <v>1.5900000000000001E-2</v>
      </c>
      <c r="H197" s="86">
        <f>VLOOKUP($A197,'Data shares'!$C:$FA,90)</f>
        <v>119057800</v>
      </c>
      <c r="I197" s="86">
        <f>VLOOKUP($A197,'Data shares'!$C:$FA,92)</f>
        <v>8023225</v>
      </c>
      <c r="J197" s="87">
        <f>VLOOKUP($A197,'Data shares'!$C:$FA,93)</f>
        <v>7.2300000000000003E-2</v>
      </c>
      <c r="K197" s="86">
        <f>VLOOKUP($A197,'Data shares'!$C:$FA,94)</f>
        <v>54465875</v>
      </c>
      <c r="L197" s="86">
        <f>VLOOKUP($A197,'Data shares'!$C:$FA,96)</f>
        <v>2265275</v>
      </c>
      <c r="M197" s="87">
        <f>VLOOKUP($A197,'Data shares'!$C:$FA,97)</f>
        <v>4.3400000000000001E-2</v>
      </c>
      <c r="N197" s="86">
        <f>VLOOKUP($A197,'Data shares'!$C:$FA,78)</f>
        <v>280722625</v>
      </c>
      <c r="O197" s="87">
        <f>VLOOKUP($A197,'Data shares'!$C:$FA,81)</f>
        <v>1.3299999999999999E-2</v>
      </c>
    </row>
    <row r="198" spans="1:15" x14ac:dyDescent="0.25">
      <c r="A198" s="100" t="str">
        <f>'Data Vlaue (Cr)'!C193</f>
        <v>SWIGGY</v>
      </c>
      <c r="B198" s="82">
        <f>VLOOKUP(A198,'Data shares'!$C$2:$CV$220,98,0)</f>
        <v>62619700</v>
      </c>
      <c r="C198" s="82">
        <f>VLOOKUP(A198,'Data shares'!$C$2:$CX$220,100,0)</f>
        <v>1305200</v>
      </c>
      <c r="D198" s="141">
        <f>VLOOKUP(A198,'Data shares'!$C$2:$CY$543,101,0)</f>
        <v>2.1299999999999999E-2</v>
      </c>
      <c r="E198" s="86">
        <f>VLOOKUP($A198,'Data shares'!$C:$FA,74)</f>
        <v>52366600</v>
      </c>
      <c r="F198" s="86">
        <f>VLOOKUP($A198,'Data shares'!$C:$FA,76)</f>
        <v>165100</v>
      </c>
      <c r="G198" s="87">
        <f>VLOOKUP(A198,'Data shares'!$C$2:$CA$220,77,0)</f>
        <v>3.2000000000000002E-3</v>
      </c>
      <c r="H198" s="86">
        <f>VLOOKUP($A198,'Data shares'!$C:$FA,90)</f>
        <v>6219200</v>
      </c>
      <c r="I198" s="86">
        <f>VLOOKUP($A198,'Data shares'!$C:$FA,92)</f>
        <v>873600</v>
      </c>
      <c r="J198" s="87">
        <f>VLOOKUP($A198,'Data shares'!$C:$FA,93)</f>
        <v>0.16339999999999999</v>
      </c>
      <c r="K198" s="86">
        <f>VLOOKUP($A198,'Data shares'!$C:$FA,94)</f>
        <v>4033900</v>
      </c>
      <c r="L198" s="86">
        <f>VLOOKUP($A198,'Data shares'!$C:$FA,96)</f>
        <v>266500</v>
      </c>
      <c r="M198" s="87">
        <f>VLOOKUP($A198,'Data shares'!$C:$FA,97)</f>
        <v>7.0699999999999999E-2</v>
      </c>
      <c r="N198" s="86">
        <f>VLOOKUP($A198,'Data shares'!$C:$FA,78)</f>
        <v>51313600</v>
      </c>
      <c r="O198" s="87">
        <f>VLOOKUP($A198,'Data shares'!$C:$FA,81)</f>
        <v>4.0000000000000002E-4</v>
      </c>
    </row>
    <row r="199" spans="1:15" x14ac:dyDescent="0.25">
      <c r="A199" s="100" t="str">
        <f>'Data Vlaue (Cr)'!C194</f>
        <v>TATACONSUM</v>
      </c>
      <c r="B199" s="82">
        <f>VLOOKUP(A199,'Data shares'!$C$2:$CV$220,98,0)</f>
        <v>17222700</v>
      </c>
      <c r="C199" s="82">
        <f>VLOOKUP(A199,'Data shares'!$C$2:$CX$220,100,0)</f>
        <v>315700</v>
      </c>
      <c r="D199" s="141">
        <f>VLOOKUP(A199,'Data shares'!$C$2:$CY$543,101,0)</f>
        <v>1.8700000000000001E-2</v>
      </c>
      <c r="E199" s="86">
        <f>VLOOKUP($A199,'Data shares'!$C:$FA,74)</f>
        <v>13725800</v>
      </c>
      <c r="F199" s="86">
        <f>VLOOKUP($A199,'Data shares'!$C:$FA,76)</f>
        <v>320650</v>
      </c>
      <c r="G199" s="87">
        <f>VLOOKUP(A199,'Data shares'!$C$2:$CA$220,77,0)</f>
        <v>2.3900000000000001E-2</v>
      </c>
      <c r="H199" s="86">
        <f>VLOOKUP($A199,'Data shares'!$C:$FA,90)</f>
        <v>1364550</v>
      </c>
      <c r="I199" s="86">
        <f>VLOOKUP($A199,'Data shares'!$C:$FA,92)</f>
        <v>-23100</v>
      </c>
      <c r="J199" s="87">
        <f>VLOOKUP($A199,'Data shares'!$C:$FA,93)</f>
        <v>-1.66E-2</v>
      </c>
      <c r="K199" s="86">
        <f>VLOOKUP($A199,'Data shares'!$C:$FA,94)</f>
        <v>2132350</v>
      </c>
      <c r="L199" s="86">
        <f>VLOOKUP($A199,'Data shares'!$C:$FA,96)</f>
        <v>18150</v>
      </c>
      <c r="M199" s="87">
        <f>VLOOKUP($A199,'Data shares'!$C:$FA,97)</f>
        <v>8.6E-3</v>
      </c>
      <c r="N199" s="86">
        <f>VLOOKUP($A199,'Data shares'!$C:$FA,78)</f>
        <v>12911250</v>
      </c>
      <c r="O199" s="87">
        <f>VLOOKUP($A199,'Data shares'!$C:$FA,81)</f>
        <v>2.01E-2</v>
      </c>
    </row>
    <row r="200" spans="1:15" x14ac:dyDescent="0.25">
      <c r="A200" s="100" t="str">
        <f>'Data Vlaue (Cr)'!C195</f>
        <v>TATAELXSI</v>
      </c>
      <c r="B200" s="82">
        <f>VLOOKUP(A200,'Data shares'!$C$2:$CV$220,98,0)</f>
        <v>2718400</v>
      </c>
      <c r="C200" s="82">
        <f>VLOOKUP(A200,'Data shares'!$C$2:$CX$220,100,0)</f>
        <v>99000</v>
      </c>
      <c r="D200" s="141">
        <f>VLOOKUP(A200,'Data shares'!$C$2:$CY$543,101,0)</f>
        <v>3.78E-2</v>
      </c>
      <c r="E200" s="86">
        <f>VLOOKUP($A200,'Data shares'!$C:$FA,74)</f>
        <v>1691800</v>
      </c>
      <c r="F200" s="86">
        <f>VLOOKUP($A200,'Data shares'!$C:$FA,76)</f>
        <v>-2500</v>
      </c>
      <c r="G200" s="87">
        <f>VLOOKUP(A200,'Data shares'!$C$2:$CA$220,77,0)</f>
        <v>-1.5E-3</v>
      </c>
      <c r="H200" s="86">
        <f>VLOOKUP($A200,'Data shares'!$C:$FA,90)</f>
        <v>591000</v>
      </c>
      <c r="I200" s="86">
        <f>VLOOKUP($A200,'Data shares'!$C:$FA,92)</f>
        <v>34000</v>
      </c>
      <c r="J200" s="87">
        <f>VLOOKUP($A200,'Data shares'!$C:$FA,93)</f>
        <v>6.0999999999999999E-2</v>
      </c>
      <c r="K200" s="86">
        <f>VLOOKUP($A200,'Data shares'!$C:$FA,94)</f>
        <v>435600</v>
      </c>
      <c r="L200" s="86">
        <f>VLOOKUP($A200,'Data shares'!$C:$FA,96)</f>
        <v>67500</v>
      </c>
      <c r="M200" s="87">
        <f>VLOOKUP($A200,'Data shares'!$C:$FA,97)</f>
        <v>0.18340000000000001</v>
      </c>
      <c r="N200" s="86">
        <f>VLOOKUP($A200,'Data shares'!$C:$FA,78)</f>
        <v>1568500</v>
      </c>
      <c r="O200" s="87">
        <f>VLOOKUP($A200,'Data shares'!$C:$FA,81)</f>
        <v>-1.3899999999999999E-2</v>
      </c>
    </row>
    <row r="201" spans="1:15" x14ac:dyDescent="0.25">
      <c r="A201" s="100" t="str">
        <f>'Data Vlaue (Cr)'!C196</f>
        <v>TATAPOWER</v>
      </c>
      <c r="B201" s="82">
        <f>VLOOKUP(A201,'Data shares'!$C$2:$CV$220,98,0)</f>
        <v>106914300</v>
      </c>
      <c r="C201" s="82">
        <f>VLOOKUP(A201,'Data shares'!$C$2:$CX$220,100,0)</f>
        <v>4480500</v>
      </c>
      <c r="D201" s="141">
        <f>VLOOKUP(A201,'Data shares'!$C$2:$CY$543,101,0)</f>
        <v>4.3700000000000003E-2</v>
      </c>
      <c r="E201" s="86">
        <f>VLOOKUP($A201,'Data shares'!$C:$FA,74)</f>
        <v>55985950</v>
      </c>
      <c r="F201" s="86">
        <f>VLOOKUP($A201,'Data shares'!$C:$FA,76)</f>
        <v>2124250</v>
      </c>
      <c r="G201" s="87">
        <f>VLOOKUP(A201,'Data shares'!$C$2:$CA$220,77,0)</f>
        <v>3.9399999999999998E-2</v>
      </c>
      <c r="H201" s="86">
        <f>VLOOKUP($A201,'Data shares'!$C:$FA,90)</f>
        <v>30007750</v>
      </c>
      <c r="I201" s="86">
        <f>VLOOKUP($A201,'Data shares'!$C:$FA,92)</f>
        <v>1244100</v>
      </c>
      <c r="J201" s="87">
        <f>VLOOKUP($A201,'Data shares'!$C:$FA,93)</f>
        <v>4.3299999999999998E-2</v>
      </c>
      <c r="K201" s="86">
        <f>VLOOKUP($A201,'Data shares'!$C:$FA,94)</f>
        <v>20920600</v>
      </c>
      <c r="L201" s="86">
        <f>VLOOKUP($A201,'Data shares'!$C:$FA,96)</f>
        <v>1112150</v>
      </c>
      <c r="M201" s="87">
        <f>VLOOKUP($A201,'Data shares'!$C:$FA,97)</f>
        <v>5.6099999999999997E-2</v>
      </c>
      <c r="N201" s="86">
        <f>VLOOKUP($A201,'Data shares'!$C:$FA,78)</f>
        <v>53164250</v>
      </c>
      <c r="O201" s="87">
        <f>VLOOKUP($A201,'Data shares'!$C:$FA,81)</f>
        <v>2.6100000000000002E-2</v>
      </c>
    </row>
    <row r="202" spans="1:15" x14ac:dyDescent="0.25">
      <c r="A202" s="100" t="str">
        <f>'Data Vlaue (Cr)'!C197</f>
        <v>TATASTEEL</v>
      </c>
      <c r="B202" s="82">
        <f>VLOOKUP(A202,'Data shares'!$C$2:$CV$220,98,0)</f>
        <v>378735500</v>
      </c>
      <c r="C202" s="82">
        <f>VLOOKUP(A202,'Data shares'!$C$2:$CX$220,100,0)</f>
        <v>18122500</v>
      </c>
      <c r="D202" s="141">
        <f>VLOOKUP(A202,'Data shares'!$C$2:$CY$543,101,0)</f>
        <v>5.0299999999999997E-2</v>
      </c>
      <c r="E202" s="86">
        <f>VLOOKUP($A202,'Data shares'!$C:$FA,74)</f>
        <v>190619000</v>
      </c>
      <c r="F202" s="86">
        <f>VLOOKUP($A202,'Data shares'!$C:$FA,76)</f>
        <v>7419500</v>
      </c>
      <c r="G202" s="87">
        <f>VLOOKUP(A202,'Data shares'!$C$2:$CA$220,77,0)</f>
        <v>4.0500000000000001E-2</v>
      </c>
      <c r="H202" s="86">
        <f>VLOOKUP($A202,'Data shares'!$C:$FA,90)</f>
        <v>105798000</v>
      </c>
      <c r="I202" s="86">
        <f>VLOOKUP($A202,'Data shares'!$C:$FA,92)</f>
        <v>4306500</v>
      </c>
      <c r="J202" s="87">
        <f>VLOOKUP($A202,'Data shares'!$C:$FA,93)</f>
        <v>4.24E-2</v>
      </c>
      <c r="K202" s="86">
        <f>VLOOKUP($A202,'Data shares'!$C:$FA,94)</f>
        <v>82318500</v>
      </c>
      <c r="L202" s="86">
        <f>VLOOKUP($A202,'Data shares'!$C:$FA,96)</f>
        <v>6396500</v>
      </c>
      <c r="M202" s="87">
        <f>VLOOKUP($A202,'Data shares'!$C:$FA,97)</f>
        <v>8.43E-2</v>
      </c>
      <c r="N202" s="86">
        <f>VLOOKUP($A202,'Data shares'!$C:$FA,78)</f>
        <v>169746500</v>
      </c>
      <c r="O202" s="87">
        <f>VLOOKUP($A202,'Data shares'!$C:$FA,81)</f>
        <v>2.4199999999999999E-2</v>
      </c>
    </row>
    <row r="203" spans="1:15" x14ac:dyDescent="0.25">
      <c r="A203" s="100" t="str">
        <f>'Data Vlaue (Cr)'!C198</f>
        <v>TATATECH</v>
      </c>
      <c r="B203" s="82">
        <f>VLOOKUP(A203,'Data shares'!$C$2:$CV$220,98,0)</f>
        <v>10568000</v>
      </c>
      <c r="C203" s="82">
        <f>VLOOKUP(A203,'Data shares'!$C$2:$CX$220,100,0)</f>
        <v>-303200</v>
      </c>
      <c r="D203" s="141">
        <f>VLOOKUP(A203,'Data shares'!$C$2:$CY$543,101,0)</f>
        <v>-2.7900000000000001E-2</v>
      </c>
      <c r="E203" s="86">
        <f>VLOOKUP($A203,'Data shares'!$C:$FA,74)</f>
        <v>7168000</v>
      </c>
      <c r="F203" s="86">
        <f>VLOOKUP($A203,'Data shares'!$C:$FA,76)</f>
        <v>-134400</v>
      </c>
      <c r="G203" s="87">
        <f>VLOOKUP(A203,'Data shares'!$C$2:$CA$220,77,0)</f>
        <v>-1.84E-2</v>
      </c>
      <c r="H203" s="86">
        <f>VLOOKUP($A203,'Data shares'!$C:$FA,90)</f>
        <v>1829600</v>
      </c>
      <c r="I203" s="86">
        <f>VLOOKUP($A203,'Data shares'!$C:$FA,92)</f>
        <v>-181600</v>
      </c>
      <c r="J203" s="87">
        <f>VLOOKUP($A203,'Data shares'!$C:$FA,93)</f>
        <v>-9.0300000000000005E-2</v>
      </c>
      <c r="K203" s="86">
        <f>VLOOKUP($A203,'Data shares'!$C:$FA,94)</f>
        <v>1570400</v>
      </c>
      <c r="L203" s="86">
        <f>VLOOKUP($A203,'Data shares'!$C:$FA,96)</f>
        <v>12800</v>
      </c>
      <c r="M203" s="87">
        <f>VLOOKUP($A203,'Data shares'!$C:$FA,97)</f>
        <v>8.2000000000000007E-3</v>
      </c>
      <c r="N203" s="86">
        <f>VLOOKUP($A203,'Data shares'!$C:$FA,78)</f>
        <v>7168000</v>
      </c>
      <c r="O203" s="87">
        <f>VLOOKUP($A203,'Data shares'!$C:$FA,81)</f>
        <v>-1.84E-2</v>
      </c>
    </row>
    <row r="204" spans="1:15" x14ac:dyDescent="0.25">
      <c r="A204" s="100" t="str">
        <f>'Data Vlaue (Cr)'!C199</f>
        <v>TCS</v>
      </c>
      <c r="B204" s="82">
        <f>VLOOKUP(A204,'Data shares'!$C$2:$CV$220,98,0)</f>
        <v>60107425</v>
      </c>
      <c r="C204" s="82">
        <f>VLOOKUP(A204,'Data shares'!$C$2:$CX$220,100,0)</f>
        <v>8744050</v>
      </c>
      <c r="D204" s="141">
        <f>VLOOKUP(A204,'Data shares'!$C$2:$CY$543,101,0)</f>
        <v>0.17019999999999999</v>
      </c>
      <c r="E204" s="86">
        <f>VLOOKUP($A204,'Data shares'!$C:$FA,74)</f>
        <v>31869250</v>
      </c>
      <c r="F204" s="86">
        <f>VLOOKUP($A204,'Data shares'!$C:$FA,76)</f>
        <v>-533575</v>
      </c>
      <c r="G204" s="87">
        <f>VLOOKUP(A204,'Data shares'!$C$2:$CA$220,77,0)</f>
        <v>-1.6500000000000001E-2</v>
      </c>
      <c r="H204" s="86">
        <f>VLOOKUP($A204,'Data shares'!$C:$FA,90)</f>
        <v>16373700</v>
      </c>
      <c r="I204" s="86">
        <f>VLOOKUP($A204,'Data shares'!$C:$FA,92)</f>
        <v>6586475</v>
      </c>
      <c r="J204" s="87">
        <f>VLOOKUP($A204,'Data shares'!$C:$FA,93)</f>
        <v>0.67300000000000004</v>
      </c>
      <c r="K204" s="86">
        <f>VLOOKUP($A204,'Data shares'!$C:$FA,94)</f>
        <v>11864475</v>
      </c>
      <c r="L204" s="86">
        <f>VLOOKUP($A204,'Data shares'!$C:$FA,96)</f>
        <v>2691150</v>
      </c>
      <c r="M204" s="87">
        <f>VLOOKUP($A204,'Data shares'!$C:$FA,97)</f>
        <v>0.29339999999999999</v>
      </c>
      <c r="N204" s="86">
        <f>VLOOKUP($A204,'Data shares'!$C:$FA,78)</f>
        <v>29806700</v>
      </c>
      <c r="O204" s="87">
        <f>VLOOKUP($A204,'Data shares'!$C:$FA,81)</f>
        <v>-2.0299999999999999E-2</v>
      </c>
    </row>
    <row r="205" spans="1:15" x14ac:dyDescent="0.25">
      <c r="A205" s="100" t="str">
        <f>'Data Vlaue (Cr)'!C200</f>
        <v>TECHM</v>
      </c>
      <c r="B205" s="82">
        <f>VLOOKUP(A205,'Data shares'!$C$2:$CV$220,98,0)</f>
        <v>27400800</v>
      </c>
      <c r="C205" s="82">
        <f>VLOOKUP(A205,'Data shares'!$C$2:$CX$220,100,0)</f>
        <v>-445800</v>
      </c>
      <c r="D205" s="141">
        <f>VLOOKUP(A205,'Data shares'!$C$2:$CY$543,101,0)</f>
        <v>-1.6E-2</v>
      </c>
      <c r="E205" s="86">
        <f>VLOOKUP($A205,'Data shares'!$C:$FA,74)</f>
        <v>18630600</v>
      </c>
      <c r="F205" s="86">
        <f>VLOOKUP($A205,'Data shares'!$C:$FA,76)</f>
        <v>-496800</v>
      </c>
      <c r="G205" s="87">
        <f>VLOOKUP(A205,'Data shares'!$C$2:$CA$220,77,0)</f>
        <v>-2.5999999999999999E-2</v>
      </c>
      <c r="H205" s="86">
        <f>VLOOKUP($A205,'Data shares'!$C:$FA,90)</f>
        <v>4905600</v>
      </c>
      <c r="I205" s="86">
        <f>VLOOKUP($A205,'Data shares'!$C:$FA,92)</f>
        <v>98400</v>
      </c>
      <c r="J205" s="87">
        <f>VLOOKUP($A205,'Data shares'!$C:$FA,93)</f>
        <v>2.0500000000000001E-2</v>
      </c>
      <c r="K205" s="86">
        <f>VLOOKUP($A205,'Data shares'!$C:$FA,94)</f>
        <v>3864600</v>
      </c>
      <c r="L205" s="86">
        <f>VLOOKUP($A205,'Data shares'!$C:$FA,96)</f>
        <v>-47400</v>
      </c>
      <c r="M205" s="87">
        <f>VLOOKUP($A205,'Data shares'!$C:$FA,97)</f>
        <v>-1.21E-2</v>
      </c>
      <c r="N205" s="86">
        <f>VLOOKUP($A205,'Data shares'!$C:$FA,78)</f>
        <v>18244800</v>
      </c>
      <c r="O205" s="87">
        <f>VLOOKUP($A205,'Data shares'!$C:$FA,81)</f>
        <v>-2.7099999999999999E-2</v>
      </c>
    </row>
    <row r="206" spans="1:15" x14ac:dyDescent="0.25">
      <c r="A206" s="100" t="str">
        <f>'Data Vlaue (Cr)'!C201</f>
        <v>TIINDIA</v>
      </c>
      <c r="B206" s="82">
        <f>VLOOKUP(A206,'Data shares'!$C$2:$CV$220,98,0)</f>
        <v>3072000</v>
      </c>
      <c r="C206" s="82">
        <f>VLOOKUP(A206,'Data shares'!$C$2:$CX$220,100,0)</f>
        <v>67600</v>
      </c>
      <c r="D206" s="141">
        <f>VLOOKUP(A206,'Data shares'!$C$2:$CY$543,101,0)</f>
        <v>2.2499999999999999E-2</v>
      </c>
      <c r="E206" s="86">
        <f>VLOOKUP($A206,'Data shares'!$C:$FA,74)</f>
        <v>2530000</v>
      </c>
      <c r="F206" s="86">
        <f>VLOOKUP($A206,'Data shares'!$C:$FA,76)</f>
        <v>62800</v>
      </c>
      <c r="G206" s="87">
        <f>VLOOKUP(A206,'Data shares'!$C$2:$CA$220,77,0)</f>
        <v>2.5499999999999998E-2</v>
      </c>
      <c r="H206" s="86">
        <f>VLOOKUP($A206,'Data shares'!$C:$FA,90)</f>
        <v>350400</v>
      </c>
      <c r="I206" s="86">
        <f>VLOOKUP($A206,'Data shares'!$C:$FA,92)</f>
        <v>1600</v>
      </c>
      <c r="J206" s="87">
        <f>VLOOKUP($A206,'Data shares'!$C:$FA,93)</f>
        <v>4.5999999999999999E-3</v>
      </c>
      <c r="K206" s="86">
        <f>VLOOKUP($A206,'Data shares'!$C:$FA,94)</f>
        <v>191600</v>
      </c>
      <c r="L206" s="86">
        <f>VLOOKUP($A206,'Data shares'!$C:$FA,96)</f>
        <v>3200</v>
      </c>
      <c r="M206" s="87">
        <f>VLOOKUP($A206,'Data shares'!$C:$FA,97)</f>
        <v>1.7000000000000001E-2</v>
      </c>
      <c r="N206" s="86">
        <f>VLOOKUP($A206,'Data shares'!$C:$FA,78)</f>
        <v>2506400</v>
      </c>
      <c r="O206" s="87">
        <f>VLOOKUP($A206,'Data shares'!$C:$FA,81)</f>
        <v>2.5399999999999999E-2</v>
      </c>
    </row>
    <row r="207" spans="1:15" x14ac:dyDescent="0.25">
      <c r="A207" s="100" t="str">
        <f>'Data Vlaue (Cr)'!C202</f>
        <v>TITAN</v>
      </c>
      <c r="B207" s="82">
        <f>VLOOKUP(A207,'Data shares'!$C$2:$CV$220,98,0)</f>
        <v>15528625</v>
      </c>
      <c r="C207" s="82">
        <f>VLOOKUP(A207,'Data shares'!$C$2:$CX$220,100,0)</f>
        <v>-166600</v>
      </c>
      <c r="D207" s="141">
        <f>VLOOKUP(A207,'Data shares'!$C$2:$CY$543,101,0)</f>
        <v>-1.06E-2</v>
      </c>
      <c r="E207" s="86">
        <f>VLOOKUP($A207,'Data shares'!$C:$FA,74)</f>
        <v>9811375</v>
      </c>
      <c r="F207" s="86">
        <f>VLOOKUP($A207,'Data shares'!$C:$FA,76)</f>
        <v>-28875</v>
      </c>
      <c r="G207" s="87">
        <f>VLOOKUP(A207,'Data shares'!$C$2:$CA$220,77,0)</f>
        <v>-2.8999999999999998E-3</v>
      </c>
      <c r="H207" s="86">
        <f>VLOOKUP($A207,'Data shares'!$C:$FA,90)</f>
        <v>3281600</v>
      </c>
      <c r="I207" s="86">
        <f>VLOOKUP($A207,'Data shares'!$C:$FA,92)</f>
        <v>-3500</v>
      </c>
      <c r="J207" s="87">
        <f>VLOOKUP($A207,'Data shares'!$C:$FA,93)</f>
        <v>-1.1000000000000001E-3</v>
      </c>
      <c r="K207" s="86">
        <f>VLOOKUP($A207,'Data shares'!$C:$FA,94)</f>
        <v>2435650</v>
      </c>
      <c r="L207" s="86">
        <f>VLOOKUP($A207,'Data shares'!$C:$FA,96)</f>
        <v>-134225</v>
      </c>
      <c r="M207" s="87">
        <f>VLOOKUP($A207,'Data shares'!$C:$FA,97)</f>
        <v>-5.2200000000000003E-2</v>
      </c>
      <c r="N207" s="86">
        <f>VLOOKUP($A207,'Data shares'!$C:$FA,78)</f>
        <v>9430575</v>
      </c>
      <c r="O207" s="87">
        <f>VLOOKUP($A207,'Data shares'!$C:$FA,81)</f>
        <v>-5.5999999999999999E-3</v>
      </c>
    </row>
    <row r="208" spans="1:15" x14ac:dyDescent="0.25">
      <c r="A208" s="100" t="str">
        <f>'Data Vlaue (Cr)'!C203</f>
        <v>TMPV</v>
      </c>
      <c r="B208" s="82">
        <f>VLOOKUP(A208,'Data shares'!$C$2:$CV$220,98,0)</f>
        <v>108948000</v>
      </c>
      <c r="C208" s="82">
        <f>VLOOKUP(A208,'Data shares'!$C$2:$CX$220,100,0)</f>
        <v>2090400</v>
      </c>
      <c r="D208" s="141">
        <f>VLOOKUP(A208,'Data shares'!$C$2:$CY$543,101,0)</f>
        <v>1.9599999999999999E-2</v>
      </c>
      <c r="E208" s="86">
        <f>VLOOKUP($A208,'Data shares'!$C:$FA,74)</f>
        <v>59316000</v>
      </c>
      <c r="F208" s="86">
        <f>VLOOKUP($A208,'Data shares'!$C:$FA,76)</f>
        <v>-296000</v>
      </c>
      <c r="G208" s="87">
        <f>VLOOKUP(A208,'Data shares'!$C$2:$CA$220,77,0)</f>
        <v>-5.0000000000000001E-3</v>
      </c>
      <c r="H208" s="86">
        <f>VLOOKUP($A208,'Data shares'!$C:$FA,90)</f>
        <v>27486400</v>
      </c>
      <c r="I208" s="86">
        <f>VLOOKUP($A208,'Data shares'!$C:$FA,92)</f>
        <v>2544000</v>
      </c>
      <c r="J208" s="87">
        <f>VLOOKUP($A208,'Data shares'!$C:$FA,93)</f>
        <v>0.10199999999999999</v>
      </c>
      <c r="K208" s="86">
        <f>VLOOKUP($A208,'Data shares'!$C:$FA,94)</f>
        <v>22145600</v>
      </c>
      <c r="L208" s="86">
        <f>VLOOKUP($A208,'Data shares'!$C:$FA,96)</f>
        <v>-157600</v>
      </c>
      <c r="M208" s="87">
        <f>VLOOKUP($A208,'Data shares'!$C:$FA,97)</f>
        <v>-7.1000000000000004E-3</v>
      </c>
      <c r="N208" s="86">
        <f>VLOOKUP($A208,'Data shares'!$C:$FA,78)</f>
        <v>54549600</v>
      </c>
      <c r="O208" s="87">
        <f>VLOOKUP($A208,'Data shares'!$C:$FA,81)</f>
        <v>-1.0699999999999999E-2</v>
      </c>
    </row>
    <row r="209" spans="1:15" x14ac:dyDescent="0.25">
      <c r="A209" s="100" t="str">
        <f>'Data Vlaue (Cr)'!C204</f>
        <v>TORNTPHARM</v>
      </c>
      <c r="B209" s="82">
        <f>VLOOKUP(A209,'Data shares'!$C$2:$CV$220,98,0)</f>
        <v>4262000</v>
      </c>
      <c r="C209" s="82">
        <f>VLOOKUP(A209,'Data shares'!$C$2:$CX$220,100,0)</f>
        <v>133750</v>
      </c>
      <c r="D209" s="141">
        <f>VLOOKUP(A209,'Data shares'!$C$2:$CY$543,101,0)</f>
        <v>3.2399999999999998E-2</v>
      </c>
      <c r="E209" s="86">
        <f>VLOOKUP($A209,'Data shares'!$C:$FA,74)</f>
        <v>3196750</v>
      </c>
      <c r="F209" s="86">
        <f>VLOOKUP($A209,'Data shares'!$C:$FA,76)</f>
        <v>54500</v>
      </c>
      <c r="G209" s="87">
        <f>VLOOKUP(A209,'Data shares'!$C$2:$CA$220,77,0)</f>
        <v>1.7299999999999999E-2</v>
      </c>
      <c r="H209" s="86">
        <f>VLOOKUP($A209,'Data shares'!$C:$FA,90)</f>
        <v>634250</v>
      </c>
      <c r="I209" s="86">
        <f>VLOOKUP($A209,'Data shares'!$C:$FA,92)</f>
        <v>94000</v>
      </c>
      <c r="J209" s="87">
        <f>VLOOKUP($A209,'Data shares'!$C:$FA,93)</f>
        <v>0.17399999999999999</v>
      </c>
      <c r="K209" s="86">
        <f>VLOOKUP($A209,'Data shares'!$C:$FA,94)</f>
        <v>431000</v>
      </c>
      <c r="L209" s="86">
        <f>VLOOKUP($A209,'Data shares'!$C:$FA,96)</f>
        <v>-14750</v>
      </c>
      <c r="M209" s="87">
        <f>VLOOKUP($A209,'Data shares'!$C:$FA,97)</f>
        <v>-3.3099999999999997E-2</v>
      </c>
      <c r="N209" s="86">
        <f>VLOOKUP($A209,'Data shares'!$C:$FA,78)</f>
        <v>3181250</v>
      </c>
      <c r="O209" s="87">
        <f>VLOOKUP($A209,'Data shares'!$C:$FA,81)</f>
        <v>1.7500000000000002E-2</v>
      </c>
    </row>
    <row r="210" spans="1:15" x14ac:dyDescent="0.25">
      <c r="A210" s="100" t="str">
        <f>'Data Vlaue (Cr)'!C205</f>
        <v>TORNTPOWER</v>
      </c>
      <c r="B210" s="82">
        <f>VLOOKUP(A210,'Data shares'!$C$2:$CV$220,98,0)</f>
        <v>4855200</v>
      </c>
      <c r="C210" s="82">
        <f>VLOOKUP(A210,'Data shares'!$C$2:$CX$220,100,0)</f>
        <v>169575</v>
      </c>
      <c r="D210" s="141">
        <f>VLOOKUP(A210,'Data shares'!$C$2:$CY$543,101,0)</f>
        <v>3.6200000000000003E-2</v>
      </c>
      <c r="E210" s="86">
        <f>VLOOKUP($A210,'Data shares'!$C:$FA,74)</f>
        <v>3517300</v>
      </c>
      <c r="F210" s="86">
        <f>VLOOKUP($A210,'Data shares'!$C:$FA,76)</f>
        <v>87975</v>
      </c>
      <c r="G210" s="87">
        <f>VLOOKUP(A210,'Data shares'!$C$2:$CA$220,77,0)</f>
        <v>2.5700000000000001E-2</v>
      </c>
      <c r="H210" s="86">
        <f>VLOOKUP($A210,'Data shares'!$C:$FA,90)</f>
        <v>699550</v>
      </c>
      <c r="I210" s="86">
        <f>VLOOKUP($A210,'Data shares'!$C:$FA,92)</f>
        <v>54400</v>
      </c>
      <c r="J210" s="87">
        <f>VLOOKUP($A210,'Data shares'!$C:$FA,93)</f>
        <v>8.43E-2</v>
      </c>
      <c r="K210" s="86">
        <f>VLOOKUP($A210,'Data shares'!$C:$FA,94)</f>
        <v>638350</v>
      </c>
      <c r="L210" s="86">
        <f>VLOOKUP($A210,'Data shares'!$C:$FA,96)</f>
        <v>27200</v>
      </c>
      <c r="M210" s="87">
        <f>VLOOKUP($A210,'Data shares'!$C:$FA,97)</f>
        <v>4.4499999999999998E-2</v>
      </c>
      <c r="N210" s="86">
        <f>VLOOKUP($A210,'Data shares'!$C:$FA,78)</f>
        <v>3517300</v>
      </c>
      <c r="O210" s="87">
        <f>VLOOKUP($A210,'Data shares'!$C:$FA,81)</f>
        <v>2.5700000000000001E-2</v>
      </c>
    </row>
    <row r="211" spans="1:15" x14ac:dyDescent="0.25">
      <c r="A211" s="100" t="str">
        <f>'Data Vlaue (Cr)'!C206</f>
        <v>TRENT</v>
      </c>
      <c r="B211" s="82">
        <f>VLOOKUP(A211,'Data shares'!$C$2:$CV$220,98,0)</f>
        <v>12374300</v>
      </c>
      <c r="C211" s="82">
        <f>VLOOKUP(A211,'Data shares'!$C$2:$CX$220,100,0)</f>
        <v>468900</v>
      </c>
      <c r="D211" s="141">
        <f>VLOOKUP(A211,'Data shares'!$C$2:$CY$543,101,0)</f>
        <v>3.9399999999999998E-2</v>
      </c>
      <c r="E211" s="86">
        <f>VLOOKUP($A211,'Data shares'!$C:$FA,74)</f>
        <v>7835400</v>
      </c>
      <c r="F211" s="86">
        <f>VLOOKUP($A211,'Data shares'!$C:$FA,76)</f>
        <v>208500</v>
      </c>
      <c r="G211" s="87">
        <f>VLOOKUP(A211,'Data shares'!$C$2:$CA$220,77,0)</f>
        <v>2.7300000000000001E-2</v>
      </c>
      <c r="H211" s="86">
        <f>VLOOKUP($A211,'Data shares'!$C:$FA,90)</f>
        <v>2397400</v>
      </c>
      <c r="I211" s="86">
        <f>VLOOKUP($A211,'Data shares'!$C:$FA,92)</f>
        <v>119700</v>
      </c>
      <c r="J211" s="87">
        <f>VLOOKUP($A211,'Data shares'!$C:$FA,93)</f>
        <v>5.2600000000000001E-2</v>
      </c>
      <c r="K211" s="86">
        <f>VLOOKUP($A211,'Data shares'!$C:$FA,94)</f>
        <v>2141500</v>
      </c>
      <c r="L211" s="86">
        <f>VLOOKUP($A211,'Data shares'!$C:$FA,96)</f>
        <v>140700</v>
      </c>
      <c r="M211" s="87">
        <f>VLOOKUP($A211,'Data shares'!$C:$FA,97)</f>
        <v>7.0300000000000001E-2</v>
      </c>
      <c r="N211" s="86">
        <f>VLOOKUP($A211,'Data shares'!$C:$FA,78)</f>
        <v>7014600</v>
      </c>
      <c r="O211" s="87">
        <f>VLOOKUP($A211,'Data shares'!$C:$FA,81)</f>
        <v>2.0500000000000001E-2</v>
      </c>
    </row>
    <row r="212" spans="1:15" x14ac:dyDescent="0.25">
      <c r="A212" s="100" t="str">
        <f>'Data Vlaue (Cr)'!C207</f>
        <v>TVSMOTOR</v>
      </c>
      <c r="B212" s="82">
        <f>VLOOKUP(A212,'Data shares'!$C$2:$CV$220,98,0)</f>
        <v>10592225</v>
      </c>
      <c r="C212" s="82">
        <f>VLOOKUP(A212,'Data shares'!$C$2:$CX$220,100,0)</f>
        <v>205625</v>
      </c>
      <c r="D212" s="141">
        <f>VLOOKUP(A212,'Data shares'!$C$2:$CY$543,101,0)</f>
        <v>1.9800000000000002E-2</v>
      </c>
      <c r="E212" s="86">
        <f>VLOOKUP($A212,'Data shares'!$C:$FA,74)</f>
        <v>8487500</v>
      </c>
      <c r="F212" s="86">
        <f>VLOOKUP($A212,'Data shares'!$C:$FA,76)</f>
        <v>54075</v>
      </c>
      <c r="G212" s="87">
        <f>VLOOKUP(A212,'Data shares'!$C$2:$CA$220,77,0)</f>
        <v>6.4000000000000003E-3</v>
      </c>
      <c r="H212" s="86">
        <f>VLOOKUP($A212,'Data shares'!$C:$FA,90)</f>
        <v>1191225</v>
      </c>
      <c r="I212" s="86">
        <f>VLOOKUP($A212,'Data shares'!$C:$FA,92)</f>
        <v>85925</v>
      </c>
      <c r="J212" s="87">
        <f>VLOOKUP($A212,'Data shares'!$C:$FA,93)</f>
        <v>7.7700000000000005E-2</v>
      </c>
      <c r="K212" s="86">
        <f>VLOOKUP($A212,'Data shares'!$C:$FA,94)</f>
        <v>913500</v>
      </c>
      <c r="L212" s="86">
        <f>VLOOKUP($A212,'Data shares'!$C:$FA,96)</f>
        <v>65625</v>
      </c>
      <c r="M212" s="87">
        <f>VLOOKUP($A212,'Data shares'!$C:$FA,97)</f>
        <v>7.7399999999999997E-2</v>
      </c>
      <c r="N212" s="86">
        <f>VLOOKUP($A212,'Data shares'!$C:$FA,78)</f>
        <v>8347675</v>
      </c>
      <c r="O212" s="87">
        <f>VLOOKUP($A212,'Data shares'!$C:$FA,81)</f>
        <v>3.0999999999999999E-3</v>
      </c>
    </row>
    <row r="213" spans="1:15" x14ac:dyDescent="0.25">
      <c r="A213" s="100" t="str">
        <f>'Data Vlaue (Cr)'!C208</f>
        <v>ULTRACEMCO</v>
      </c>
      <c r="B213" s="82">
        <f>VLOOKUP(A213,'Data shares'!$C$2:$CV$220,98,0)</f>
        <v>3258950</v>
      </c>
      <c r="C213" s="82">
        <f>VLOOKUP(A213,'Data shares'!$C$2:$CX$220,100,0)</f>
        <v>80600</v>
      </c>
      <c r="D213" s="141">
        <f>VLOOKUP(A213,'Data shares'!$C$2:$CY$543,101,0)</f>
        <v>2.5399999999999999E-2</v>
      </c>
      <c r="E213" s="86">
        <f>VLOOKUP($A213,'Data shares'!$C:$FA,74)</f>
        <v>2476150</v>
      </c>
      <c r="F213" s="86">
        <f>VLOOKUP($A213,'Data shares'!$C:$FA,76)</f>
        <v>44450</v>
      </c>
      <c r="G213" s="87">
        <f>VLOOKUP(A213,'Data shares'!$C$2:$CA$220,77,0)</f>
        <v>1.83E-2</v>
      </c>
      <c r="H213" s="86">
        <f>VLOOKUP($A213,'Data shares'!$C:$FA,90)</f>
        <v>451350</v>
      </c>
      <c r="I213" s="86">
        <f>VLOOKUP($A213,'Data shares'!$C:$FA,92)</f>
        <v>33600</v>
      </c>
      <c r="J213" s="87">
        <f>VLOOKUP($A213,'Data shares'!$C:$FA,93)</f>
        <v>8.0399999999999999E-2</v>
      </c>
      <c r="K213" s="86">
        <f>VLOOKUP($A213,'Data shares'!$C:$FA,94)</f>
        <v>331450</v>
      </c>
      <c r="L213" s="86">
        <f>VLOOKUP($A213,'Data shares'!$C:$FA,96)</f>
        <v>2550</v>
      </c>
      <c r="M213" s="87">
        <f>VLOOKUP($A213,'Data shares'!$C:$FA,97)</f>
        <v>7.7999999999999996E-3</v>
      </c>
      <c r="N213" s="86">
        <f>VLOOKUP($A213,'Data shares'!$C:$FA,78)</f>
        <v>2199150</v>
      </c>
      <c r="O213" s="87">
        <f>VLOOKUP($A213,'Data shares'!$C:$FA,81)</f>
        <v>1.9099999999999999E-2</v>
      </c>
    </row>
    <row r="214" spans="1:15" x14ac:dyDescent="0.25">
      <c r="A214" s="100" t="str">
        <f>'Data Vlaue (Cr)'!C209</f>
        <v>UNIONBANK</v>
      </c>
      <c r="B214" s="82">
        <f>VLOOKUP(A214,'Data shares'!$C$2:$CV$220,98,0)</f>
        <v>145980750</v>
      </c>
      <c r="C214" s="82">
        <f>VLOOKUP(A214,'Data shares'!$C$2:$CX$220,100,0)</f>
        <v>7252575</v>
      </c>
      <c r="D214" s="141">
        <f>VLOOKUP(A214,'Data shares'!$C$2:$CY$543,101,0)</f>
        <v>5.2299999999999999E-2</v>
      </c>
      <c r="E214" s="86">
        <f>VLOOKUP($A214,'Data shares'!$C:$FA,74)</f>
        <v>98580150</v>
      </c>
      <c r="F214" s="86">
        <f>VLOOKUP($A214,'Data shares'!$C:$FA,76)</f>
        <v>4579875</v>
      </c>
      <c r="G214" s="87">
        <f>VLOOKUP(A214,'Data shares'!$C$2:$CA$220,77,0)</f>
        <v>4.87E-2</v>
      </c>
      <c r="H214" s="86">
        <f>VLOOKUP($A214,'Data shares'!$C:$FA,90)</f>
        <v>26010150</v>
      </c>
      <c r="I214" s="86">
        <f>VLOOKUP($A214,'Data shares'!$C:$FA,92)</f>
        <v>2070900</v>
      </c>
      <c r="J214" s="87">
        <f>VLOOKUP($A214,'Data shares'!$C:$FA,93)</f>
        <v>8.6499999999999994E-2</v>
      </c>
      <c r="K214" s="86">
        <f>VLOOKUP($A214,'Data shares'!$C:$FA,94)</f>
        <v>21390450</v>
      </c>
      <c r="L214" s="86">
        <f>VLOOKUP($A214,'Data shares'!$C:$FA,96)</f>
        <v>601800</v>
      </c>
      <c r="M214" s="87">
        <f>VLOOKUP($A214,'Data shares'!$C:$FA,97)</f>
        <v>2.8899999999999999E-2</v>
      </c>
      <c r="N214" s="86">
        <f>VLOOKUP($A214,'Data shares'!$C:$FA,78)</f>
        <v>95066700</v>
      </c>
      <c r="O214" s="87">
        <f>VLOOKUP($A214,'Data shares'!$C:$FA,81)</f>
        <v>4.4400000000000002E-2</v>
      </c>
    </row>
    <row r="215" spans="1:15" x14ac:dyDescent="0.25">
      <c r="A215" s="100" t="str">
        <f>'Data Vlaue (Cr)'!C210</f>
        <v>UNITDSPR</v>
      </c>
      <c r="B215" s="82">
        <f>VLOOKUP(A215,'Data shares'!$C$2:$CV$220,98,0)</f>
        <v>18650000</v>
      </c>
      <c r="C215" s="82">
        <f>VLOOKUP(A215,'Data shares'!$C$2:$CX$220,100,0)</f>
        <v>649600</v>
      </c>
      <c r="D215" s="141">
        <f>VLOOKUP(A215,'Data shares'!$C$2:$CY$543,101,0)</f>
        <v>3.61E-2</v>
      </c>
      <c r="E215" s="86">
        <f>VLOOKUP($A215,'Data shares'!$C:$FA,74)</f>
        <v>12819600</v>
      </c>
      <c r="F215" s="86">
        <f>VLOOKUP($A215,'Data shares'!$C:$FA,76)</f>
        <v>292400</v>
      </c>
      <c r="G215" s="87">
        <f>VLOOKUP(A215,'Data shares'!$C$2:$CA$220,77,0)</f>
        <v>2.3300000000000001E-2</v>
      </c>
      <c r="H215" s="86">
        <f>VLOOKUP($A215,'Data shares'!$C:$FA,90)</f>
        <v>3627600</v>
      </c>
      <c r="I215" s="86">
        <f>VLOOKUP($A215,'Data shares'!$C:$FA,92)</f>
        <v>312800</v>
      </c>
      <c r="J215" s="87">
        <f>VLOOKUP($A215,'Data shares'!$C:$FA,93)</f>
        <v>9.4399999999999998E-2</v>
      </c>
      <c r="K215" s="86">
        <f>VLOOKUP($A215,'Data shares'!$C:$FA,94)</f>
        <v>2202800</v>
      </c>
      <c r="L215" s="86">
        <f>VLOOKUP($A215,'Data shares'!$C:$FA,96)</f>
        <v>44400</v>
      </c>
      <c r="M215" s="87">
        <f>VLOOKUP($A215,'Data shares'!$C:$FA,97)</f>
        <v>2.06E-2</v>
      </c>
      <c r="N215" s="86">
        <f>VLOOKUP($A215,'Data shares'!$C:$FA,78)</f>
        <v>12581600</v>
      </c>
      <c r="O215" s="87">
        <f>VLOOKUP($A215,'Data shares'!$C:$FA,81)</f>
        <v>2.1700000000000001E-2</v>
      </c>
    </row>
    <row r="216" spans="1:15" s="89" customFormat="1" ht="16.5" customHeight="1" x14ac:dyDescent="0.2">
      <c r="A216" s="100" t="str">
        <f>'Data Vlaue (Cr)'!C211</f>
        <v>UNOMINDA</v>
      </c>
      <c r="B216" s="82">
        <f>VLOOKUP(A216,'Data shares'!$C$2:$CV$220,98,0)</f>
        <v>6881600</v>
      </c>
      <c r="C216" s="82">
        <f>VLOOKUP(A216,'Data shares'!$C$2:$CX$220,100,0)</f>
        <v>200750</v>
      </c>
      <c r="D216" s="141">
        <f>VLOOKUP(A216,'Data shares'!$C$2:$CY$543,101,0)</f>
        <v>0.03</v>
      </c>
      <c r="E216" s="86">
        <f>VLOOKUP($A216,'Data shares'!$C:$FA,74)</f>
        <v>4982450</v>
      </c>
      <c r="F216" s="86">
        <f>VLOOKUP($A216,'Data shares'!$C:$FA,76)</f>
        <v>-123750</v>
      </c>
      <c r="G216" s="87">
        <f>VLOOKUP(A216,'Data shares'!$C$2:$CA$220,77,0)</f>
        <v>-2.4199999999999999E-2</v>
      </c>
      <c r="H216" s="86">
        <f>VLOOKUP($A216,'Data shares'!$C:$FA,90)</f>
        <v>1263900</v>
      </c>
      <c r="I216" s="86">
        <f>VLOOKUP($A216,'Data shares'!$C:$FA,92)</f>
        <v>211200</v>
      </c>
      <c r="J216" s="87">
        <f>VLOOKUP($A216,'Data shares'!$C:$FA,93)</f>
        <v>0.2006</v>
      </c>
      <c r="K216" s="86">
        <f>VLOOKUP($A216,'Data shares'!$C:$FA,94)</f>
        <v>635250</v>
      </c>
      <c r="L216" s="86">
        <f>VLOOKUP($A216,'Data shares'!$C:$FA,96)</f>
        <v>113300</v>
      </c>
      <c r="M216" s="87">
        <f>VLOOKUP($A216,'Data shares'!$C:$FA,97)</f>
        <v>0.21709999999999999</v>
      </c>
      <c r="N216" s="86">
        <f>VLOOKUP($A216,'Data shares'!$C:$FA,78)</f>
        <v>4931850</v>
      </c>
      <c r="O216" s="87">
        <f>VLOOKUP($A216,'Data shares'!$C:$FA,81)</f>
        <v>-2.64E-2</v>
      </c>
    </row>
    <row r="217" spans="1:15" s="89" customFormat="1" ht="16.5" customHeight="1" x14ac:dyDescent="0.2">
      <c r="A217" s="100" t="str">
        <f>'Data Vlaue (Cr)'!C220</f>
        <v>ZYDUSLIFE</v>
      </c>
      <c r="B217" s="82">
        <f>VLOOKUP(A217,'Data shares'!$C$2:$CV$220,98,0)</f>
        <v>13689900</v>
      </c>
      <c r="C217" s="82">
        <f>VLOOKUP(A217,'Data shares'!$C$2:$CX$220,100,0)</f>
        <v>186300</v>
      </c>
      <c r="D217" s="141">
        <f>VLOOKUP(A217,'Data shares'!$C$2:$CY$543,101,0)</f>
        <v>1.38E-2</v>
      </c>
      <c r="E217" s="86">
        <f>VLOOKUP($A217,'Data shares'!$C:$FA,74)</f>
        <v>9027900</v>
      </c>
      <c r="F217" s="86">
        <f>VLOOKUP($A217,'Data shares'!$C:$FA,76)</f>
        <v>-162900</v>
      </c>
      <c r="G217" s="87">
        <f>VLOOKUP(A217,'Data shares'!$C$2:$CA$220,77,0)</f>
        <v>-1.77E-2</v>
      </c>
      <c r="H217" s="86">
        <f>VLOOKUP($A217,'Data shares'!$C:$FA,90)</f>
        <v>2614500</v>
      </c>
      <c r="I217" s="86">
        <f>VLOOKUP($A217,'Data shares'!$C:$FA,92)</f>
        <v>300600</v>
      </c>
      <c r="J217" s="87">
        <f>VLOOKUP($A217,'Data shares'!$C:$FA,93)</f>
        <v>0.12989999999999999</v>
      </c>
      <c r="K217" s="86">
        <f>VLOOKUP($A217,'Data shares'!$C:$FA,94)</f>
        <v>2047500</v>
      </c>
      <c r="L217" s="86">
        <f>VLOOKUP($A217,'Data shares'!$C:$FA,96)</f>
        <v>48600</v>
      </c>
      <c r="M217" s="87">
        <f>VLOOKUP($A217,'Data shares'!$C:$FA,97)</f>
        <v>2.4299999999999999E-2</v>
      </c>
      <c r="N217" s="86">
        <f>VLOOKUP($A217,'Data shares'!$C:$FA,78)</f>
        <v>8875800</v>
      </c>
      <c r="O217" s="87">
        <f>VLOOKUP($A217,'Data shares'!$C:$FA,81)</f>
        <v>-1.8800000000000001E-2</v>
      </c>
    </row>
    <row r="218" spans="1:15" x14ac:dyDescent="0.25">
      <c r="A218" s="100"/>
      <c r="B218" s="82"/>
      <c r="C218" s="82"/>
      <c r="D218" s="141"/>
      <c r="E218" s="86"/>
      <c r="F218" s="86"/>
      <c r="G218" s="87"/>
      <c r="H218" s="86"/>
      <c r="I218" s="86"/>
      <c r="J218" s="87"/>
      <c r="K218" s="86"/>
      <c r="L218" s="86"/>
      <c r="M218" s="87"/>
      <c r="N218" s="86"/>
      <c r="O218" s="87"/>
    </row>
    <row r="219" spans="1:15" x14ac:dyDescent="0.25">
      <c r="A219" s="100"/>
      <c r="B219" s="82"/>
      <c r="C219" s="82"/>
      <c r="D219" s="141"/>
      <c r="E219" s="86"/>
      <c r="F219" s="86"/>
      <c r="G219" s="87"/>
      <c r="H219" s="86"/>
      <c r="I219" s="86"/>
      <c r="J219" s="87"/>
      <c r="K219" s="86"/>
      <c r="L219" s="86"/>
      <c r="M219" s="87"/>
      <c r="N219" s="86"/>
      <c r="O219" s="87"/>
    </row>
    <row r="220" spans="1:15" x14ac:dyDescent="0.25">
      <c r="A220" s="100"/>
      <c r="B220" s="82"/>
      <c r="C220" s="82"/>
      <c r="D220" s="141"/>
      <c r="E220" s="86"/>
      <c r="F220" s="86"/>
      <c r="G220" s="87"/>
      <c r="H220" s="86"/>
      <c r="I220" s="86"/>
      <c r="J220" s="87"/>
      <c r="K220" s="86"/>
      <c r="L220" s="86"/>
      <c r="M220" s="87"/>
      <c r="N220" s="86"/>
      <c r="O220" s="87"/>
    </row>
    <row r="221" spans="1:15" x14ac:dyDescent="0.25">
      <c r="A221" s="100"/>
      <c r="B221" s="82"/>
      <c r="C221" s="82"/>
      <c r="D221" s="141"/>
      <c r="E221" s="86"/>
      <c r="F221" s="86"/>
      <c r="G221" s="87"/>
      <c r="H221" s="86"/>
      <c r="I221" s="86"/>
      <c r="J221" s="87"/>
      <c r="K221" s="86"/>
      <c r="L221" s="86"/>
      <c r="M221" s="87"/>
      <c r="N221" s="86"/>
      <c r="O221" s="87"/>
    </row>
    <row r="222" spans="1:15" x14ac:dyDescent="0.25">
      <c r="A222" s="100"/>
      <c r="B222" s="82"/>
      <c r="C222" s="82"/>
      <c r="D222" s="141"/>
      <c r="E222" s="86"/>
      <c r="F222" s="86"/>
      <c r="G222" s="87"/>
      <c r="H222" s="86"/>
      <c r="I222" s="86"/>
      <c r="J222" s="87"/>
      <c r="K222" s="86"/>
      <c r="L222" s="86"/>
      <c r="M222" s="87"/>
      <c r="N222" s="86"/>
      <c r="O222" s="87"/>
    </row>
    <row r="223" spans="1:15" x14ac:dyDescent="0.25">
      <c r="A223" s="100"/>
      <c r="B223" s="82"/>
      <c r="C223" s="82"/>
      <c r="D223" s="141"/>
      <c r="E223" s="86"/>
      <c r="F223" s="86"/>
      <c r="G223" s="87"/>
      <c r="H223" s="86"/>
      <c r="I223" s="86"/>
      <c r="J223" s="87"/>
      <c r="K223" s="86"/>
      <c r="L223" s="86"/>
      <c r="M223" s="87"/>
      <c r="N223" s="86"/>
      <c r="O223" s="87"/>
    </row>
    <row r="224" spans="1:15" x14ac:dyDescent="0.25">
      <c r="A224" s="100"/>
      <c r="B224" s="82"/>
      <c r="C224" s="82"/>
      <c r="D224" s="141"/>
      <c r="E224" s="86"/>
      <c r="F224" s="86"/>
      <c r="G224" s="87"/>
      <c r="H224" s="86"/>
      <c r="I224" s="86"/>
      <c r="J224" s="87"/>
      <c r="K224" s="86"/>
      <c r="L224" s="86"/>
      <c r="M224" s="87"/>
      <c r="N224" s="86"/>
      <c r="O224" s="87"/>
    </row>
    <row r="225" spans="1:15" x14ac:dyDescent="0.25">
      <c r="A225" s="100"/>
      <c r="B225" s="82"/>
      <c r="C225" s="82"/>
      <c r="D225" s="141"/>
      <c r="E225" s="86"/>
      <c r="F225" s="86"/>
      <c r="G225" s="87"/>
      <c r="H225" s="86"/>
      <c r="I225" s="86"/>
      <c r="J225" s="87"/>
      <c r="K225" s="86"/>
      <c r="L225" s="86"/>
      <c r="M225" s="87"/>
      <c r="N225" s="86"/>
      <c r="O225" s="87"/>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17"/>
      <c r="C227" s="17"/>
      <c r="D227" s="17"/>
      <c r="E227" s="17"/>
      <c r="F227" s="17"/>
      <c r="G227" s="17"/>
      <c r="H227" s="17"/>
      <c r="I227" s="17"/>
      <c r="J227" s="17"/>
      <c r="K227" s="17"/>
      <c r="L227" s="17"/>
      <c r="M227" s="17"/>
      <c r="N227" s="17"/>
      <c r="O227" s="17"/>
    </row>
    <row r="228" spans="1:15" x14ac:dyDescent="0.25">
      <c r="A228" s="98"/>
      <c r="B228" s="17"/>
      <c r="C228" s="17"/>
      <c r="D228" s="17"/>
      <c r="E228" s="17"/>
      <c r="F228" s="17"/>
      <c r="G228" s="17"/>
      <c r="H228" s="17"/>
      <c r="I228" s="17"/>
      <c r="J228" s="17"/>
      <c r="K228" s="17"/>
      <c r="L228" s="17"/>
      <c r="M228" s="17"/>
      <c r="N228" s="17"/>
      <c r="O228" s="17"/>
    </row>
    <row r="229" spans="1:15" x14ac:dyDescent="0.25">
      <c r="A229" s="118" t="s">
        <v>391</v>
      </c>
      <c r="B229" s="119">
        <f>SUM(B7:B222)</f>
        <v>22305681171</v>
      </c>
      <c r="C229" s="119">
        <f>SUM(C7:C222)</f>
        <v>460825651</v>
      </c>
      <c r="D229" s="120">
        <f>C229*100/(B229-C229)</f>
        <v>2.1095385619652749</v>
      </c>
      <c r="E229" s="119">
        <f>SUM(E7:E222)</f>
        <v>15198485906</v>
      </c>
      <c r="F229" s="119">
        <f>SUM(F7:F222)</f>
        <v>105007111</v>
      </c>
      <c r="G229" s="120">
        <f>F229*100/(E229-F229)</f>
        <v>0.69571178670079414</v>
      </c>
      <c r="H229" s="119">
        <f>SUM(H7:H222)</f>
        <v>4208856135</v>
      </c>
      <c r="I229" s="119">
        <f>SUM(I7:I222)</f>
        <v>252075138</v>
      </c>
      <c r="J229" s="120">
        <f>I229*100/(H229-I229)</f>
        <v>6.3707124096865959</v>
      </c>
      <c r="K229" s="119">
        <f>SUM(K7:K222)</f>
        <v>2898339130</v>
      </c>
      <c r="L229" s="119">
        <f>SUM(L7:L222)</f>
        <v>103743402</v>
      </c>
      <c r="M229" s="120">
        <f>L229*100/(K229-L229)</f>
        <v>3.7122865737093833</v>
      </c>
      <c r="N229" s="119">
        <f>SUM(N7:N222)</f>
        <v>14340423993</v>
      </c>
      <c r="O229" s="120">
        <f>(N229-FII!V3)/N229*100</f>
        <v>-9.7637790115791887</v>
      </c>
    </row>
    <row r="230" spans="1:15" x14ac:dyDescent="0.25">
      <c r="A230" s="118" t="s">
        <v>409</v>
      </c>
      <c r="B230" s="121">
        <f>B229/10000000</f>
        <v>2230.5681171000001</v>
      </c>
      <c r="C230" s="121">
        <f>C229/10000000</f>
        <v>46.082565099999997</v>
      </c>
      <c r="D230" s="120">
        <f>D229</f>
        <v>2.1095385619652749</v>
      </c>
      <c r="E230" s="121">
        <f>E229/10000000</f>
        <v>1519.8485906000001</v>
      </c>
      <c r="F230" s="121">
        <f>F229/10000000</f>
        <v>10.5007111</v>
      </c>
      <c r="G230" s="120">
        <f>G229</f>
        <v>0.69571178670079414</v>
      </c>
      <c r="H230" s="121">
        <f>H229/10000000</f>
        <v>420.88561349999998</v>
      </c>
      <c r="I230" s="121">
        <f>I229/10000000</f>
        <v>25.207513800000001</v>
      </c>
      <c r="J230" s="120">
        <f>J229</f>
        <v>6.3707124096865959</v>
      </c>
      <c r="K230" s="121">
        <f>K229/10000000</f>
        <v>289.833913</v>
      </c>
      <c r="L230" s="121">
        <f>L229/10000000</f>
        <v>10.374340200000001</v>
      </c>
      <c r="M230" s="120">
        <f>M229</f>
        <v>3.7122865737093833</v>
      </c>
      <c r="N230" s="121">
        <f>N229/10000000</f>
        <v>1434.0423992999999</v>
      </c>
      <c r="O230" s="120">
        <f>O229</f>
        <v>-9.7637790115791887</v>
      </c>
    </row>
    <row r="238" spans="1:15" x14ac:dyDescent="0.25">
      <c r="A238" s="275" t="s">
        <v>410</v>
      </c>
      <c r="B238" s="275"/>
      <c r="C238" s="275"/>
      <c r="D238" s="275"/>
    </row>
    <row r="239" spans="1:15" x14ac:dyDescent="0.25">
      <c r="A239" s="35" t="s">
        <v>401</v>
      </c>
      <c r="B239" s="35" t="s">
        <v>402</v>
      </c>
      <c r="C239" s="35" t="s">
        <v>369</v>
      </c>
      <c r="D239" s="35" t="s">
        <v>407</v>
      </c>
    </row>
    <row r="240" spans="1:15" x14ac:dyDescent="0.25">
      <c r="A240" s="36" t="s">
        <v>403</v>
      </c>
      <c r="B240" s="37">
        <f>E230</f>
        <v>1519.8485906000001</v>
      </c>
      <c r="C240" s="37">
        <f>F230</f>
        <v>10.5007111</v>
      </c>
      <c r="D240" s="39">
        <f>C240/B240</f>
        <v>6.9090507863382427E-3</v>
      </c>
    </row>
    <row r="241" spans="1:4" x14ac:dyDescent="0.25">
      <c r="A241" s="36" t="s">
        <v>404</v>
      </c>
      <c r="B241" s="37">
        <f>H230</f>
        <v>420.88561349999998</v>
      </c>
      <c r="C241" s="37">
        <f>I230</f>
        <v>25.207513800000001</v>
      </c>
      <c r="D241" s="39">
        <f>C241/B241</f>
        <v>5.9891602353379092E-2</v>
      </c>
    </row>
    <row r="242" spans="1:4" x14ac:dyDescent="0.25">
      <c r="A242" s="36" t="s">
        <v>405</v>
      </c>
      <c r="B242" s="37">
        <f>K230</f>
        <v>289.833913</v>
      </c>
      <c r="C242" s="37">
        <f>L230</f>
        <v>10.374340200000001</v>
      </c>
      <c r="D242" s="39">
        <f>C242/B242</f>
        <v>3.5794086663695567E-2</v>
      </c>
    </row>
    <row r="243" spans="1:4" x14ac:dyDescent="0.25">
      <c r="A243" s="36" t="s">
        <v>406</v>
      </c>
      <c r="B243" s="40">
        <f>SUM(B240:B242)</f>
        <v>2230.5681171000001</v>
      </c>
      <c r="C243" s="40">
        <f>SUM(C240:C242)</f>
        <v>46.082565100000004</v>
      </c>
      <c r="D243" s="41">
        <f>C243/B243</f>
        <v>2.0659564147232919E-2</v>
      </c>
    </row>
  </sheetData>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pane ySplit="6" topLeftCell="A202" activePane="bottomLeft" state="frozen"/>
      <selection pane="bottomLeft" activeCell="O219" sqref="O219"/>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1" t="s">
        <v>334</v>
      </c>
      <c r="B3" s="282"/>
      <c r="C3" s="282"/>
      <c r="D3" s="283"/>
      <c r="E3" s="284"/>
      <c r="F3" s="284"/>
      <c r="G3" s="284"/>
      <c r="H3" s="284"/>
      <c r="I3" s="284"/>
      <c r="J3" s="284"/>
      <c r="K3" s="284"/>
      <c r="L3" s="284"/>
      <c r="M3" s="284"/>
      <c r="N3" s="284"/>
      <c r="O3" s="285"/>
    </row>
    <row r="4" spans="1:15" x14ac:dyDescent="0.25">
      <c r="A4" s="286" t="s">
        <v>330</v>
      </c>
      <c r="B4" s="288" t="s">
        <v>309</v>
      </c>
      <c r="C4" s="289"/>
      <c r="D4" s="289"/>
      <c r="E4" s="289"/>
      <c r="F4" s="289"/>
      <c r="G4" s="289"/>
      <c r="H4" s="289"/>
      <c r="I4" s="289"/>
      <c r="J4" s="289"/>
      <c r="K4" s="289"/>
      <c r="L4" s="289"/>
      <c r="M4" s="289"/>
      <c r="N4" s="289"/>
      <c r="O4" s="290"/>
    </row>
    <row r="5" spans="1:15" x14ac:dyDescent="0.25">
      <c r="A5" s="287"/>
      <c r="B5" s="291" t="s">
        <v>314</v>
      </c>
      <c r="C5" s="291"/>
      <c r="D5" s="292"/>
      <c r="E5" s="291" t="s">
        <v>335</v>
      </c>
      <c r="F5" s="291"/>
      <c r="G5" s="292"/>
      <c r="H5" s="291" t="s">
        <v>336</v>
      </c>
      <c r="I5" s="291"/>
      <c r="J5" s="292"/>
      <c r="K5" s="291" t="s">
        <v>337</v>
      </c>
      <c r="L5" s="291"/>
      <c r="M5" s="292"/>
      <c r="N5" s="291" t="s">
        <v>338</v>
      </c>
      <c r="O5" s="292"/>
    </row>
    <row r="6" spans="1:15" x14ac:dyDescent="0.25">
      <c r="A6" s="3" t="s">
        <v>318</v>
      </c>
      <c r="B6" s="3">
        <f>'Sectorwise OI'!D6</f>
        <v>46121</v>
      </c>
      <c r="C6" s="76" t="s">
        <v>333</v>
      </c>
      <c r="D6" s="76" t="s">
        <v>328</v>
      </c>
      <c r="E6" s="3">
        <f>B6</f>
        <v>46121</v>
      </c>
      <c r="F6" s="76" t="s">
        <v>333</v>
      </c>
      <c r="G6" s="76" t="s">
        <v>328</v>
      </c>
      <c r="H6" s="3">
        <f>E6</f>
        <v>46121</v>
      </c>
      <c r="I6" s="76" t="s">
        <v>333</v>
      </c>
      <c r="J6" s="76" t="s">
        <v>328</v>
      </c>
      <c r="K6" s="3">
        <f>E6</f>
        <v>46121</v>
      </c>
      <c r="L6" s="76" t="s">
        <v>333</v>
      </c>
      <c r="M6" s="76" t="s">
        <v>328</v>
      </c>
      <c r="N6" s="76" t="s">
        <v>339</v>
      </c>
      <c r="O6" s="76" t="s">
        <v>328</v>
      </c>
    </row>
    <row r="7" spans="1:15" x14ac:dyDescent="0.25">
      <c r="A7" s="97" t="str">
        <f>'Data Vlaue (Cr)'!C2</f>
        <v>360ONE</v>
      </c>
      <c r="B7" s="142">
        <f>VLOOKUP(A7,'Data Vlaue (Cr)'!C2:CW220,99,0)</f>
        <v>655</v>
      </c>
      <c r="C7" s="90">
        <f>VLOOKUP(A7,'Data Vlaue (Cr)'!C2:CY220,101,0)</f>
        <v>54</v>
      </c>
      <c r="D7" s="139">
        <f>VLOOKUP(A7,'Data Vlaue (Cr)'!C2:CZ220,102,0)</f>
        <v>9.0200000000000002E-2</v>
      </c>
      <c r="E7" s="91">
        <f>VLOOKUP($A7,'Data Vlaue (Cr)'!$C:$FB,75)</f>
        <v>503</v>
      </c>
      <c r="F7" s="91">
        <f>VLOOKUP($A7,'Data Vlaue (Cr)'!$C:$FB,77)</f>
        <v>44</v>
      </c>
      <c r="G7" s="92">
        <f>VLOOKUP(A7,'Data Vlaue (Cr)'!C2:CB220,78,0)</f>
        <v>9.6299999999999997E-2</v>
      </c>
      <c r="H7" s="91">
        <f>VLOOKUP($A7,'Data Vlaue (Cr)'!$C:$FB,91)</f>
        <v>86</v>
      </c>
      <c r="I7" s="91">
        <f>VLOOKUP($A7,'Data Vlaue (Cr)'!$C:$FB,93)</f>
        <v>-5</v>
      </c>
      <c r="J7" s="92">
        <f>VLOOKUP($A7,'Data Vlaue (Cr)'!$C:$FB,94)</f>
        <v>-5.3699999999999998E-2</v>
      </c>
      <c r="K7" s="91">
        <f>VLOOKUP($A7,'Data Vlaue (Cr)'!$C:$FB,95)</f>
        <v>66</v>
      </c>
      <c r="L7" s="91">
        <f>VLOOKUP($A7,'Data Vlaue (Cr)'!$C:$FB,97)</f>
        <v>15</v>
      </c>
      <c r="M7" s="92">
        <f>VLOOKUP($A7,'Data Vlaue (Cr)'!$C:$FB,98)</f>
        <v>0.28860000000000002</v>
      </c>
      <c r="N7" s="91">
        <f>VLOOKUP($A7,'Data Vlaue (Cr)'!$C:$FB,79)</f>
        <v>491</v>
      </c>
      <c r="O7" s="92">
        <f>VLOOKUP($A7,'Data Vlaue (Cr)'!$C:$FB,82)</f>
        <v>8.6099999999999996E-2</v>
      </c>
    </row>
    <row r="8" spans="1:15" x14ac:dyDescent="0.25">
      <c r="A8" s="97" t="str">
        <f>'Data Vlaue (Cr)'!C3</f>
        <v>ABB</v>
      </c>
      <c r="B8" s="142">
        <f>VLOOKUP(A8,'Data Vlaue (Cr)'!C3:CW221,99,0)</f>
        <v>2352</v>
      </c>
      <c r="C8" s="90">
        <f>VLOOKUP(A8,'Data Vlaue (Cr)'!C3:CY221,101,0)</f>
        <v>111</v>
      </c>
      <c r="D8" s="139">
        <f>VLOOKUP(A8,'Data Vlaue (Cr)'!C3:CZ221,102,0)</f>
        <v>4.9599999999999998E-2</v>
      </c>
      <c r="E8" s="91">
        <f>VLOOKUP($A8,'Data Vlaue (Cr)'!$C:$FB,75)</f>
        <v>1445</v>
      </c>
      <c r="F8" s="91">
        <f>VLOOKUP($A8,'Data Vlaue (Cr)'!$C:$FB,77)</f>
        <v>32</v>
      </c>
      <c r="G8" s="92">
        <f>VLOOKUP(A8,'Data Vlaue (Cr)'!C3:CB221,78,0)</f>
        <v>2.23E-2</v>
      </c>
      <c r="H8" s="91">
        <f>VLOOKUP($A8,'Data Vlaue (Cr)'!$C:$FB,91)</f>
        <v>442</v>
      </c>
      <c r="I8" s="91">
        <f>VLOOKUP($A8,'Data Vlaue (Cr)'!$C:$FB,93)</f>
        <v>23</v>
      </c>
      <c r="J8" s="92">
        <f>VLOOKUP($A8,'Data Vlaue (Cr)'!$C:$FB,94)</f>
        <v>5.4699999999999999E-2</v>
      </c>
      <c r="K8" s="91">
        <f>VLOOKUP($A8,'Data Vlaue (Cr)'!$C:$FB,95)</f>
        <v>464</v>
      </c>
      <c r="L8" s="91">
        <f>VLOOKUP($A8,'Data Vlaue (Cr)'!$C:$FB,97)</f>
        <v>57</v>
      </c>
      <c r="M8" s="92">
        <f>VLOOKUP($A8,'Data Vlaue (Cr)'!$C:$FB,98)</f>
        <v>0.1389</v>
      </c>
      <c r="N8" s="91">
        <f>VLOOKUP($A8,'Data Vlaue (Cr)'!$C:$FB,79)</f>
        <v>1396</v>
      </c>
      <c r="O8" s="92">
        <f>VLOOKUP($A8,'Data Vlaue (Cr)'!$C:$FB,82)</f>
        <v>1.9699999999999999E-2</v>
      </c>
    </row>
    <row r="9" spans="1:15" x14ac:dyDescent="0.25">
      <c r="A9" s="97" t="str">
        <f>'Data Vlaue (Cr)'!C4</f>
        <v>ABCAPITAL</v>
      </c>
      <c r="B9" s="142">
        <f>VLOOKUP(A9,'Data Vlaue (Cr)'!C4:CW222,99,0)</f>
        <v>2020</v>
      </c>
      <c r="C9" s="90">
        <f>VLOOKUP(A9,'Data Vlaue (Cr)'!C4:CY222,101,0)</f>
        <v>69</v>
      </c>
      <c r="D9" s="139">
        <f>VLOOKUP(A9,'Data Vlaue (Cr)'!C4:CZ222,102,0)</f>
        <v>3.5299999999999998E-2</v>
      </c>
      <c r="E9" s="91">
        <f>VLOOKUP($A9,'Data Vlaue (Cr)'!$C:$FB,75)</f>
        <v>1476</v>
      </c>
      <c r="F9" s="91">
        <f>VLOOKUP($A9,'Data Vlaue (Cr)'!$C:$FB,77)</f>
        <v>49</v>
      </c>
      <c r="G9" s="92">
        <f>VLOOKUP(A9,'Data Vlaue (Cr)'!C4:CB222,78,0)</f>
        <v>3.4299999999999997E-2</v>
      </c>
      <c r="H9" s="91">
        <f>VLOOKUP($A9,'Data Vlaue (Cr)'!$C:$FB,91)</f>
        <v>276</v>
      </c>
      <c r="I9" s="91">
        <f>VLOOKUP($A9,'Data Vlaue (Cr)'!$C:$FB,93)</f>
        <v>11</v>
      </c>
      <c r="J9" s="92">
        <f>VLOOKUP($A9,'Data Vlaue (Cr)'!$C:$FB,94)</f>
        <v>4.24E-2</v>
      </c>
      <c r="K9" s="91">
        <f>VLOOKUP($A9,'Data Vlaue (Cr)'!$C:$FB,95)</f>
        <v>268</v>
      </c>
      <c r="L9" s="91">
        <f>VLOOKUP($A9,'Data Vlaue (Cr)'!$C:$FB,97)</f>
        <v>9</v>
      </c>
      <c r="M9" s="92">
        <f>VLOOKUP($A9,'Data Vlaue (Cr)'!$C:$FB,98)</f>
        <v>3.2899999999999999E-2</v>
      </c>
      <c r="N9" s="91">
        <f>VLOOKUP($A9,'Data Vlaue (Cr)'!$C:$FB,79)</f>
        <v>1455</v>
      </c>
      <c r="O9" s="92">
        <f>VLOOKUP($A9,'Data Vlaue (Cr)'!$C:$FB,82)</f>
        <v>3.2300000000000002E-2</v>
      </c>
    </row>
    <row r="10" spans="1:15" x14ac:dyDescent="0.25">
      <c r="A10" s="97" t="str">
        <f>'Data Vlaue (Cr)'!C5</f>
        <v>ADANIENSOL</v>
      </c>
      <c r="B10" s="142">
        <f>VLOOKUP(A10,'Data Vlaue (Cr)'!C5:CW223,99,0)</f>
        <v>2620</v>
      </c>
      <c r="C10" s="90">
        <f>VLOOKUP(A10,'Data Vlaue (Cr)'!C5:CY223,101,0)</f>
        <v>-7</v>
      </c>
      <c r="D10" s="139">
        <f>VLOOKUP(A10,'Data Vlaue (Cr)'!C5:CZ223,102,0)</f>
        <v>-2.8E-3</v>
      </c>
      <c r="E10" s="91">
        <f>VLOOKUP($A10,'Data Vlaue (Cr)'!$C:$FB,75)</f>
        <v>2151</v>
      </c>
      <c r="F10" s="91">
        <f>VLOOKUP($A10,'Data Vlaue (Cr)'!$C:$FB,77)</f>
        <v>-20</v>
      </c>
      <c r="G10" s="92">
        <f>VLOOKUP(A10,'Data Vlaue (Cr)'!C5:CB223,78,0)</f>
        <v>-9.2999999999999992E-3</v>
      </c>
      <c r="H10" s="91">
        <f>VLOOKUP($A10,'Data Vlaue (Cr)'!$C:$FB,91)</f>
        <v>306</v>
      </c>
      <c r="I10" s="91">
        <f>VLOOKUP($A10,'Data Vlaue (Cr)'!$C:$FB,93)</f>
        <v>-3</v>
      </c>
      <c r="J10" s="92">
        <f>VLOOKUP($A10,'Data Vlaue (Cr)'!$C:$FB,94)</f>
        <v>-1.01E-2</v>
      </c>
      <c r="K10" s="91">
        <f>VLOOKUP($A10,'Data Vlaue (Cr)'!$C:$FB,95)</f>
        <v>164</v>
      </c>
      <c r="L10" s="91">
        <f>VLOOKUP($A10,'Data Vlaue (Cr)'!$C:$FB,97)</f>
        <v>16</v>
      </c>
      <c r="M10" s="92">
        <f>VLOOKUP($A10,'Data Vlaue (Cr)'!$C:$FB,98)</f>
        <v>0.1086</v>
      </c>
      <c r="N10" s="91">
        <f>VLOOKUP($A10,'Data Vlaue (Cr)'!$C:$FB,79)</f>
        <v>1805</v>
      </c>
      <c r="O10" s="92">
        <f>VLOOKUP($A10,'Data Vlaue (Cr)'!$C:$FB,82)</f>
        <v>-1.12E-2</v>
      </c>
    </row>
    <row r="11" spans="1:15" x14ac:dyDescent="0.25">
      <c r="A11" s="97" t="str">
        <f>'Data Vlaue (Cr)'!C6</f>
        <v>ADANIENT</v>
      </c>
      <c r="B11" s="142">
        <f>VLOOKUP(A11,'Data Vlaue (Cr)'!C6:CW224,99,0)</f>
        <v>5789</v>
      </c>
      <c r="C11" s="90">
        <f>VLOOKUP(A11,'Data Vlaue (Cr)'!C6:CY224,101,0)</f>
        <v>-22</v>
      </c>
      <c r="D11" s="139">
        <f>VLOOKUP(A11,'Data Vlaue (Cr)'!C6:CZ224,102,0)</f>
        <v>-3.8E-3</v>
      </c>
      <c r="E11" s="91">
        <f>VLOOKUP($A11,'Data Vlaue (Cr)'!$C:$FB,75)</f>
        <v>3395</v>
      </c>
      <c r="F11" s="91">
        <f>VLOOKUP($A11,'Data Vlaue (Cr)'!$C:$FB,77)</f>
        <v>-72</v>
      </c>
      <c r="G11" s="92">
        <f>VLOOKUP(A11,'Data Vlaue (Cr)'!C6:CB224,78,0)</f>
        <v>-2.0799999999999999E-2</v>
      </c>
      <c r="H11" s="91">
        <f>VLOOKUP($A11,'Data Vlaue (Cr)'!$C:$FB,91)</f>
        <v>1273</v>
      </c>
      <c r="I11" s="91">
        <f>VLOOKUP($A11,'Data Vlaue (Cr)'!$C:$FB,93)</f>
        <v>7</v>
      </c>
      <c r="J11" s="92">
        <f>VLOOKUP($A11,'Data Vlaue (Cr)'!$C:$FB,94)</f>
        <v>5.8999999999999999E-3</v>
      </c>
      <c r="K11" s="91">
        <f>VLOOKUP($A11,'Data Vlaue (Cr)'!$C:$FB,95)</f>
        <v>1121</v>
      </c>
      <c r="L11" s="91">
        <f>VLOOKUP($A11,'Data Vlaue (Cr)'!$C:$FB,97)</f>
        <v>43</v>
      </c>
      <c r="M11" s="92">
        <f>VLOOKUP($A11,'Data Vlaue (Cr)'!$C:$FB,98)</f>
        <v>3.9600000000000003E-2</v>
      </c>
      <c r="N11" s="91">
        <f>VLOOKUP($A11,'Data Vlaue (Cr)'!$C:$FB,79)</f>
        <v>3246</v>
      </c>
      <c r="O11" s="92">
        <f>VLOOKUP($A11,'Data Vlaue (Cr)'!$C:$FB,82)</f>
        <v>-2.58E-2</v>
      </c>
    </row>
    <row r="12" spans="1:15" x14ac:dyDescent="0.25">
      <c r="A12" s="97" t="str">
        <f>'Data Vlaue (Cr)'!C7</f>
        <v>ADANIGREEN</v>
      </c>
      <c r="B12" s="142">
        <f>VLOOKUP(A12,'Data Vlaue (Cr)'!C7:CW225,99,0)</f>
        <v>3400</v>
      </c>
      <c r="C12" s="90">
        <f>VLOOKUP(A12,'Data Vlaue (Cr)'!C7:CY225,101,0)</f>
        <v>-71</v>
      </c>
      <c r="D12" s="139">
        <f>VLOOKUP(A12,'Data Vlaue (Cr)'!C7:CZ225,102,0)</f>
        <v>-2.0500000000000001E-2</v>
      </c>
      <c r="E12" s="91">
        <f>VLOOKUP($A12,'Data Vlaue (Cr)'!$C:$FB,75)</f>
        <v>2241</v>
      </c>
      <c r="F12" s="91">
        <f>VLOOKUP($A12,'Data Vlaue (Cr)'!$C:$FB,77)</f>
        <v>-82</v>
      </c>
      <c r="G12" s="92">
        <f>VLOOKUP(A12,'Data Vlaue (Cr)'!C7:CB225,78,0)</f>
        <v>-3.5400000000000001E-2</v>
      </c>
      <c r="H12" s="91">
        <f>VLOOKUP($A12,'Data Vlaue (Cr)'!$C:$FB,91)</f>
        <v>619</v>
      </c>
      <c r="I12" s="91">
        <f>VLOOKUP($A12,'Data Vlaue (Cr)'!$C:$FB,93)</f>
        <v>-39</v>
      </c>
      <c r="J12" s="92">
        <f>VLOOKUP($A12,'Data Vlaue (Cr)'!$C:$FB,94)</f>
        <v>-5.8999999999999997E-2</v>
      </c>
      <c r="K12" s="91">
        <f>VLOOKUP($A12,'Data Vlaue (Cr)'!$C:$FB,95)</f>
        <v>540</v>
      </c>
      <c r="L12" s="91">
        <f>VLOOKUP($A12,'Data Vlaue (Cr)'!$C:$FB,97)</f>
        <v>50</v>
      </c>
      <c r="M12" s="92">
        <f>VLOOKUP($A12,'Data Vlaue (Cr)'!$C:$FB,98)</f>
        <v>0.1016</v>
      </c>
      <c r="N12" s="91">
        <f>VLOOKUP($A12,'Data Vlaue (Cr)'!$C:$FB,79)</f>
        <v>2183</v>
      </c>
      <c r="O12" s="92">
        <f>VLOOKUP($A12,'Data Vlaue (Cr)'!$C:$FB,82)</f>
        <v>-3.6900000000000002E-2</v>
      </c>
    </row>
    <row r="13" spans="1:15" x14ac:dyDescent="0.25">
      <c r="A13" s="97" t="str">
        <f>'Data Vlaue (Cr)'!C8</f>
        <v>ADANIPORTS</v>
      </c>
      <c r="B13" s="142">
        <f>VLOOKUP(A13,'Data Vlaue (Cr)'!C8:CW226,99,0)</f>
        <v>5137</v>
      </c>
      <c r="C13" s="90">
        <f>VLOOKUP(A13,'Data Vlaue (Cr)'!C8:CY226,101,0)</f>
        <v>39</v>
      </c>
      <c r="D13" s="139">
        <f>VLOOKUP(A13,'Data Vlaue (Cr)'!C8:CZ226,102,0)</f>
        <v>7.6E-3</v>
      </c>
      <c r="E13" s="91">
        <f>VLOOKUP($A13,'Data Vlaue (Cr)'!$C:$FB,75)</f>
        <v>3038</v>
      </c>
      <c r="F13" s="91">
        <f>VLOOKUP($A13,'Data Vlaue (Cr)'!$C:$FB,77)</f>
        <v>14</v>
      </c>
      <c r="G13" s="92">
        <f>VLOOKUP(A13,'Data Vlaue (Cr)'!C8:CB226,78,0)</f>
        <v>4.7000000000000002E-3</v>
      </c>
      <c r="H13" s="91">
        <f>VLOOKUP($A13,'Data Vlaue (Cr)'!$C:$FB,91)</f>
        <v>1284</v>
      </c>
      <c r="I13" s="91">
        <f>VLOOKUP($A13,'Data Vlaue (Cr)'!$C:$FB,93)</f>
        <v>-37</v>
      </c>
      <c r="J13" s="92">
        <f>VLOOKUP($A13,'Data Vlaue (Cr)'!$C:$FB,94)</f>
        <v>-2.7799999999999998E-2</v>
      </c>
      <c r="K13" s="91">
        <f>VLOOKUP($A13,'Data Vlaue (Cr)'!$C:$FB,95)</f>
        <v>815</v>
      </c>
      <c r="L13" s="91">
        <f>VLOOKUP($A13,'Data Vlaue (Cr)'!$C:$FB,97)</f>
        <v>62</v>
      </c>
      <c r="M13" s="92">
        <f>VLOOKUP($A13,'Data Vlaue (Cr)'!$C:$FB,98)</f>
        <v>8.1699999999999995E-2</v>
      </c>
      <c r="N13" s="91">
        <f>VLOOKUP($A13,'Data Vlaue (Cr)'!$C:$FB,79)</f>
        <v>2749</v>
      </c>
      <c r="O13" s="92">
        <f>VLOOKUP($A13,'Data Vlaue (Cr)'!$C:$FB,82)</f>
        <v>-1E-4</v>
      </c>
    </row>
    <row r="14" spans="1:15" x14ac:dyDescent="0.25">
      <c r="A14" s="97" t="str">
        <f>'Data Vlaue (Cr)'!C9</f>
        <v>ADANIPOWER</v>
      </c>
      <c r="B14" s="142">
        <f>VLOOKUP(A14,'Data Vlaue (Cr)'!C9:CW227,99,0)</f>
        <v>1305</v>
      </c>
      <c r="C14" s="90">
        <f>VLOOKUP(A14,'Data Vlaue (Cr)'!C9:CY227,101,0)</f>
        <v>45</v>
      </c>
      <c r="D14" s="139">
        <f>VLOOKUP(A14,'Data Vlaue (Cr)'!C9:CZ227,102,0)</f>
        <v>3.5499999999999997E-2</v>
      </c>
      <c r="E14" s="91">
        <f>VLOOKUP($A14,'Data Vlaue (Cr)'!$C:$FB,75)</f>
        <v>932</v>
      </c>
      <c r="F14" s="91">
        <f>VLOOKUP($A14,'Data Vlaue (Cr)'!$C:$FB,77)</f>
        <v>20</v>
      </c>
      <c r="G14" s="92">
        <f>VLOOKUP(A14,'Data Vlaue (Cr)'!C9:CB227,78,0)</f>
        <v>2.1700000000000001E-2</v>
      </c>
      <c r="H14" s="91">
        <f>VLOOKUP($A14,'Data Vlaue (Cr)'!$C:$FB,91)</f>
        <v>274</v>
      </c>
      <c r="I14" s="91">
        <f>VLOOKUP($A14,'Data Vlaue (Cr)'!$C:$FB,93)</f>
        <v>7</v>
      </c>
      <c r="J14" s="92">
        <f>VLOOKUP($A14,'Data Vlaue (Cr)'!$C:$FB,94)</f>
        <v>2.5899999999999999E-2</v>
      </c>
      <c r="K14" s="91">
        <f>VLOOKUP($A14,'Data Vlaue (Cr)'!$C:$FB,95)</f>
        <v>99</v>
      </c>
      <c r="L14" s="91">
        <f>VLOOKUP($A14,'Data Vlaue (Cr)'!$C:$FB,97)</f>
        <v>18</v>
      </c>
      <c r="M14" s="92">
        <f>VLOOKUP($A14,'Data Vlaue (Cr)'!$C:$FB,98)</f>
        <v>0.2225</v>
      </c>
      <c r="N14" s="91">
        <f>VLOOKUP($A14,'Data Vlaue (Cr)'!$C:$FB,79)</f>
        <v>890</v>
      </c>
      <c r="O14" s="92">
        <f>VLOOKUP($A14,'Data Vlaue (Cr)'!$C:$FB,82)</f>
        <v>2.18E-2</v>
      </c>
    </row>
    <row r="15" spans="1:15" x14ac:dyDescent="0.25">
      <c r="A15" s="97" t="str">
        <f>'Data Vlaue (Cr)'!C10</f>
        <v>ALKEM</v>
      </c>
      <c r="B15" s="142">
        <f>VLOOKUP(A15,'Data Vlaue (Cr)'!C10:CW228,99,0)</f>
        <v>777</v>
      </c>
      <c r="C15" s="90">
        <f>VLOOKUP(A15,'Data Vlaue (Cr)'!C10:CY228,101,0)</f>
        <v>4</v>
      </c>
      <c r="D15" s="139">
        <f>VLOOKUP(A15,'Data Vlaue (Cr)'!C10:CZ228,102,0)</f>
        <v>5.7999999999999996E-3</v>
      </c>
      <c r="E15" s="91">
        <f>VLOOKUP($A15,'Data Vlaue (Cr)'!$C:$FB,75)</f>
        <v>623</v>
      </c>
      <c r="F15" s="91">
        <f>VLOOKUP($A15,'Data Vlaue (Cr)'!$C:$FB,77)</f>
        <v>-2</v>
      </c>
      <c r="G15" s="92">
        <f>VLOOKUP(A15,'Data Vlaue (Cr)'!C10:CB228,78,0)</f>
        <v>-3.0999999999999999E-3</v>
      </c>
      <c r="H15" s="91">
        <f>VLOOKUP($A15,'Data Vlaue (Cr)'!$C:$FB,91)</f>
        <v>79</v>
      </c>
      <c r="I15" s="91">
        <f>VLOOKUP($A15,'Data Vlaue (Cr)'!$C:$FB,93)</f>
        <v>8</v>
      </c>
      <c r="J15" s="92">
        <f>VLOOKUP($A15,'Data Vlaue (Cr)'!$C:$FB,94)</f>
        <v>0.10580000000000001</v>
      </c>
      <c r="K15" s="91">
        <f>VLOOKUP($A15,'Data Vlaue (Cr)'!$C:$FB,95)</f>
        <v>75</v>
      </c>
      <c r="L15" s="91">
        <f>VLOOKUP($A15,'Data Vlaue (Cr)'!$C:$FB,97)</f>
        <v>-1</v>
      </c>
      <c r="M15" s="92">
        <f>VLOOKUP($A15,'Data Vlaue (Cr)'!$C:$FB,98)</f>
        <v>-1.5100000000000001E-2</v>
      </c>
      <c r="N15" s="91">
        <f>VLOOKUP($A15,'Data Vlaue (Cr)'!$C:$FB,79)</f>
        <v>618</v>
      </c>
      <c r="O15" s="92">
        <f>VLOOKUP($A15,'Data Vlaue (Cr)'!$C:$FB,82)</f>
        <v>-5.3E-3</v>
      </c>
    </row>
    <row r="16" spans="1:15" x14ac:dyDescent="0.25">
      <c r="A16" s="97" t="str">
        <f>'Data Vlaue (Cr)'!C11</f>
        <v>AMBER</v>
      </c>
      <c r="B16" s="142">
        <f>VLOOKUP(A16,'Data Vlaue (Cr)'!C11:CW229,99,0)</f>
        <v>1411</v>
      </c>
      <c r="C16" s="90">
        <f>VLOOKUP(A16,'Data Vlaue (Cr)'!C11:CY229,101,0)</f>
        <v>128</v>
      </c>
      <c r="D16" s="139">
        <f>VLOOKUP(A16,'Data Vlaue (Cr)'!C11:CZ229,102,0)</f>
        <v>9.9599999999999994E-2</v>
      </c>
      <c r="E16" s="91">
        <f>VLOOKUP($A16,'Data Vlaue (Cr)'!$C:$FB,75)</f>
        <v>836</v>
      </c>
      <c r="F16" s="91">
        <f>VLOOKUP($A16,'Data Vlaue (Cr)'!$C:$FB,77)</f>
        <v>59</v>
      </c>
      <c r="G16" s="92">
        <f>VLOOKUP(A16,'Data Vlaue (Cr)'!C11:CB229,78,0)</f>
        <v>7.6499999999999999E-2</v>
      </c>
      <c r="H16" s="91">
        <f>VLOOKUP($A16,'Data Vlaue (Cr)'!$C:$FB,91)</f>
        <v>350</v>
      </c>
      <c r="I16" s="91">
        <f>VLOOKUP($A16,'Data Vlaue (Cr)'!$C:$FB,93)</f>
        <v>39</v>
      </c>
      <c r="J16" s="92">
        <f>VLOOKUP($A16,'Data Vlaue (Cr)'!$C:$FB,94)</f>
        <v>0.125</v>
      </c>
      <c r="K16" s="91">
        <f>VLOOKUP($A16,'Data Vlaue (Cr)'!$C:$FB,95)</f>
        <v>225</v>
      </c>
      <c r="L16" s="91">
        <f>VLOOKUP($A16,'Data Vlaue (Cr)'!$C:$FB,97)</f>
        <v>30</v>
      </c>
      <c r="M16" s="92">
        <f>VLOOKUP($A16,'Data Vlaue (Cr)'!$C:$FB,98)</f>
        <v>0.15129999999999999</v>
      </c>
      <c r="N16" s="91">
        <f>VLOOKUP($A16,'Data Vlaue (Cr)'!$C:$FB,79)</f>
        <v>800</v>
      </c>
      <c r="O16" s="92">
        <f>VLOOKUP($A16,'Data Vlaue (Cr)'!$C:$FB,82)</f>
        <v>6.2E-2</v>
      </c>
    </row>
    <row r="17" spans="1:15" x14ac:dyDescent="0.25">
      <c r="A17" s="97" t="str">
        <f>'Data Vlaue (Cr)'!C12</f>
        <v>AMBUJACEM</v>
      </c>
      <c r="B17" s="142">
        <f>VLOOKUP(A17,'Data Vlaue (Cr)'!C12:CW230,99,0)</f>
        <v>3492</v>
      </c>
      <c r="C17" s="90">
        <f>VLOOKUP(A17,'Data Vlaue (Cr)'!C12:CY230,101,0)</f>
        <v>34</v>
      </c>
      <c r="D17" s="139">
        <f>VLOOKUP(A17,'Data Vlaue (Cr)'!C12:CZ230,102,0)</f>
        <v>9.7999999999999997E-3</v>
      </c>
      <c r="E17" s="91">
        <f>VLOOKUP($A17,'Data Vlaue (Cr)'!$C:$FB,75)</f>
        <v>2638</v>
      </c>
      <c r="F17" s="91">
        <f>VLOOKUP($A17,'Data Vlaue (Cr)'!$C:$FB,77)</f>
        <v>9</v>
      </c>
      <c r="G17" s="92">
        <f>VLOOKUP(A17,'Data Vlaue (Cr)'!C12:CB230,78,0)</f>
        <v>3.5000000000000001E-3</v>
      </c>
      <c r="H17" s="91">
        <f>VLOOKUP($A17,'Data Vlaue (Cr)'!$C:$FB,91)</f>
        <v>456</v>
      </c>
      <c r="I17" s="91">
        <f>VLOOKUP($A17,'Data Vlaue (Cr)'!$C:$FB,93)</f>
        <v>23</v>
      </c>
      <c r="J17" s="92">
        <f>VLOOKUP($A17,'Data Vlaue (Cr)'!$C:$FB,94)</f>
        <v>5.3499999999999999E-2</v>
      </c>
      <c r="K17" s="91">
        <f>VLOOKUP($A17,'Data Vlaue (Cr)'!$C:$FB,95)</f>
        <v>398</v>
      </c>
      <c r="L17" s="91">
        <f>VLOOKUP($A17,'Data Vlaue (Cr)'!$C:$FB,97)</f>
        <v>1</v>
      </c>
      <c r="M17" s="92">
        <f>VLOOKUP($A17,'Data Vlaue (Cr)'!$C:$FB,98)</f>
        <v>3.5000000000000001E-3</v>
      </c>
      <c r="N17" s="91">
        <f>VLOOKUP($A17,'Data Vlaue (Cr)'!$C:$FB,79)</f>
        <v>2303</v>
      </c>
      <c r="O17" s="92">
        <f>VLOOKUP($A17,'Data Vlaue (Cr)'!$C:$FB,82)</f>
        <v>-1.5E-3</v>
      </c>
    </row>
    <row r="18" spans="1:15" x14ac:dyDescent="0.25">
      <c r="A18" s="97" t="str">
        <f>'Data Vlaue (Cr)'!C13</f>
        <v>ANGELONE</v>
      </c>
      <c r="B18" s="142">
        <f>VLOOKUP(A18,'Data Vlaue (Cr)'!C13:CW231,99,0)</f>
        <v>1351</v>
      </c>
      <c r="C18" s="90">
        <f>VLOOKUP(A18,'Data Vlaue (Cr)'!C13:CY231,101,0)</f>
        <v>178</v>
      </c>
      <c r="D18" s="139">
        <f>VLOOKUP(A18,'Data Vlaue (Cr)'!C13:CZ231,102,0)</f>
        <v>0.1515</v>
      </c>
      <c r="E18" s="91">
        <f>VLOOKUP($A18,'Data Vlaue (Cr)'!$C:$FB,75)</f>
        <v>657</v>
      </c>
      <c r="F18" s="91">
        <f>VLOOKUP($A18,'Data Vlaue (Cr)'!$C:$FB,77)</f>
        <v>35</v>
      </c>
      <c r="G18" s="92">
        <f>VLOOKUP(A18,'Data Vlaue (Cr)'!C13:CB231,78,0)</f>
        <v>5.6500000000000002E-2</v>
      </c>
      <c r="H18" s="91">
        <f>VLOOKUP($A18,'Data Vlaue (Cr)'!$C:$FB,91)</f>
        <v>381</v>
      </c>
      <c r="I18" s="91">
        <f>VLOOKUP($A18,'Data Vlaue (Cr)'!$C:$FB,93)</f>
        <v>84</v>
      </c>
      <c r="J18" s="92">
        <f>VLOOKUP($A18,'Data Vlaue (Cr)'!$C:$FB,94)</f>
        <v>0.2853</v>
      </c>
      <c r="K18" s="91">
        <f>VLOOKUP($A18,'Data Vlaue (Cr)'!$C:$FB,95)</f>
        <v>313</v>
      </c>
      <c r="L18" s="91">
        <f>VLOOKUP($A18,'Data Vlaue (Cr)'!$C:$FB,97)</f>
        <v>58</v>
      </c>
      <c r="M18" s="92">
        <f>VLOOKUP($A18,'Data Vlaue (Cr)'!$C:$FB,98)</f>
        <v>0.22800000000000001</v>
      </c>
      <c r="N18" s="91">
        <f>VLOOKUP($A18,'Data Vlaue (Cr)'!$C:$FB,79)</f>
        <v>603</v>
      </c>
      <c r="O18" s="92">
        <f>VLOOKUP($A18,'Data Vlaue (Cr)'!$C:$FB,82)</f>
        <v>2.3900000000000001E-2</v>
      </c>
    </row>
    <row r="19" spans="1:15" x14ac:dyDescent="0.25">
      <c r="A19" s="97" t="str">
        <f>'Data Vlaue (Cr)'!C14</f>
        <v>APLAPOLLO</v>
      </c>
      <c r="B19" s="142">
        <f>VLOOKUP(A19,'Data Vlaue (Cr)'!C14:CW232,99,0)</f>
        <v>1316</v>
      </c>
      <c r="C19" s="90">
        <f>VLOOKUP(A19,'Data Vlaue (Cr)'!C14:CY232,101,0)</f>
        <v>21</v>
      </c>
      <c r="D19" s="139">
        <f>VLOOKUP(A19,'Data Vlaue (Cr)'!C14:CZ232,102,0)</f>
        <v>1.6400000000000001E-2</v>
      </c>
      <c r="E19" s="91">
        <f>VLOOKUP($A19,'Data Vlaue (Cr)'!$C:$FB,75)</f>
        <v>994</v>
      </c>
      <c r="F19" s="91">
        <f>VLOOKUP($A19,'Data Vlaue (Cr)'!$C:$FB,77)</f>
        <v>12</v>
      </c>
      <c r="G19" s="92">
        <f>VLOOKUP(A19,'Data Vlaue (Cr)'!C14:CB232,78,0)</f>
        <v>1.21E-2</v>
      </c>
      <c r="H19" s="91">
        <f>VLOOKUP($A19,'Data Vlaue (Cr)'!$C:$FB,91)</f>
        <v>180</v>
      </c>
      <c r="I19" s="91">
        <f>VLOOKUP($A19,'Data Vlaue (Cr)'!$C:$FB,93)</f>
        <v>2</v>
      </c>
      <c r="J19" s="92">
        <f>VLOOKUP($A19,'Data Vlaue (Cr)'!$C:$FB,94)</f>
        <v>1.0500000000000001E-2</v>
      </c>
      <c r="K19" s="91">
        <f>VLOOKUP($A19,'Data Vlaue (Cr)'!$C:$FB,95)</f>
        <v>142</v>
      </c>
      <c r="L19" s="91">
        <f>VLOOKUP($A19,'Data Vlaue (Cr)'!$C:$FB,97)</f>
        <v>7</v>
      </c>
      <c r="M19" s="92">
        <f>VLOOKUP($A19,'Data Vlaue (Cr)'!$C:$FB,98)</f>
        <v>5.5300000000000002E-2</v>
      </c>
      <c r="N19" s="91">
        <f>VLOOKUP($A19,'Data Vlaue (Cr)'!$C:$FB,79)</f>
        <v>980</v>
      </c>
      <c r="O19" s="92">
        <f>VLOOKUP($A19,'Data Vlaue (Cr)'!$C:$FB,82)</f>
        <v>1.1599999999999999E-2</v>
      </c>
    </row>
    <row r="20" spans="1:15" x14ac:dyDescent="0.25">
      <c r="A20" s="97" t="str">
        <f>'Data Vlaue (Cr)'!C15</f>
        <v>APOLLOHOSP</v>
      </c>
      <c r="B20" s="142">
        <f>VLOOKUP(A20,'Data Vlaue (Cr)'!C15:CW233,99,0)</f>
        <v>2888</v>
      </c>
      <c r="C20" s="90">
        <f>VLOOKUP(A20,'Data Vlaue (Cr)'!C15:CY233,101,0)</f>
        <v>-2</v>
      </c>
      <c r="D20" s="139">
        <f>VLOOKUP(A20,'Data Vlaue (Cr)'!C15:CZ233,102,0)</f>
        <v>-6.9999999999999999E-4</v>
      </c>
      <c r="E20" s="91">
        <f>VLOOKUP($A20,'Data Vlaue (Cr)'!$C:$FB,75)</f>
        <v>1884</v>
      </c>
      <c r="F20" s="91">
        <f>VLOOKUP($A20,'Data Vlaue (Cr)'!$C:$FB,77)</f>
        <v>-15</v>
      </c>
      <c r="G20" s="92">
        <f>VLOOKUP(A20,'Data Vlaue (Cr)'!C15:CB233,78,0)</f>
        <v>-7.7999999999999996E-3</v>
      </c>
      <c r="H20" s="91">
        <f>VLOOKUP($A20,'Data Vlaue (Cr)'!$C:$FB,91)</f>
        <v>523</v>
      </c>
      <c r="I20" s="91">
        <f>VLOOKUP($A20,'Data Vlaue (Cr)'!$C:$FB,93)</f>
        <v>13</v>
      </c>
      <c r="J20" s="92">
        <f>VLOOKUP($A20,'Data Vlaue (Cr)'!$C:$FB,94)</f>
        <v>2.6499999999999999E-2</v>
      </c>
      <c r="K20" s="91">
        <f>VLOOKUP($A20,'Data Vlaue (Cr)'!$C:$FB,95)</f>
        <v>480</v>
      </c>
      <c r="L20" s="91">
        <f>VLOOKUP($A20,'Data Vlaue (Cr)'!$C:$FB,97)</f>
        <v>-1</v>
      </c>
      <c r="M20" s="92">
        <f>VLOOKUP($A20,'Data Vlaue (Cr)'!$C:$FB,98)</f>
        <v>-1.6000000000000001E-3</v>
      </c>
      <c r="N20" s="91">
        <f>VLOOKUP($A20,'Data Vlaue (Cr)'!$C:$FB,79)</f>
        <v>1822</v>
      </c>
      <c r="O20" s="92">
        <f>VLOOKUP($A20,'Data Vlaue (Cr)'!$C:$FB,82)</f>
        <v>-8.8000000000000005E-3</v>
      </c>
    </row>
    <row r="21" spans="1:15" x14ac:dyDescent="0.25">
      <c r="A21" s="97" t="str">
        <f>'Data Vlaue (Cr)'!C16</f>
        <v>ASHOKLEY</v>
      </c>
      <c r="B21" s="142">
        <f>VLOOKUP(A21,'Data Vlaue (Cr)'!C16:CW234,99,0)</f>
        <v>4956</v>
      </c>
      <c r="C21" s="90">
        <f>VLOOKUP(A21,'Data Vlaue (Cr)'!C16:CY234,101,0)</f>
        <v>58</v>
      </c>
      <c r="D21" s="139">
        <f>VLOOKUP(A21,'Data Vlaue (Cr)'!C16:CZ234,102,0)</f>
        <v>1.18E-2</v>
      </c>
      <c r="E21" s="91">
        <f>VLOOKUP($A21,'Data Vlaue (Cr)'!$C:$FB,75)</f>
        <v>2532</v>
      </c>
      <c r="F21" s="91">
        <f>VLOOKUP($A21,'Data Vlaue (Cr)'!$C:$FB,77)</f>
        <v>40</v>
      </c>
      <c r="G21" s="92">
        <f>VLOOKUP(A21,'Data Vlaue (Cr)'!C16:CB234,78,0)</f>
        <v>1.6E-2</v>
      </c>
      <c r="H21" s="91">
        <f>VLOOKUP($A21,'Data Vlaue (Cr)'!$C:$FB,91)</f>
        <v>1431</v>
      </c>
      <c r="I21" s="91">
        <f>VLOOKUP($A21,'Data Vlaue (Cr)'!$C:$FB,93)</f>
        <v>61</v>
      </c>
      <c r="J21" s="92">
        <f>VLOOKUP($A21,'Data Vlaue (Cr)'!$C:$FB,94)</f>
        <v>4.4499999999999998E-2</v>
      </c>
      <c r="K21" s="91">
        <f>VLOOKUP($A21,'Data Vlaue (Cr)'!$C:$FB,95)</f>
        <v>994</v>
      </c>
      <c r="L21" s="91">
        <f>VLOOKUP($A21,'Data Vlaue (Cr)'!$C:$FB,97)</f>
        <v>-43</v>
      </c>
      <c r="M21" s="92">
        <f>VLOOKUP($A21,'Data Vlaue (Cr)'!$C:$FB,98)</f>
        <v>-4.1399999999999999E-2</v>
      </c>
      <c r="N21" s="91">
        <f>VLOOKUP($A21,'Data Vlaue (Cr)'!$C:$FB,79)</f>
        <v>2410</v>
      </c>
      <c r="O21" s="92">
        <f>VLOOKUP($A21,'Data Vlaue (Cr)'!$C:$FB,82)</f>
        <v>8.9999999999999993E-3</v>
      </c>
    </row>
    <row r="22" spans="1:15" x14ac:dyDescent="0.25">
      <c r="A22" s="97" t="str">
        <f>'Data Vlaue (Cr)'!C17</f>
        <v>ASIANPAINT</v>
      </c>
      <c r="B22" s="142">
        <f>VLOOKUP(A22,'Data Vlaue (Cr)'!C17:CW235,99,0)</f>
        <v>5005</v>
      </c>
      <c r="C22" s="90">
        <f>VLOOKUP(A22,'Data Vlaue (Cr)'!C17:CY235,101,0)</f>
        <v>61</v>
      </c>
      <c r="D22" s="139">
        <f>VLOOKUP(A22,'Data Vlaue (Cr)'!C17:CZ235,102,0)</f>
        <v>1.23E-2</v>
      </c>
      <c r="E22" s="91">
        <f>VLOOKUP($A22,'Data Vlaue (Cr)'!$C:$FB,75)</f>
        <v>3399</v>
      </c>
      <c r="F22" s="91">
        <f>VLOOKUP($A22,'Data Vlaue (Cr)'!$C:$FB,77)</f>
        <v>-17</v>
      </c>
      <c r="G22" s="92">
        <f>VLOOKUP(A22,'Data Vlaue (Cr)'!C17:CB235,78,0)</f>
        <v>-5.1000000000000004E-3</v>
      </c>
      <c r="H22" s="91">
        <f>VLOOKUP($A22,'Data Vlaue (Cr)'!$C:$FB,91)</f>
        <v>772</v>
      </c>
      <c r="I22" s="91">
        <f>VLOOKUP($A22,'Data Vlaue (Cr)'!$C:$FB,93)</f>
        <v>36</v>
      </c>
      <c r="J22" s="92">
        <f>VLOOKUP($A22,'Data Vlaue (Cr)'!$C:$FB,94)</f>
        <v>4.8500000000000001E-2</v>
      </c>
      <c r="K22" s="91">
        <f>VLOOKUP($A22,'Data Vlaue (Cr)'!$C:$FB,95)</f>
        <v>833</v>
      </c>
      <c r="L22" s="91">
        <f>VLOOKUP($A22,'Data Vlaue (Cr)'!$C:$FB,97)</f>
        <v>42</v>
      </c>
      <c r="M22" s="92">
        <f>VLOOKUP($A22,'Data Vlaue (Cr)'!$C:$FB,98)</f>
        <v>5.3699999999999998E-2</v>
      </c>
      <c r="N22" s="91">
        <f>VLOOKUP($A22,'Data Vlaue (Cr)'!$C:$FB,79)</f>
        <v>3137</v>
      </c>
      <c r="O22" s="92">
        <f>VLOOKUP($A22,'Data Vlaue (Cr)'!$C:$FB,82)</f>
        <v>-7.3000000000000001E-3</v>
      </c>
    </row>
    <row r="23" spans="1:15" x14ac:dyDescent="0.25">
      <c r="A23" s="97" t="str">
        <f>'Data Vlaue (Cr)'!C18</f>
        <v>ASTRAL</v>
      </c>
      <c r="B23" s="142">
        <f>VLOOKUP(A23,'Data Vlaue (Cr)'!C18:CW236,99,0)</f>
        <v>1908</v>
      </c>
      <c r="C23" s="90">
        <f>VLOOKUP(A23,'Data Vlaue (Cr)'!C18:CY236,101,0)</f>
        <v>10</v>
      </c>
      <c r="D23" s="139">
        <f>VLOOKUP(A23,'Data Vlaue (Cr)'!C18:CZ236,102,0)</f>
        <v>5.4000000000000003E-3</v>
      </c>
      <c r="E23" s="91">
        <f>VLOOKUP($A23,'Data Vlaue (Cr)'!$C:$FB,75)</f>
        <v>1418</v>
      </c>
      <c r="F23" s="91">
        <f>VLOOKUP($A23,'Data Vlaue (Cr)'!$C:$FB,77)</f>
        <v>43</v>
      </c>
      <c r="G23" s="92">
        <f>VLOOKUP(A23,'Data Vlaue (Cr)'!C18:CB236,78,0)</f>
        <v>3.1300000000000001E-2</v>
      </c>
      <c r="H23" s="91">
        <f>VLOOKUP($A23,'Data Vlaue (Cr)'!$C:$FB,91)</f>
        <v>293</v>
      </c>
      <c r="I23" s="91">
        <f>VLOOKUP($A23,'Data Vlaue (Cr)'!$C:$FB,93)</f>
        <v>-21</v>
      </c>
      <c r="J23" s="92">
        <f>VLOOKUP($A23,'Data Vlaue (Cr)'!$C:$FB,94)</f>
        <v>-6.54E-2</v>
      </c>
      <c r="K23" s="91">
        <f>VLOOKUP($A23,'Data Vlaue (Cr)'!$C:$FB,95)</f>
        <v>197</v>
      </c>
      <c r="L23" s="91">
        <f>VLOOKUP($A23,'Data Vlaue (Cr)'!$C:$FB,97)</f>
        <v>-12</v>
      </c>
      <c r="M23" s="92">
        <f>VLOOKUP($A23,'Data Vlaue (Cr)'!$C:$FB,98)</f>
        <v>-5.8900000000000001E-2</v>
      </c>
      <c r="N23" s="91">
        <f>VLOOKUP($A23,'Data Vlaue (Cr)'!$C:$FB,79)</f>
        <v>1310</v>
      </c>
      <c r="O23" s="92">
        <f>VLOOKUP($A23,'Data Vlaue (Cr)'!$C:$FB,82)</f>
        <v>1.8200000000000001E-2</v>
      </c>
    </row>
    <row r="24" spans="1:15" x14ac:dyDescent="0.25">
      <c r="A24" s="97" t="str">
        <f>'Data Vlaue (Cr)'!C19</f>
        <v>AUBANK</v>
      </c>
      <c r="B24" s="142">
        <f>VLOOKUP(A24,'Data Vlaue (Cr)'!C19:CW237,99,0)</f>
        <v>3419</v>
      </c>
      <c r="C24" s="90">
        <f>VLOOKUP(A24,'Data Vlaue (Cr)'!C19:CY237,101,0)</f>
        <v>62</v>
      </c>
      <c r="D24" s="139">
        <f>VLOOKUP(A24,'Data Vlaue (Cr)'!C19:CZ237,102,0)</f>
        <v>1.8599999999999998E-2</v>
      </c>
      <c r="E24" s="91">
        <f>VLOOKUP($A24,'Data Vlaue (Cr)'!$C:$FB,75)</f>
        <v>2442</v>
      </c>
      <c r="F24" s="91">
        <f>VLOOKUP($A24,'Data Vlaue (Cr)'!$C:$FB,77)</f>
        <v>16</v>
      </c>
      <c r="G24" s="92">
        <f>VLOOKUP(A24,'Data Vlaue (Cr)'!C19:CB237,78,0)</f>
        <v>6.4999999999999997E-3</v>
      </c>
      <c r="H24" s="91">
        <f>VLOOKUP($A24,'Data Vlaue (Cr)'!$C:$FB,91)</f>
        <v>516</v>
      </c>
      <c r="I24" s="91">
        <f>VLOOKUP($A24,'Data Vlaue (Cr)'!$C:$FB,93)</f>
        <v>9</v>
      </c>
      <c r="J24" s="92">
        <f>VLOOKUP($A24,'Data Vlaue (Cr)'!$C:$FB,94)</f>
        <v>1.7100000000000001E-2</v>
      </c>
      <c r="K24" s="91">
        <f>VLOOKUP($A24,'Data Vlaue (Cr)'!$C:$FB,95)</f>
        <v>461</v>
      </c>
      <c r="L24" s="91">
        <f>VLOOKUP($A24,'Data Vlaue (Cr)'!$C:$FB,97)</f>
        <v>38</v>
      </c>
      <c r="M24" s="92">
        <f>VLOOKUP($A24,'Data Vlaue (Cr)'!$C:$FB,98)</f>
        <v>8.9899999999999994E-2</v>
      </c>
      <c r="N24" s="91">
        <f>VLOOKUP($A24,'Data Vlaue (Cr)'!$C:$FB,79)</f>
        <v>2376</v>
      </c>
      <c r="O24" s="92">
        <f>VLOOKUP($A24,'Data Vlaue (Cr)'!$C:$FB,82)</f>
        <v>2.3E-3</v>
      </c>
    </row>
    <row r="25" spans="1:15" x14ac:dyDescent="0.25">
      <c r="A25" s="97" t="str">
        <f>'Data Vlaue (Cr)'!C20</f>
        <v>AUROPHARMA</v>
      </c>
      <c r="B25" s="142">
        <f>VLOOKUP(A25,'Data Vlaue (Cr)'!C20:CW238,99,0)</f>
        <v>3675</v>
      </c>
      <c r="C25" s="90">
        <f>VLOOKUP(A25,'Data Vlaue (Cr)'!C20:CY238,101,0)</f>
        <v>-7</v>
      </c>
      <c r="D25" s="139">
        <f>VLOOKUP(A25,'Data Vlaue (Cr)'!C20:CZ238,102,0)</f>
        <v>-1.9E-3</v>
      </c>
      <c r="E25" s="91">
        <f>VLOOKUP($A25,'Data Vlaue (Cr)'!$C:$FB,75)</f>
        <v>2876</v>
      </c>
      <c r="F25" s="91">
        <f>VLOOKUP($A25,'Data Vlaue (Cr)'!$C:$FB,77)</f>
        <v>8</v>
      </c>
      <c r="G25" s="92">
        <f>VLOOKUP(A25,'Data Vlaue (Cr)'!C20:CB238,78,0)</f>
        <v>2.7000000000000001E-3</v>
      </c>
      <c r="H25" s="91">
        <f>VLOOKUP($A25,'Data Vlaue (Cr)'!$C:$FB,91)</f>
        <v>478</v>
      </c>
      <c r="I25" s="91">
        <f>VLOOKUP($A25,'Data Vlaue (Cr)'!$C:$FB,93)</f>
        <v>-22</v>
      </c>
      <c r="J25" s="92">
        <f>VLOOKUP($A25,'Data Vlaue (Cr)'!$C:$FB,94)</f>
        <v>-4.4400000000000002E-2</v>
      </c>
      <c r="K25" s="91">
        <f>VLOOKUP($A25,'Data Vlaue (Cr)'!$C:$FB,95)</f>
        <v>322</v>
      </c>
      <c r="L25" s="91">
        <f>VLOOKUP($A25,'Data Vlaue (Cr)'!$C:$FB,97)</f>
        <v>8</v>
      </c>
      <c r="M25" s="92">
        <f>VLOOKUP($A25,'Data Vlaue (Cr)'!$C:$FB,98)</f>
        <v>2.4500000000000001E-2</v>
      </c>
      <c r="N25" s="91">
        <f>VLOOKUP($A25,'Data Vlaue (Cr)'!$C:$FB,79)</f>
        <v>2850</v>
      </c>
      <c r="O25" s="92">
        <f>VLOOKUP($A25,'Data Vlaue (Cr)'!$C:$FB,82)</f>
        <v>1.9E-3</v>
      </c>
    </row>
    <row r="26" spans="1:15" x14ac:dyDescent="0.25">
      <c r="A26" s="97" t="str">
        <f>'Data Vlaue (Cr)'!C21</f>
        <v>AXISBANK</v>
      </c>
      <c r="B26" s="142">
        <f>VLOOKUP(A26,'Data Vlaue (Cr)'!C21:CW239,99,0)</f>
        <v>12206</v>
      </c>
      <c r="C26" s="90">
        <f>VLOOKUP(A26,'Data Vlaue (Cr)'!C21:CY239,101,0)</f>
        <v>50</v>
      </c>
      <c r="D26" s="139">
        <f>VLOOKUP(A26,'Data Vlaue (Cr)'!C21:CZ239,102,0)</f>
        <v>4.1000000000000003E-3</v>
      </c>
      <c r="E26" s="91">
        <f>VLOOKUP($A26,'Data Vlaue (Cr)'!$C:$FB,75)</f>
        <v>9116</v>
      </c>
      <c r="F26" s="91">
        <f>VLOOKUP($A26,'Data Vlaue (Cr)'!$C:$FB,77)</f>
        <v>-3</v>
      </c>
      <c r="G26" s="92">
        <f>VLOOKUP(A26,'Data Vlaue (Cr)'!C21:CB239,78,0)</f>
        <v>-2.9999999999999997E-4</v>
      </c>
      <c r="H26" s="91">
        <f>VLOOKUP($A26,'Data Vlaue (Cr)'!$C:$FB,91)</f>
        <v>1630</v>
      </c>
      <c r="I26" s="91">
        <f>VLOOKUP($A26,'Data Vlaue (Cr)'!$C:$FB,93)</f>
        <v>113</v>
      </c>
      <c r="J26" s="92">
        <f>VLOOKUP($A26,'Data Vlaue (Cr)'!$C:$FB,94)</f>
        <v>7.4300000000000005E-2</v>
      </c>
      <c r="K26" s="91">
        <f>VLOOKUP($A26,'Data Vlaue (Cr)'!$C:$FB,95)</f>
        <v>1461</v>
      </c>
      <c r="L26" s="91">
        <f>VLOOKUP($A26,'Data Vlaue (Cr)'!$C:$FB,97)</f>
        <v>-60</v>
      </c>
      <c r="M26" s="92">
        <f>VLOOKUP($A26,'Data Vlaue (Cr)'!$C:$FB,98)</f>
        <v>-3.9399999999999998E-2</v>
      </c>
      <c r="N26" s="91">
        <f>VLOOKUP($A26,'Data Vlaue (Cr)'!$C:$FB,79)</f>
        <v>7225</v>
      </c>
      <c r="O26" s="92">
        <f>VLOOKUP($A26,'Data Vlaue (Cr)'!$C:$FB,82)</f>
        <v>-4.8999999999999998E-3</v>
      </c>
    </row>
    <row r="27" spans="1:15" x14ac:dyDescent="0.25">
      <c r="A27" s="97" t="str">
        <f>'Data Vlaue (Cr)'!C22</f>
        <v>BAJAJ-AUTO</v>
      </c>
      <c r="B27" s="142">
        <f>VLOOKUP(A27,'Data Vlaue (Cr)'!C22:CW240,99,0)</f>
        <v>4659</v>
      </c>
      <c r="C27" s="90">
        <f>VLOOKUP(A27,'Data Vlaue (Cr)'!C22:CY240,101,0)</f>
        <v>246</v>
      </c>
      <c r="D27" s="139">
        <f>VLOOKUP(A27,'Data Vlaue (Cr)'!C22:CZ240,102,0)</f>
        <v>5.57E-2</v>
      </c>
      <c r="E27" s="91">
        <f>VLOOKUP($A27,'Data Vlaue (Cr)'!$C:$FB,75)</f>
        <v>3163</v>
      </c>
      <c r="F27" s="91">
        <f>VLOOKUP($A27,'Data Vlaue (Cr)'!$C:$FB,77)</f>
        <v>36</v>
      </c>
      <c r="G27" s="92">
        <f>VLOOKUP(A27,'Data Vlaue (Cr)'!C22:CB240,78,0)</f>
        <v>1.14E-2</v>
      </c>
      <c r="H27" s="91">
        <f>VLOOKUP($A27,'Data Vlaue (Cr)'!$C:$FB,91)</f>
        <v>795</v>
      </c>
      <c r="I27" s="91">
        <f>VLOOKUP($A27,'Data Vlaue (Cr)'!$C:$FB,93)</f>
        <v>111</v>
      </c>
      <c r="J27" s="92">
        <f>VLOOKUP($A27,'Data Vlaue (Cr)'!$C:$FB,94)</f>
        <v>0.1618</v>
      </c>
      <c r="K27" s="91">
        <f>VLOOKUP($A27,'Data Vlaue (Cr)'!$C:$FB,95)</f>
        <v>701</v>
      </c>
      <c r="L27" s="91">
        <f>VLOOKUP($A27,'Data Vlaue (Cr)'!$C:$FB,97)</f>
        <v>99</v>
      </c>
      <c r="M27" s="92">
        <f>VLOOKUP($A27,'Data Vlaue (Cr)'!$C:$FB,98)</f>
        <v>0.16500000000000001</v>
      </c>
      <c r="N27" s="91">
        <f>VLOOKUP($A27,'Data Vlaue (Cr)'!$C:$FB,79)</f>
        <v>3092</v>
      </c>
      <c r="O27" s="92">
        <f>VLOOKUP($A27,'Data Vlaue (Cr)'!$C:$FB,82)</f>
        <v>5.8999999999999999E-3</v>
      </c>
    </row>
    <row r="28" spans="1:15" x14ac:dyDescent="0.25">
      <c r="A28" s="97" t="str">
        <f>'Data Vlaue (Cr)'!C23</f>
        <v>BAJAJFINSV</v>
      </c>
      <c r="B28" s="142">
        <f>VLOOKUP(A28,'Data Vlaue (Cr)'!C23:CW241,99,0)</f>
        <v>3220</v>
      </c>
      <c r="C28" s="90">
        <f>VLOOKUP(A28,'Data Vlaue (Cr)'!C23:CY241,101,0)</f>
        <v>98</v>
      </c>
      <c r="D28" s="139">
        <f>VLOOKUP(A28,'Data Vlaue (Cr)'!C23:CZ241,102,0)</f>
        <v>3.1300000000000001E-2</v>
      </c>
      <c r="E28" s="91">
        <f>VLOOKUP($A28,'Data Vlaue (Cr)'!$C:$FB,75)</f>
        <v>2084</v>
      </c>
      <c r="F28" s="91">
        <f>VLOOKUP($A28,'Data Vlaue (Cr)'!$C:$FB,77)</f>
        <v>22</v>
      </c>
      <c r="G28" s="92">
        <f>VLOOKUP(A28,'Data Vlaue (Cr)'!C23:CB241,78,0)</f>
        <v>1.0699999999999999E-2</v>
      </c>
      <c r="H28" s="91">
        <f>VLOOKUP($A28,'Data Vlaue (Cr)'!$C:$FB,91)</f>
        <v>541</v>
      </c>
      <c r="I28" s="91">
        <f>VLOOKUP($A28,'Data Vlaue (Cr)'!$C:$FB,93)</f>
        <v>13</v>
      </c>
      <c r="J28" s="92">
        <f>VLOOKUP($A28,'Data Vlaue (Cr)'!$C:$FB,94)</f>
        <v>2.47E-2</v>
      </c>
      <c r="K28" s="91">
        <f>VLOOKUP($A28,'Data Vlaue (Cr)'!$C:$FB,95)</f>
        <v>595</v>
      </c>
      <c r="L28" s="91">
        <f>VLOOKUP($A28,'Data Vlaue (Cr)'!$C:$FB,97)</f>
        <v>63</v>
      </c>
      <c r="M28" s="92">
        <f>VLOOKUP($A28,'Data Vlaue (Cr)'!$C:$FB,98)</f>
        <v>0.1176</v>
      </c>
      <c r="N28" s="91">
        <f>VLOOKUP($A28,'Data Vlaue (Cr)'!$C:$FB,79)</f>
        <v>1792</v>
      </c>
      <c r="O28" s="92">
        <f>VLOOKUP($A28,'Data Vlaue (Cr)'!$C:$FB,82)</f>
        <v>1.03E-2</v>
      </c>
    </row>
    <row r="29" spans="1:15" x14ac:dyDescent="0.25">
      <c r="A29" s="97" t="str">
        <f>'Data Vlaue (Cr)'!C24</f>
        <v>BAJAJHLDNG</v>
      </c>
      <c r="B29" s="142">
        <f>VLOOKUP(A29,'Data Vlaue (Cr)'!C24:CW242,99,0)</f>
        <v>366</v>
      </c>
      <c r="C29" s="90">
        <f>VLOOKUP(A29,'Data Vlaue (Cr)'!C24:CY242,101,0)</f>
        <v>14</v>
      </c>
      <c r="D29" s="139">
        <f>VLOOKUP(A29,'Data Vlaue (Cr)'!C24:CZ242,102,0)</f>
        <v>3.8300000000000001E-2</v>
      </c>
      <c r="E29" s="91">
        <f>VLOOKUP($A29,'Data Vlaue (Cr)'!$C:$FB,75)</f>
        <v>282</v>
      </c>
      <c r="F29" s="91">
        <f>VLOOKUP($A29,'Data Vlaue (Cr)'!$C:$FB,77)</f>
        <v>8</v>
      </c>
      <c r="G29" s="92">
        <f>VLOOKUP(A29,'Data Vlaue (Cr)'!C24:CB242,78,0)</f>
        <v>2.9399999999999999E-2</v>
      </c>
      <c r="H29" s="91">
        <f>VLOOKUP($A29,'Data Vlaue (Cr)'!$C:$FB,91)</f>
        <v>51</v>
      </c>
      <c r="I29" s="91">
        <f>VLOOKUP($A29,'Data Vlaue (Cr)'!$C:$FB,93)</f>
        <v>3</v>
      </c>
      <c r="J29" s="92">
        <f>VLOOKUP($A29,'Data Vlaue (Cr)'!$C:$FB,94)</f>
        <v>7.3700000000000002E-2</v>
      </c>
      <c r="K29" s="91">
        <f>VLOOKUP($A29,'Data Vlaue (Cr)'!$C:$FB,95)</f>
        <v>34</v>
      </c>
      <c r="L29" s="91">
        <f>VLOOKUP($A29,'Data Vlaue (Cr)'!$C:$FB,97)</f>
        <v>2</v>
      </c>
      <c r="M29" s="92">
        <f>VLOOKUP($A29,'Data Vlaue (Cr)'!$C:$FB,98)</f>
        <v>6.2399999999999997E-2</v>
      </c>
      <c r="N29" s="91">
        <f>VLOOKUP($A29,'Data Vlaue (Cr)'!$C:$FB,79)</f>
        <v>250</v>
      </c>
      <c r="O29" s="92">
        <f>VLOOKUP($A29,'Data Vlaue (Cr)'!$C:$FB,82)</f>
        <v>3.0700000000000002E-2</v>
      </c>
    </row>
    <row r="30" spans="1:15" x14ac:dyDescent="0.25">
      <c r="A30" s="97" t="str">
        <f>'Data Vlaue (Cr)'!C25</f>
        <v>BAJFINANCE</v>
      </c>
      <c r="B30" s="142">
        <f>VLOOKUP(A30,'Data Vlaue (Cr)'!C25:CW243,99,0)</f>
        <v>9458</v>
      </c>
      <c r="C30" s="90">
        <f>VLOOKUP(A30,'Data Vlaue (Cr)'!C25:CY243,101,0)</f>
        <v>206</v>
      </c>
      <c r="D30" s="139">
        <f>VLOOKUP(A30,'Data Vlaue (Cr)'!C25:CZ243,102,0)</f>
        <v>2.23E-2</v>
      </c>
      <c r="E30" s="91">
        <f>VLOOKUP($A30,'Data Vlaue (Cr)'!$C:$FB,75)</f>
        <v>6507</v>
      </c>
      <c r="F30" s="91">
        <f>VLOOKUP($A30,'Data Vlaue (Cr)'!$C:$FB,77)</f>
        <v>50</v>
      </c>
      <c r="G30" s="92">
        <f>VLOOKUP(A30,'Data Vlaue (Cr)'!C25:CB243,78,0)</f>
        <v>7.7000000000000002E-3</v>
      </c>
      <c r="H30" s="91">
        <f>VLOOKUP($A30,'Data Vlaue (Cr)'!$C:$FB,91)</f>
        <v>1610</v>
      </c>
      <c r="I30" s="91">
        <f>VLOOKUP($A30,'Data Vlaue (Cr)'!$C:$FB,93)</f>
        <v>79</v>
      </c>
      <c r="J30" s="92">
        <f>VLOOKUP($A30,'Data Vlaue (Cr)'!$C:$FB,94)</f>
        <v>5.1700000000000003E-2</v>
      </c>
      <c r="K30" s="91">
        <f>VLOOKUP($A30,'Data Vlaue (Cr)'!$C:$FB,95)</f>
        <v>1340</v>
      </c>
      <c r="L30" s="91">
        <f>VLOOKUP($A30,'Data Vlaue (Cr)'!$C:$FB,97)</f>
        <v>77</v>
      </c>
      <c r="M30" s="92">
        <f>VLOOKUP($A30,'Data Vlaue (Cr)'!$C:$FB,98)</f>
        <v>6.1100000000000002E-2</v>
      </c>
      <c r="N30" s="91">
        <f>VLOOKUP($A30,'Data Vlaue (Cr)'!$C:$FB,79)</f>
        <v>6144</v>
      </c>
      <c r="O30" s="92">
        <f>VLOOKUP($A30,'Data Vlaue (Cr)'!$C:$FB,82)</f>
        <v>6.4000000000000003E-3</v>
      </c>
    </row>
    <row r="31" spans="1:15" x14ac:dyDescent="0.25">
      <c r="A31" s="97" t="str">
        <f>'Data Vlaue (Cr)'!C26</f>
        <v>BANDHANBNK</v>
      </c>
      <c r="B31" s="142">
        <f>VLOOKUP(A31,'Data Vlaue (Cr)'!C26:CW244,99,0)</f>
        <v>2186</v>
      </c>
      <c r="C31" s="90">
        <f>VLOOKUP(A31,'Data Vlaue (Cr)'!C26:CY244,101,0)</f>
        <v>47</v>
      </c>
      <c r="D31" s="139">
        <f>VLOOKUP(A31,'Data Vlaue (Cr)'!C26:CZ244,102,0)</f>
        <v>2.18E-2</v>
      </c>
      <c r="E31" s="91">
        <f>VLOOKUP($A31,'Data Vlaue (Cr)'!$C:$FB,75)</f>
        <v>1521</v>
      </c>
      <c r="F31" s="91">
        <f>VLOOKUP($A31,'Data Vlaue (Cr)'!$C:$FB,77)</f>
        <v>-10</v>
      </c>
      <c r="G31" s="92">
        <f>VLOOKUP(A31,'Data Vlaue (Cr)'!C26:CB244,78,0)</f>
        <v>-6.1999999999999998E-3</v>
      </c>
      <c r="H31" s="91">
        <f>VLOOKUP($A31,'Data Vlaue (Cr)'!$C:$FB,91)</f>
        <v>377</v>
      </c>
      <c r="I31" s="91">
        <f>VLOOKUP($A31,'Data Vlaue (Cr)'!$C:$FB,93)</f>
        <v>32</v>
      </c>
      <c r="J31" s="92">
        <f>VLOOKUP($A31,'Data Vlaue (Cr)'!$C:$FB,94)</f>
        <v>9.1800000000000007E-2</v>
      </c>
      <c r="K31" s="91">
        <f>VLOOKUP($A31,'Data Vlaue (Cr)'!$C:$FB,95)</f>
        <v>288</v>
      </c>
      <c r="L31" s="91">
        <f>VLOOKUP($A31,'Data Vlaue (Cr)'!$C:$FB,97)</f>
        <v>24</v>
      </c>
      <c r="M31" s="92">
        <f>VLOOKUP($A31,'Data Vlaue (Cr)'!$C:$FB,98)</f>
        <v>9.2600000000000002E-2</v>
      </c>
      <c r="N31" s="91">
        <f>VLOOKUP($A31,'Data Vlaue (Cr)'!$C:$FB,79)</f>
        <v>1460</v>
      </c>
      <c r="O31" s="92">
        <f>VLOOKUP($A31,'Data Vlaue (Cr)'!$C:$FB,82)</f>
        <v>-7.3000000000000001E-3</v>
      </c>
    </row>
    <row r="32" spans="1:15" x14ac:dyDescent="0.25">
      <c r="A32" s="97" t="str">
        <f>'Data Vlaue (Cr)'!C27</f>
        <v>BANKBARODA</v>
      </c>
      <c r="B32" s="142">
        <f>VLOOKUP(A32,'Data Vlaue (Cr)'!C27:CW245,99,0)</f>
        <v>4817</v>
      </c>
      <c r="C32" s="90">
        <f>VLOOKUP(A32,'Data Vlaue (Cr)'!C27:CY245,101,0)</f>
        <v>136</v>
      </c>
      <c r="D32" s="139">
        <f>VLOOKUP(A32,'Data Vlaue (Cr)'!C27:CZ245,102,0)</f>
        <v>2.9000000000000001E-2</v>
      </c>
      <c r="E32" s="91">
        <f>VLOOKUP($A32,'Data Vlaue (Cr)'!$C:$FB,75)</f>
        <v>2931</v>
      </c>
      <c r="F32" s="91">
        <f>VLOOKUP($A32,'Data Vlaue (Cr)'!$C:$FB,77)</f>
        <v>26</v>
      </c>
      <c r="G32" s="92">
        <f>VLOOKUP(A32,'Data Vlaue (Cr)'!C27:CB245,78,0)</f>
        <v>9.1000000000000004E-3</v>
      </c>
      <c r="H32" s="91">
        <f>VLOOKUP($A32,'Data Vlaue (Cr)'!$C:$FB,91)</f>
        <v>978</v>
      </c>
      <c r="I32" s="91">
        <f>VLOOKUP($A32,'Data Vlaue (Cr)'!$C:$FB,93)</f>
        <v>76</v>
      </c>
      <c r="J32" s="92">
        <f>VLOOKUP($A32,'Data Vlaue (Cr)'!$C:$FB,94)</f>
        <v>8.4000000000000005E-2</v>
      </c>
      <c r="K32" s="91">
        <f>VLOOKUP($A32,'Data Vlaue (Cr)'!$C:$FB,95)</f>
        <v>908</v>
      </c>
      <c r="L32" s="91">
        <f>VLOOKUP($A32,'Data Vlaue (Cr)'!$C:$FB,97)</f>
        <v>34</v>
      </c>
      <c r="M32" s="92">
        <f>VLOOKUP($A32,'Data Vlaue (Cr)'!$C:$FB,98)</f>
        <v>3.8600000000000002E-2</v>
      </c>
      <c r="N32" s="91">
        <f>VLOOKUP($A32,'Data Vlaue (Cr)'!$C:$FB,79)</f>
        <v>2828</v>
      </c>
      <c r="O32" s="92">
        <f>VLOOKUP($A32,'Data Vlaue (Cr)'!$C:$FB,82)</f>
        <v>5.3E-3</v>
      </c>
    </row>
    <row r="33" spans="1:15" x14ac:dyDescent="0.25">
      <c r="A33" s="97" t="str">
        <f>'Data Vlaue (Cr)'!C28</f>
        <v>BANKINDIA</v>
      </c>
      <c r="B33" s="142">
        <f>VLOOKUP(A33,'Data Vlaue (Cr)'!C28:CW246,99,0)</f>
        <v>1397</v>
      </c>
      <c r="C33" s="90">
        <f>VLOOKUP(A33,'Data Vlaue (Cr)'!C28:CY246,101,0)</f>
        <v>102</v>
      </c>
      <c r="D33" s="139">
        <f>VLOOKUP(A33,'Data Vlaue (Cr)'!C28:CZ246,102,0)</f>
        <v>7.8899999999999998E-2</v>
      </c>
      <c r="E33" s="91">
        <f>VLOOKUP($A33,'Data Vlaue (Cr)'!$C:$FB,75)</f>
        <v>841</v>
      </c>
      <c r="F33" s="91">
        <f>VLOOKUP($A33,'Data Vlaue (Cr)'!$C:$FB,77)</f>
        <v>30</v>
      </c>
      <c r="G33" s="92">
        <f>VLOOKUP(A33,'Data Vlaue (Cr)'!C28:CB246,78,0)</f>
        <v>3.73E-2</v>
      </c>
      <c r="H33" s="91">
        <f>VLOOKUP($A33,'Data Vlaue (Cr)'!$C:$FB,91)</f>
        <v>253</v>
      </c>
      <c r="I33" s="91">
        <f>VLOOKUP($A33,'Data Vlaue (Cr)'!$C:$FB,93)</f>
        <v>16</v>
      </c>
      <c r="J33" s="92">
        <f>VLOOKUP($A33,'Data Vlaue (Cr)'!$C:$FB,94)</f>
        <v>6.8599999999999994E-2</v>
      </c>
      <c r="K33" s="91">
        <f>VLOOKUP($A33,'Data Vlaue (Cr)'!$C:$FB,95)</f>
        <v>302</v>
      </c>
      <c r="L33" s="91">
        <f>VLOOKUP($A33,'Data Vlaue (Cr)'!$C:$FB,97)</f>
        <v>56</v>
      </c>
      <c r="M33" s="92">
        <f>VLOOKUP($A33,'Data Vlaue (Cr)'!$C:$FB,98)</f>
        <v>0.22539999999999999</v>
      </c>
      <c r="N33" s="91">
        <f>VLOOKUP($A33,'Data Vlaue (Cr)'!$C:$FB,79)</f>
        <v>810</v>
      </c>
      <c r="O33" s="92">
        <f>VLOOKUP($A33,'Data Vlaue (Cr)'!$C:$FB,82)</f>
        <v>3.0800000000000001E-2</v>
      </c>
    </row>
    <row r="34" spans="1:15" x14ac:dyDescent="0.25">
      <c r="A34" s="97" t="str">
        <f>'Data Vlaue (Cr)'!C29</f>
        <v>BANKNIFTY</v>
      </c>
      <c r="B34" s="142">
        <f>VLOOKUP(A34,'Data Vlaue (Cr)'!C29:CW247,99,0)</f>
        <v>178189</v>
      </c>
      <c r="C34" s="90">
        <f>VLOOKUP(A34,'Data Vlaue (Cr)'!C29:CY247,101,0)</f>
        <v>7880</v>
      </c>
      <c r="D34" s="139">
        <f>VLOOKUP(A34,'Data Vlaue (Cr)'!C29:CZ247,102,0)</f>
        <v>4.6300000000000001E-2</v>
      </c>
      <c r="E34" s="91">
        <f>VLOOKUP($A34,'Data Vlaue (Cr)'!$C:$FB,75)</f>
        <v>13805</v>
      </c>
      <c r="F34" s="91">
        <f>VLOOKUP($A34,'Data Vlaue (Cr)'!$C:$FB,77)</f>
        <v>86</v>
      </c>
      <c r="G34" s="92">
        <f>VLOOKUP(A34,'Data Vlaue (Cr)'!C29:CB247,78,0)</f>
        <v>6.3E-3</v>
      </c>
      <c r="H34" s="91">
        <f>VLOOKUP($A34,'Data Vlaue (Cr)'!$C:$FB,91)</f>
        <v>92747</v>
      </c>
      <c r="I34" s="91">
        <f>VLOOKUP($A34,'Data Vlaue (Cr)'!$C:$FB,93)</f>
        <v>5967</v>
      </c>
      <c r="J34" s="92">
        <f>VLOOKUP($A34,'Data Vlaue (Cr)'!$C:$FB,94)</f>
        <v>6.88E-2</v>
      </c>
      <c r="K34" s="91">
        <f>VLOOKUP($A34,'Data Vlaue (Cr)'!$C:$FB,95)</f>
        <v>71636</v>
      </c>
      <c r="L34" s="91">
        <f>VLOOKUP($A34,'Data Vlaue (Cr)'!$C:$FB,97)</f>
        <v>1827</v>
      </c>
      <c r="M34" s="92">
        <f>VLOOKUP($A34,'Data Vlaue (Cr)'!$C:$FB,98)</f>
        <v>2.6200000000000001E-2</v>
      </c>
      <c r="N34" s="91">
        <f>VLOOKUP($A34,'Data Vlaue (Cr)'!$C:$FB,79)</f>
        <v>11597</v>
      </c>
      <c r="O34" s="92">
        <f>VLOOKUP($A34,'Data Vlaue (Cr)'!$C:$FB,82)</f>
        <v>-4.1999999999999997E-3</v>
      </c>
    </row>
    <row r="35" spans="1:15" x14ac:dyDescent="0.25">
      <c r="A35" s="97" t="str">
        <f>'Data Vlaue (Cr)'!C30</f>
        <v>BDL</v>
      </c>
      <c r="B35" s="142">
        <f>VLOOKUP(A35,'Data Vlaue (Cr)'!C30:CW248,99,0)</f>
        <v>1154</v>
      </c>
      <c r="C35" s="90">
        <f>VLOOKUP(A35,'Data Vlaue (Cr)'!C30:CY248,101,0)</f>
        <v>32</v>
      </c>
      <c r="D35" s="139">
        <f>VLOOKUP(A35,'Data Vlaue (Cr)'!C30:CZ248,102,0)</f>
        <v>2.8199999999999999E-2</v>
      </c>
      <c r="E35" s="91">
        <f>VLOOKUP($A35,'Data Vlaue (Cr)'!$C:$FB,75)</f>
        <v>531</v>
      </c>
      <c r="F35" s="91">
        <f>VLOOKUP($A35,'Data Vlaue (Cr)'!$C:$FB,77)</f>
        <v>7</v>
      </c>
      <c r="G35" s="92">
        <f>VLOOKUP(A35,'Data Vlaue (Cr)'!C30:CB248,78,0)</f>
        <v>1.41E-2</v>
      </c>
      <c r="H35" s="91">
        <f>VLOOKUP($A35,'Data Vlaue (Cr)'!$C:$FB,91)</f>
        <v>338</v>
      </c>
      <c r="I35" s="91">
        <f>VLOOKUP($A35,'Data Vlaue (Cr)'!$C:$FB,93)</f>
        <v>1</v>
      </c>
      <c r="J35" s="92">
        <f>VLOOKUP($A35,'Data Vlaue (Cr)'!$C:$FB,94)</f>
        <v>1.8E-3</v>
      </c>
      <c r="K35" s="91">
        <f>VLOOKUP($A35,'Data Vlaue (Cr)'!$C:$FB,95)</f>
        <v>285</v>
      </c>
      <c r="L35" s="91">
        <f>VLOOKUP($A35,'Data Vlaue (Cr)'!$C:$FB,97)</f>
        <v>24</v>
      </c>
      <c r="M35" s="92">
        <f>VLOOKUP($A35,'Data Vlaue (Cr)'!$C:$FB,98)</f>
        <v>9.0899999999999995E-2</v>
      </c>
      <c r="N35" s="91">
        <f>VLOOKUP($A35,'Data Vlaue (Cr)'!$C:$FB,79)</f>
        <v>459</v>
      </c>
      <c r="O35" s="92">
        <f>VLOOKUP($A35,'Data Vlaue (Cr)'!$C:$FB,82)</f>
        <v>-4.7999999999999996E-3</v>
      </c>
    </row>
    <row r="36" spans="1:15" x14ac:dyDescent="0.25">
      <c r="A36" s="97" t="str">
        <f>'Data Vlaue (Cr)'!C31</f>
        <v>BEL</v>
      </c>
      <c r="B36" s="142">
        <f>VLOOKUP(A36,'Data Vlaue (Cr)'!C31:CW249,99,0)</f>
        <v>7401</v>
      </c>
      <c r="C36" s="90">
        <f>VLOOKUP(A36,'Data Vlaue (Cr)'!C31:CY249,101,0)</f>
        <v>119</v>
      </c>
      <c r="D36" s="139">
        <f>VLOOKUP(A36,'Data Vlaue (Cr)'!C31:CZ249,102,0)</f>
        <v>1.6400000000000001E-2</v>
      </c>
      <c r="E36" s="91">
        <f>VLOOKUP($A36,'Data Vlaue (Cr)'!$C:$FB,75)</f>
        <v>4531</v>
      </c>
      <c r="F36" s="91">
        <f>VLOOKUP($A36,'Data Vlaue (Cr)'!$C:$FB,77)</f>
        <v>-59</v>
      </c>
      <c r="G36" s="92">
        <f>VLOOKUP(A36,'Data Vlaue (Cr)'!C31:CB249,78,0)</f>
        <v>-1.29E-2</v>
      </c>
      <c r="H36" s="91">
        <f>VLOOKUP($A36,'Data Vlaue (Cr)'!$C:$FB,91)</f>
        <v>1733</v>
      </c>
      <c r="I36" s="91">
        <f>VLOOKUP($A36,'Data Vlaue (Cr)'!$C:$FB,93)</f>
        <v>63</v>
      </c>
      <c r="J36" s="92">
        <f>VLOOKUP($A36,'Data Vlaue (Cr)'!$C:$FB,94)</f>
        <v>3.7600000000000001E-2</v>
      </c>
      <c r="K36" s="91">
        <f>VLOOKUP($A36,'Data Vlaue (Cr)'!$C:$FB,95)</f>
        <v>1137</v>
      </c>
      <c r="L36" s="91">
        <f>VLOOKUP($A36,'Data Vlaue (Cr)'!$C:$FB,97)</f>
        <v>116</v>
      </c>
      <c r="M36" s="92">
        <f>VLOOKUP($A36,'Data Vlaue (Cr)'!$C:$FB,98)</f>
        <v>0.1132</v>
      </c>
      <c r="N36" s="91">
        <f>VLOOKUP($A36,'Data Vlaue (Cr)'!$C:$FB,79)</f>
        <v>4146</v>
      </c>
      <c r="O36" s="92">
        <f>VLOOKUP($A36,'Data Vlaue (Cr)'!$C:$FB,82)</f>
        <v>-1.9800000000000002E-2</v>
      </c>
    </row>
    <row r="37" spans="1:15" x14ac:dyDescent="0.25">
      <c r="A37" s="97" t="str">
        <f>'Data Vlaue (Cr)'!C32</f>
        <v>BHARATFORG</v>
      </c>
      <c r="B37" s="142">
        <f>VLOOKUP(A37,'Data Vlaue (Cr)'!C32:CW250,99,0)</f>
        <v>2233</v>
      </c>
      <c r="C37" s="90">
        <f>VLOOKUP(A37,'Data Vlaue (Cr)'!C32:CY250,101,0)</f>
        <v>74</v>
      </c>
      <c r="D37" s="139">
        <f>VLOOKUP(A37,'Data Vlaue (Cr)'!C32:CZ250,102,0)</f>
        <v>3.4200000000000001E-2</v>
      </c>
      <c r="E37" s="91">
        <f>VLOOKUP($A37,'Data Vlaue (Cr)'!$C:$FB,75)</f>
        <v>1442</v>
      </c>
      <c r="F37" s="91">
        <f>VLOOKUP($A37,'Data Vlaue (Cr)'!$C:$FB,77)</f>
        <v>35</v>
      </c>
      <c r="G37" s="92">
        <f>VLOOKUP(A37,'Data Vlaue (Cr)'!C32:CB250,78,0)</f>
        <v>2.52E-2</v>
      </c>
      <c r="H37" s="91">
        <f>VLOOKUP($A37,'Data Vlaue (Cr)'!$C:$FB,91)</f>
        <v>515</v>
      </c>
      <c r="I37" s="91">
        <f>VLOOKUP($A37,'Data Vlaue (Cr)'!$C:$FB,93)</f>
        <v>40</v>
      </c>
      <c r="J37" s="92">
        <f>VLOOKUP($A37,'Data Vlaue (Cr)'!$C:$FB,94)</f>
        <v>8.5300000000000001E-2</v>
      </c>
      <c r="K37" s="91">
        <f>VLOOKUP($A37,'Data Vlaue (Cr)'!$C:$FB,95)</f>
        <v>276</v>
      </c>
      <c r="L37" s="91">
        <f>VLOOKUP($A37,'Data Vlaue (Cr)'!$C:$FB,97)</f>
        <v>-2</v>
      </c>
      <c r="M37" s="92">
        <f>VLOOKUP($A37,'Data Vlaue (Cr)'!$C:$FB,98)</f>
        <v>-7.1999999999999998E-3</v>
      </c>
      <c r="N37" s="91">
        <f>VLOOKUP($A37,'Data Vlaue (Cr)'!$C:$FB,79)</f>
        <v>1419</v>
      </c>
      <c r="O37" s="92">
        <f>VLOOKUP($A37,'Data Vlaue (Cr)'!$C:$FB,82)</f>
        <v>2.24E-2</v>
      </c>
    </row>
    <row r="38" spans="1:15" x14ac:dyDescent="0.25">
      <c r="A38" s="97" t="str">
        <f>'Data Vlaue (Cr)'!C33</f>
        <v>BHARTIARTL</v>
      </c>
      <c r="B38" s="142">
        <f>VLOOKUP(A38,'Data Vlaue (Cr)'!C33:CW251,99,0)</f>
        <v>14081</v>
      </c>
      <c r="C38" s="90">
        <f>VLOOKUP(A38,'Data Vlaue (Cr)'!C33:CY251,101,0)</f>
        <v>25</v>
      </c>
      <c r="D38" s="139">
        <f>VLOOKUP(A38,'Data Vlaue (Cr)'!C33:CZ251,102,0)</f>
        <v>1.8E-3</v>
      </c>
      <c r="E38" s="91">
        <f>VLOOKUP($A38,'Data Vlaue (Cr)'!$C:$FB,75)</f>
        <v>11014</v>
      </c>
      <c r="F38" s="91">
        <f>VLOOKUP($A38,'Data Vlaue (Cr)'!$C:$FB,77)</f>
        <v>-6</v>
      </c>
      <c r="G38" s="92">
        <f>VLOOKUP(A38,'Data Vlaue (Cr)'!C33:CB251,78,0)</f>
        <v>-5.0000000000000001E-4</v>
      </c>
      <c r="H38" s="91">
        <f>VLOOKUP($A38,'Data Vlaue (Cr)'!$C:$FB,91)</f>
        <v>1634</v>
      </c>
      <c r="I38" s="91">
        <f>VLOOKUP($A38,'Data Vlaue (Cr)'!$C:$FB,93)</f>
        <v>14</v>
      </c>
      <c r="J38" s="92">
        <f>VLOOKUP($A38,'Data Vlaue (Cr)'!$C:$FB,94)</f>
        <v>8.3999999999999995E-3</v>
      </c>
      <c r="K38" s="91">
        <f>VLOOKUP($A38,'Data Vlaue (Cr)'!$C:$FB,95)</f>
        <v>1433</v>
      </c>
      <c r="L38" s="91">
        <f>VLOOKUP($A38,'Data Vlaue (Cr)'!$C:$FB,97)</f>
        <v>17</v>
      </c>
      <c r="M38" s="92">
        <f>VLOOKUP($A38,'Data Vlaue (Cr)'!$C:$FB,98)</f>
        <v>1.23E-2</v>
      </c>
      <c r="N38" s="91">
        <f>VLOOKUP($A38,'Data Vlaue (Cr)'!$C:$FB,79)</f>
        <v>9339</v>
      </c>
      <c r="O38" s="92">
        <f>VLOOKUP($A38,'Data Vlaue (Cr)'!$C:$FB,82)</f>
        <v>-1.18E-2</v>
      </c>
    </row>
    <row r="39" spans="1:15" x14ac:dyDescent="0.25">
      <c r="A39" s="97" t="str">
        <f>'Data Vlaue (Cr)'!C34</f>
        <v>BHEL</v>
      </c>
      <c r="B39" s="142">
        <f>VLOOKUP(A39,'Data Vlaue (Cr)'!C34:CW252,99,0)</f>
        <v>4313</v>
      </c>
      <c r="C39" s="90">
        <f>VLOOKUP(A39,'Data Vlaue (Cr)'!C34:CY252,101,0)</f>
        <v>110</v>
      </c>
      <c r="D39" s="139">
        <f>VLOOKUP(A39,'Data Vlaue (Cr)'!C34:CZ252,102,0)</f>
        <v>2.6200000000000001E-2</v>
      </c>
      <c r="E39" s="91">
        <f>VLOOKUP($A39,'Data Vlaue (Cr)'!$C:$FB,75)</f>
        <v>2732</v>
      </c>
      <c r="F39" s="91">
        <f>VLOOKUP($A39,'Data Vlaue (Cr)'!$C:$FB,77)</f>
        <v>-10</v>
      </c>
      <c r="G39" s="92">
        <f>VLOOKUP(A39,'Data Vlaue (Cr)'!C34:CB252,78,0)</f>
        <v>-3.5999999999999999E-3</v>
      </c>
      <c r="H39" s="91">
        <f>VLOOKUP($A39,'Data Vlaue (Cr)'!$C:$FB,91)</f>
        <v>872</v>
      </c>
      <c r="I39" s="91">
        <f>VLOOKUP($A39,'Data Vlaue (Cr)'!$C:$FB,93)</f>
        <v>65</v>
      </c>
      <c r="J39" s="92">
        <f>VLOOKUP($A39,'Data Vlaue (Cr)'!$C:$FB,94)</f>
        <v>8.0100000000000005E-2</v>
      </c>
      <c r="K39" s="91">
        <f>VLOOKUP($A39,'Data Vlaue (Cr)'!$C:$FB,95)</f>
        <v>709</v>
      </c>
      <c r="L39" s="91">
        <f>VLOOKUP($A39,'Data Vlaue (Cr)'!$C:$FB,97)</f>
        <v>55</v>
      </c>
      <c r="M39" s="92">
        <f>VLOOKUP($A39,'Data Vlaue (Cr)'!$C:$FB,98)</f>
        <v>8.4599999999999995E-2</v>
      </c>
      <c r="N39" s="91">
        <f>VLOOKUP($A39,'Data Vlaue (Cr)'!$C:$FB,79)</f>
        <v>2672</v>
      </c>
      <c r="O39" s="92">
        <f>VLOOKUP($A39,'Data Vlaue (Cr)'!$C:$FB,82)</f>
        <v>-7.6E-3</v>
      </c>
    </row>
    <row r="40" spans="1:15" x14ac:dyDescent="0.25">
      <c r="A40" s="97" t="str">
        <f>'Data Vlaue (Cr)'!C35</f>
        <v>BIOCON</v>
      </c>
      <c r="B40" s="142">
        <f>VLOOKUP(A40,'Data Vlaue (Cr)'!C35:CW253,99,0)</f>
        <v>2507</v>
      </c>
      <c r="C40" s="90">
        <f>VLOOKUP(A40,'Data Vlaue (Cr)'!C35:CY253,101,0)</f>
        <v>123</v>
      </c>
      <c r="D40" s="139">
        <f>VLOOKUP(A40,'Data Vlaue (Cr)'!C35:CZ253,102,0)</f>
        <v>5.1400000000000001E-2</v>
      </c>
      <c r="E40" s="91">
        <f>VLOOKUP($A40,'Data Vlaue (Cr)'!$C:$FB,75)</f>
        <v>1304</v>
      </c>
      <c r="F40" s="91">
        <f>VLOOKUP($A40,'Data Vlaue (Cr)'!$C:$FB,77)</f>
        <v>36</v>
      </c>
      <c r="G40" s="92">
        <f>VLOOKUP(A40,'Data Vlaue (Cr)'!C35:CB253,78,0)</f>
        <v>2.8199999999999999E-2</v>
      </c>
      <c r="H40" s="91">
        <f>VLOOKUP($A40,'Data Vlaue (Cr)'!$C:$FB,91)</f>
        <v>709</v>
      </c>
      <c r="I40" s="91">
        <f>VLOOKUP($A40,'Data Vlaue (Cr)'!$C:$FB,93)</f>
        <v>66</v>
      </c>
      <c r="J40" s="92">
        <f>VLOOKUP($A40,'Data Vlaue (Cr)'!$C:$FB,94)</f>
        <v>0.1024</v>
      </c>
      <c r="K40" s="91">
        <f>VLOOKUP($A40,'Data Vlaue (Cr)'!$C:$FB,95)</f>
        <v>495</v>
      </c>
      <c r="L40" s="91">
        <f>VLOOKUP($A40,'Data Vlaue (Cr)'!$C:$FB,97)</f>
        <v>21</v>
      </c>
      <c r="M40" s="92">
        <f>VLOOKUP($A40,'Data Vlaue (Cr)'!$C:$FB,98)</f>
        <v>4.4299999999999999E-2</v>
      </c>
      <c r="N40" s="91">
        <f>VLOOKUP($A40,'Data Vlaue (Cr)'!$C:$FB,79)</f>
        <v>1241</v>
      </c>
      <c r="O40" s="92">
        <f>VLOOKUP($A40,'Data Vlaue (Cr)'!$C:$FB,82)</f>
        <v>2.0799999999999999E-2</v>
      </c>
    </row>
    <row r="41" spans="1:15" x14ac:dyDescent="0.25">
      <c r="A41" s="97" t="str">
        <f>'Data Vlaue (Cr)'!C36</f>
        <v>BLUESTARCO</v>
      </c>
      <c r="B41" s="142">
        <f>VLOOKUP(A41,'Data Vlaue (Cr)'!C36:CW254,99,0)</f>
        <v>746</v>
      </c>
      <c r="C41" s="90">
        <f>VLOOKUP(A41,'Data Vlaue (Cr)'!C36:CY254,101,0)</f>
        <v>37</v>
      </c>
      <c r="D41" s="139">
        <f>VLOOKUP(A41,'Data Vlaue (Cr)'!C36:CZ254,102,0)</f>
        <v>5.2600000000000001E-2</v>
      </c>
      <c r="E41" s="91">
        <f>VLOOKUP($A41,'Data Vlaue (Cr)'!$C:$FB,75)</f>
        <v>469</v>
      </c>
      <c r="F41" s="91">
        <f>VLOOKUP($A41,'Data Vlaue (Cr)'!$C:$FB,77)</f>
        <v>43</v>
      </c>
      <c r="G41" s="92">
        <f>VLOOKUP(A41,'Data Vlaue (Cr)'!C36:CB254,78,0)</f>
        <v>0.1011</v>
      </c>
      <c r="H41" s="91">
        <f>VLOOKUP($A41,'Data Vlaue (Cr)'!$C:$FB,91)</f>
        <v>174</v>
      </c>
      <c r="I41" s="91">
        <f>VLOOKUP($A41,'Data Vlaue (Cr)'!$C:$FB,93)</f>
        <v>-9</v>
      </c>
      <c r="J41" s="92">
        <f>VLOOKUP($A41,'Data Vlaue (Cr)'!$C:$FB,94)</f>
        <v>-5.0099999999999999E-2</v>
      </c>
      <c r="K41" s="91">
        <f>VLOOKUP($A41,'Data Vlaue (Cr)'!$C:$FB,95)</f>
        <v>103</v>
      </c>
      <c r="L41" s="91">
        <f>VLOOKUP($A41,'Data Vlaue (Cr)'!$C:$FB,97)</f>
        <v>3</v>
      </c>
      <c r="M41" s="92">
        <f>VLOOKUP($A41,'Data Vlaue (Cr)'!$C:$FB,98)</f>
        <v>3.3799999999999997E-2</v>
      </c>
      <c r="N41" s="91">
        <f>VLOOKUP($A41,'Data Vlaue (Cr)'!$C:$FB,79)</f>
        <v>429</v>
      </c>
      <c r="O41" s="92">
        <f>VLOOKUP($A41,'Data Vlaue (Cr)'!$C:$FB,82)</f>
        <v>7.6799999999999993E-2</v>
      </c>
    </row>
    <row r="42" spans="1:15" x14ac:dyDescent="0.25">
      <c r="A42" s="97" t="str">
        <f>'Data Vlaue (Cr)'!C37</f>
        <v>BOSCHLTD</v>
      </c>
      <c r="B42" s="142">
        <f>VLOOKUP(A42,'Data Vlaue (Cr)'!C37:CW255,99,0)</f>
        <v>2992</v>
      </c>
      <c r="C42" s="90">
        <f>VLOOKUP(A42,'Data Vlaue (Cr)'!C37:CY255,101,0)</f>
        <v>178</v>
      </c>
      <c r="D42" s="139">
        <f>VLOOKUP(A42,'Data Vlaue (Cr)'!C37:CZ255,102,0)</f>
        <v>6.3100000000000003E-2</v>
      </c>
      <c r="E42" s="91">
        <f>VLOOKUP($A42,'Data Vlaue (Cr)'!$C:$FB,75)</f>
        <v>1348</v>
      </c>
      <c r="F42" s="91">
        <f>VLOOKUP($A42,'Data Vlaue (Cr)'!$C:$FB,77)</f>
        <v>8</v>
      </c>
      <c r="G42" s="92">
        <f>VLOOKUP(A42,'Data Vlaue (Cr)'!C37:CB255,78,0)</f>
        <v>6.0000000000000001E-3</v>
      </c>
      <c r="H42" s="91">
        <f>VLOOKUP($A42,'Data Vlaue (Cr)'!$C:$FB,91)</f>
        <v>964</v>
      </c>
      <c r="I42" s="91">
        <f>VLOOKUP($A42,'Data Vlaue (Cr)'!$C:$FB,93)</f>
        <v>57</v>
      </c>
      <c r="J42" s="92">
        <f>VLOOKUP($A42,'Data Vlaue (Cr)'!$C:$FB,94)</f>
        <v>6.3E-2</v>
      </c>
      <c r="K42" s="91">
        <f>VLOOKUP($A42,'Data Vlaue (Cr)'!$C:$FB,95)</f>
        <v>680</v>
      </c>
      <c r="L42" s="91">
        <f>VLOOKUP($A42,'Data Vlaue (Cr)'!$C:$FB,97)</f>
        <v>112</v>
      </c>
      <c r="M42" s="92">
        <f>VLOOKUP($A42,'Data Vlaue (Cr)'!$C:$FB,98)</f>
        <v>0.19789999999999999</v>
      </c>
      <c r="N42" s="91">
        <f>VLOOKUP($A42,'Data Vlaue (Cr)'!$C:$FB,79)</f>
        <v>1313</v>
      </c>
      <c r="O42" s="92">
        <f>VLOOKUP($A42,'Data Vlaue (Cr)'!$C:$FB,82)</f>
        <v>-8.9999999999999998E-4</v>
      </c>
    </row>
    <row r="43" spans="1:15" x14ac:dyDescent="0.25">
      <c r="A43" s="97" t="str">
        <f>'Data Vlaue (Cr)'!C38</f>
        <v>BPCL</v>
      </c>
      <c r="B43" s="142">
        <f>VLOOKUP(A43,'Data Vlaue (Cr)'!C38:CW256,99,0)</f>
        <v>2623</v>
      </c>
      <c r="C43" s="90">
        <f>VLOOKUP(A43,'Data Vlaue (Cr)'!C38:CY256,101,0)</f>
        <v>91</v>
      </c>
      <c r="D43" s="139">
        <f>VLOOKUP(A43,'Data Vlaue (Cr)'!C38:CZ256,102,0)</f>
        <v>3.61E-2</v>
      </c>
      <c r="E43" s="91">
        <f>VLOOKUP($A43,'Data Vlaue (Cr)'!$C:$FB,75)</f>
        <v>1554</v>
      </c>
      <c r="F43" s="91">
        <f>VLOOKUP($A43,'Data Vlaue (Cr)'!$C:$FB,77)</f>
        <v>9</v>
      </c>
      <c r="G43" s="92">
        <f>VLOOKUP(A43,'Data Vlaue (Cr)'!C38:CB256,78,0)</f>
        <v>5.7999999999999996E-3</v>
      </c>
      <c r="H43" s="91">
        <f>VLOOKUP($A43,'Data Vlaue (Cr)'!$C:$FB,91)</f>
        <v>586</v>
      </c>
      <c r="I43" s="91">
        <f>VLOOKUP($A43,'Data Vlaue (Cr)'!$C:$FB,93)</f>
        <v>-20</v>
      </c>
      <c r="J43" s="92">
        <f>VLOOKUP($A43,'Data Vlaue (Cr)'!$C:$FB,94)</f>
        <v>-3.3000000000000002E-2</v>
      </c>
      <c r="K43" s="91">
        <f>VLOOKUP($A43,'Data Vlaue (Cr)'!$C:$FB,95)</f>
        <v>483</v>
      </c>
      <c r="L43" s="91">
        <f>VLOOKUP($A43,'Data Vlaue (Cr)'!$C:$FB,97)</f>
        <v>102</v>
      </c>
      <c r="M43" s="92">
        <f>VLOOKUP($A43,'Data Vlaue (Cr)'!$C:$FB,98)</f>
        <v>0.26889999999999997</v>
      </c>
      <c r="N43" s="91">
        <f>VLOOKUP($A43,'Data Vlaue (Cr)'!$C:$FB,79)</f>
        <v>1513</v>
      </c>
      <c r="O43" s="92">
        <f>VLOOKUP($A43,'Data Vlaue (Cr)'!$C:$FB,82)</f>
        <v>1.6000000000000001E-3</v>
      </c>
    </row>
    <row r="44" spans="1:15" x14ac:dyDescent="0.25">
      <c r="A44" s="97" t="str">
        <f>'Data Vlaue (Cr)'!C39</f>
        <v>BRITANNIA</v>
      </c>
      <c r="B44" s="142">
        <f>VLOOKUP(A44,'Data Vlaue (Cr)'!C39:CW257,99,0)</f>
        <v>2214</v>
      </c>
      <c r="C44" s="90">
        <f>VLOOKUP(A44,'Data Vlaue (Cr)'!C39:CY257,101,0)</f>
        <v>263</v>
      </c>
      <c r="D44" s="139">
        <f>VLOOKUP(A44,'Data Vlaue (Cr)'!C39:CZ257,102,0)</f>
        <v>0.13469999999999999</v>
      </c>
      <c r="E44" s="91">
        <f>VLOOKUP($A44,'Data Vlaue (Cr)'!$C:$FB,75)</f>
        <v>1609</v>
      </c>
      <c r="F44" s="91">
        <f>VLOOKUP($A44,'Data Vlaue (Cr)'!$C:$FB,77)</f>
        <v>73</v>
      </c>
      <c r="G44" s="92">
        <f>VLOOKUP(A44,'Data Vlaue (Cr)'!C39:CB257,78,0)</f>
        <v>4.7300000000000002E-2</v>
      </c>
      <c r="H44" s="91">
        <f>VLOOKUP($A44,'Data Vlaue (Cr)'!$C:$FB,91)</f>
        <v>285</v>
      </c>
      <c r="I44" s="91">
        <f>VLOOKUP($A44,'Data Vlaue (Cr)'!$C:$FB,93)</f>
        <v>106</v>
      </c>
      <c r="J44" s="92">
        <f>VLOOKUP($A44,'Data Vlaue (Cr)'!$C:$FB,94)</f>
        <v>0.59389999999999998</v>
      </c>
      <c r="K44" s="91">
        <f>VLOOKUP($A44,'Data Vlaue (Cr)'!$C:$FB,95)</f>
        <v>320</v>
      </c>
      <c r="L44" s="91">
        <f>VLOOKUP($A44,'Data Vlaue (Cr)'!$C:$FB,97)</f>
        <v>84</v>
      </c>
      <c r="M44" s="92">
        <f>VLOOKUP($A44,'Data Vlaue (Cr)'!$C:$FB,98)</f>
        <v>0.35589999999999999</v>
      </c>
      <c r="N44" s="91">
        <f>VLOOKUP($A44,'Data Vlaue (Cr)'!$C:$FB,79)</f>
        <v>1577</v>
      </c>
      <c r="O44" s="92">
        <f>VLOOKUP($A44,'Data Vlaue (Cr)'!$C:$FB,82)</f>
        <v>4.3900000000000002E-2</v>
      </c>
    </row>
    <row r="45" spans="1:15" x14ac:dyDescent="0.25">
      <c r="A45" s="97" t="str">
        <f>'Data Vlaue (Cr)'!C40</f>
        <v>BSE</v>
      </c>
      <c r="B45" s="142">
        <f>VLOOKUP(A45,'Data Vlaue (Cr)'!C40:CW258,99,0)</f>
        <v>6588</v>
      </c>
      <c r="C45" s="90">
        <f>VLOOKUP(A45,'Data Vlaue (Cr)'!C40:CY258,101,0)</f>
        <v>834</v>
      </c>
      <c r="D45" s="139">
        <f>VLOOKUP(A45,'Data Vlaue (Cr)'!C40:CZ258,102,0)</f>
        <v>0.14499999999999999</v>
      </c>
      <c r="E45" s="91">
        <f>VLOOKUP($A45,'Data Vlaue (Cr)'!$C:$FB,75)</f>
        <v>2626</v>
      </c>
      <c r="F45" s="91">
        <f>VLOOKUP($A45,'Data Vlaue (Cr)'!$C:$FB,77)</f>
        <v>208</v>
      </c>
      <c r="G45" s="92">
        <f>VLOOKUP(A45,'Data Vlaue (Cr)'!C40:CB258,78,0)</f>
        <v>8.5800000000000001E-2</v>
      </c>
      <c r="H45" s="91">
        <f>VLOOKUP($A45,'Data Vlaue (Cr)'!$C:$FB,91)</f>
        <v>1903</v>
      </c>
      <c r="I45" s="91">
        <f>VLOOKUP($A45,'Data Vlaue (Cr)'!$C:$FB,93)</f>
        <v>276</v>
      </c>
      <c r="J45" s="92">
        <f>VLOOKUP($A45,'Data Vlaue (Cr)'!$C:$FB,94)</f>
        <v>0.1694</v>
      </c>
      <c r="K45" s="91">
        <f>VLOOKUP($A45,'Data Vlaue (Cr)'!$C:$FB,95)</f>
        <v>2058</v>
      </c>
      <c r="L45" s="91">
        <f>VLOOKUP($A45,'Data Vlaue (Cr)'!$C:$FB,97)</f>
        <v>351</v>
      </c>
      <c r="M45" s="92">
        <f>VLOOKUP($A45,'Data Vlaue (Cr)'!$C:$FB,98)</f>
        <v>0.20580000000000001</v>
      </c>
      <c r="N45" s="91">
        <f>VLOOKUP($A45,'Data Vlaue (Cr)'!$C:$FB,79)</f>
        <v>2453</v>
      </c>
      <c r="O45" s="92">
        <f>VLOOKUP($A45,'Data Vlaue (Cr)'!$C:$FB,82)</f>
        <v>8.3000000000000004E-2</v>
      </c>
    </row>
    <row r="46" spans="1:15" x14ac:dyDescent="0.25">
      <c r="A46" s="97" t="str">
        <f>'Data Vlaue (Cr)'!C41</f>
        <v>CAMS</v>
      </c>
      <c r="B46" s="142">
        <f>VLOOKUP(A46,'Data Vlaue (Cr)'!C41:CW259,99,0)</f>
        <v>735</v>
      </c>
      <c r="C46" s="90">
        <f>VLOOKUP(A46,'Data Vlaue (Cr)'!C41:CY259,101,0)</f>
        <v>58</v>
      </c>
      <c r="D46" s="139">
        <f>VLOOKUP(A46,'Data Vlaue (Cr)'!C41:CZ259,102,0)</f>
        <v>8.5199999999999998E-2</v>
      </c>
      <c r="E46" s="91">
        <f>VLOOKUP($A46,'Data Vlaue (Cr)'!$C:$FB,75)</f>
        <v>471</v>
      </c>
      <c r="F46" s="91">
        <f>VLOOKUP($A46,'Data Vlaue (Cr)'!$C:$FB,77)</f>
        <v>19</v>
      </c>
      <c r="G46" s="92">
        <f>VLOOKUP(A46,'Data Vlaue (Cr)'!C41:CB259,78,0)</f>
        <v>4.1399999999999999E-2</v>
      </c>
      <c r="H46" s="91">
        <f>VLOOKUP($A46,'Data Vlaue (Cr)'!$C:$FB,91)</f>
        <v>148</v>
      </c>
      <c r="I46" s="91">
        <f>VLOOKUP($A46,'Data Vlaue (Cr)'!$C:$FB,93)</f>
        <v>15</v>
      </c>
      <c r="J46" s="92">
        <f>VLOOKUP($A46,'Data Vlaue (Cr)'!$C:$FB,94)</f>
        <v>0.1094</v>
      </c>
      <c r="K46" s="91">
        <f>VLOOKUP($A46,'Data Vlaue (Cr)'!$C:$FB,95)</f>
        <v>116</v>
      </c>
      <c r="L46" s="91">
        <f>VLOOKUP($A46,'Data Vlaue (Cr)'!$C:$FB,97)</f>
        <v>24</v>
      </c>
      <c r="M46" s="92">
        <f>VLOOKUP($A46,'Data Vlaue (Cr)'!$C:$FB,98)</f>
        <v>0.26600000000000001</v>
      </c>
      <c r="N46" s="91">
        <f>VLOOKUP($A46,'Data Vlaue (Cr)'!$C:$FB,79)</f>
        <v>434</v>
      </c>
      <c r="O46" s="92">
        <f>VLOOKUP($A46,'Data Vlaue (Cr)'!$C:$FB,82)</f>
        <v>7.4999999999999997E-3</v>
      </c>
    </row>
    <row r="47" spans="1:15" x14ac:dyDescent="0.25">
      <c r="A47" s="97" t="str">
        <f>'Data Vlaue (Cr)'!C42</f>
        <v>CANBK</v>
      </c>
      <c r="B47" s="142">
        <f>VLOOKUP(A47,'Data Vlaue (Cr)'!C42:CW260,99,0)</f>
        <v>4533</v>
      </c>
      <c r="C47" s="90">
        <f>VLOOKUP(A47,'Data Vlaue (Cr)'!C42:CY260,101,0)</f>
        <v>151</v>
      </c>
      <c r="D47" s="139">
        <f>VLOOKUP(A47,'Data Vlaue (Cr)'!C42:CZ260,102,0)</f>
        <v>3.44E-2</v>
      </c>
      <c r="E47" s="91">
        <f>VLOOKUP($A47,'Data Vlaue (Cr)'!$C:$FB,75)</f>
        <v>2819</v>
      </c>
      <c r="F47" s="91">
        <f>VLOOKUP($A47,'Data Vlaue (Cr)'!$C:$FB,77)</f>
        <v>24</v>
      </c>
      <c r="G47" s="92">
        <f>VLOOKUP(A47,'Data Vlaue (Cr)'!C42:CB260,78,0)</f>
        <v>8.5000000000000006E-3</v>
      </c>
      <c r="H47" s="91">
        <f>VLOOKUP($A47,'Data Vlaue (Cr)'!$C:$FB,91)</f>
        <v>901</v>
      </c>
      <c r="I47" s="91">
        <f>VLOOKUP($A47,'Data Vlaue (Cr)'!$C:$FB,93)</f>
        <v>85</v>
      </c>
      <c r="J47" s="92">
        <f>VLOOKUP($A47,'Data Vlaue (Cr)'!$C:$FB,94)</f>
        <v>0.104</v>
      </c>
      <c r="K47" s="91">
        <f>VLOOKUP($A47,'Data Vlaue (Cr)'!$C:$FB,95)</f>
        <v>813</v>
      </c>
      <c r="L47" s="91">
        <f>VLOOKUP($A47,'Data Vlaue (Cr)'!$C:$FB,97)</f>
        <v>42</v>
      </c>
      <c r="M47" s="92">
        <f>VLOOKUP($A47,'Data Vlaue (Cr)'!$C:$FB,98)</f>
        <v>5.4600000000000003E-2</v>
      </c>
      <c r="N47" s="91">
        <f>VLOOKUP($A47,'Data Vlaue (Cr)'!$C:$FB,79)</f>
        <v>2696</v>
      </c>
      <c r="O47" s="92">
        <f>VLOOKUP($A47,'Data Vlaue (Cr)'!$C:$FB,82)</f>
        <v>1.9E-3</v>
      </c>
    </row>
    <row r="48" spans="1:15" x14ac:dyDescent="0.25">
      <c r="A48" s="97" t="str">
        <f>'Data Vlaue (Cr)'!C43</f>
        <v>CDSL</v>
      </c>
      <c r="B48" s="142">
        <f>VLOOKUP(A48,'Data Vlaue (Cr)'!C43:CW261,99,0)</f>
        <v>2540</v>
      </c>
      <c r="C48" s="90">
        <f>VLOOKUP(A48,'Data Vlaue (Cr)'!C43:CY261,101,0)</f>
        <v>98</v>
      </c>
      <c r="D48" s="139">
        <f>VLOOKUP(A48,'Data Vlaue (Cr)'!C43:CZ261,102,0)</f>
        <v>4.0099999999999997E-2</v>
      </c>
      <c r="E48" s="91">
        <f>VLOOKUP($A48,'Data Vlaue (Cr)'!$C:$FB,75)</f>
        <v>1538</v>
      </c>
      <c r="F48" s="91">
        <f>VLOOKUP($A48,'Data Vlaue (Cr)'!$C:$FB,77)</f>
        <v>52</v>
      </c>
      <c r="G48" s="92">
        <f>VLOOKUP(A48,'Data Vlaue (Cr)'!C43:CB261,78,0)</f>
        <v>3.5200000000000002E-2</v>
      </c>
      <c r="H48" s="91">
        <f>VLOOKUP($A48,'Data Vlaue (Cr)'!$C:$FB,91)</f>
        <v>556</v>
      </c>
      <c r="I48" s="91">
        <f>VLOOKUP($A48,'Data Vlaue (Cr)'!$C:$FB,93)</f>
        <v>33</v>
      </c>
      <c r="J48" s="92">
        <f>VLOOKUP($A48,'Data Vlaue (Cr)'!$C:$FB,94)</f>
        <v>6.2799999999999995E-2</v>
      </c>
      <c r="K48" s="91">
        <f>VLOOKUP($A48,'Data Vlaue (Cr)'!$C:$FB,95)</f>
        <v>447</v>
      </c>
      <c r="L48" s="91">
        <f>VLOOKUP($A48,'Data Vlaue (Cr)'!$C:$FB,97)</f>
        <v>13</v>
      </c>
      <c r="M48" s="92">
        <f>VLOOKUP($A48,'Data Vlaue (Cr)'!$C:$FB,98)</f>
        <v>2.92E-2</v>
      </c>
      <c r="N48" s="91">
        <f>VLOOKUP($A48,'Data Vlaue (Cr)'!$C:$FB,79)</f>
        <v>1248</v>
      </c>
      <c r="O48" s="92">
        <f>VLOOKUP($A48,'Data Vlaue (Cr)'!$C:$FB,82)</f>
        <v>0</v>
      </c>
    </row>
    <row r="49" spans="1:15" x14ac:dyDescent="0.25">
      <c r="A49" s="97" t="str">
        <f>'Data Vlaue (Cr)'!C44</f>
        <v>CGPOWER</v>
      </c>
      <c r="B49" s="142">
        <f>VLOOKUP(A49,'Data Vlaue (Cr)'!C44:CW262,99,0)</f>
        <v>1724</v>
      </c>
      <c r="C49" s="90">
        <f>VLOOKUP(A49,'Data Vlaue (Cr)'!C44:CY262,101,0)</f>
        <v>51</v>
      </c>
      <c r="D49" s="139">
        <f>VLOOKUP(A49,'Data Vlaue (Cr)'!C44:CZ262,102,0)</f>
        <v>3.0700000000000002E-2</v>
      </c>
      <c r="E49" s="91">
        <f>VLOOKUP($A49,'Data Vlaue (Cr)'!$C:$FB,75)</f>
        <v>1380</v>
      </c>
      <c r="F49" s="91">
        <f>VLOOKUP($A49,'Data Vlaue (Cr)'!$C:$FB,77)</f>
        <v>20</v>
      </c>
      <c r="G49" s="92">
        <f>VLOOKUP(A49,'Data Vlaue (Cr)'!C44:CB262,78,0)</f>
        <v>1.4500000000000001E-2</v>
      </c>
      <c r="H49" s="91">
        <f>VLOOKUP($A49,'Data Vlaue (Cr)'!$C:$FB,91)</f>
        <v>201</v>
      </c>
      <c r="I49" s="91">
        <f>VLOOKUP($A49,'Data Vlaue (Cr)'!$C:$FB,93)</f>
        <v>23</v>
      </c>
      <c r="J49" s="92">
        <f>VLOOKUP($A49,'Data Vlaue (Cr)'!$C:$FB,94)</f>
        <v>0.1283</v>
      </c>
      <c r="K49" s="91">
        <f>VLOOKUP($A49,'Data Vlaue (Cr)'!$C:$FB,95)</f>
        <v>142</v>
      </c>
      <c r="L49" s="91">
        <f>VLOOKUP($A49,'Data Vlaue (Cr)'!$C:$FB,97)</f>
        <v>9</v>
      </c>
      <c r="M49" s="92">
        <f>VLOOKUP($A49,'Data Vlaue (Cr)'!$C:$FB,98)</f>
        <v>6.5299999999999997E-2</v>
      </c>
      <c r="N49" s="91">
        <f>VLOOKUP($A49,'Data Vlaue (Cr)'!$C:$FB,79)</f>
        <v>1366</v>
      </c>
      <c r="O49" s="92">
        <f>VLOOKUP($A49,'Data Vlaue (Cr)'!$C:$FB,82)</f>
        <v>1.4E-2</v>
      </c>
    </row>
    <row r="50" spans="1:15" x14ac:dyDescent="0.25">
      <c r="A50" s="97" t="str">
        <f>'Data Vlaue (Cr)'!C45</f>
        <v>CHOLAFIN</v>
      </c>
      <c r="B50" s="142">
        <f>VLOOKUP(A50,'Data Vlaue (Cr)'!C45:CW263,99,0)</f>
        <v>3966</v>
      </c>
      <c r="C50" s="90">
        <f>VLOOKUP(A50,'Data Vlaue (Cr)'!C45:CY263,101,0)</f>
        <v>-13</v>
      </c>
      <c r="D50" s="139">
        <f>VLOOKUP(A50,'Data Vlaue (Cr)'!C45:CZ263,102,0)</f>
        <v>-3.3999999999999998E-3</v>
      </c>
      <c r="E50" s="91">
        <f>VLOOKUP($A50,'Data Vlaue (Cr)'!$C:$FB,75)</f>
        <v>2977</v>
      </c>
      <c r="F50" s="91">
        <f>VLOOKUP($A50,'Data Vlaue (Cr)'!$C:$FB,77)</f>
        <v>-112</v>
      </c>
      <c r="G50" s="92">
        <f>VLOOKUP(A50,'Data Vlaue (Cr)'!C45:CB263,78,0)</f>
        <v>-3.6200000000000003E-2</v>
      </c>
      <c r="H50" s="91">
        <f>VLOOKUP($A50,'Data Vlaue (Cr)'!$C:$FB,91)</f>
        <v>534</v>
      </c>
      <c r="I50" s="91">
        <f>VLOOKUP($A50,'Data Vlaue (Cr)'!$C:$FB,93)</f>
        <v>47</v>
      </c>
      <c r="J50" s="92">
        <f>VLOOKUP($A50,'Data Vlaue (Cr)'!$C:$FB,94)</f>
        <v>9.6299999999999997E-2</v>
      </c>
      <c r="K50" s="91">
        <f>VLOOKUP($A50,'Data Vlaue (Cr)'!$C:$FB,95)</f>
        <v>454</v>
      </c>
      <c r="L50" s="91">
        <f>VLOOKUP($A50,'Data Vlaue (Cr)'!$C:$FB,97)</f>
        <v>52</v>
      </c>
      <c r="M50" s="92">
        <f>VLOOKUP($A50,'Data Vlaue (Cr)'!$C:$FB,98)</f>
        <v>0.12820000000000001</v>
      </c>
      <c r="N50" s="91">
        <f>VLOOKUP($A50,'Data Vlaue (Cr)'!$C:$FB,79)</f>
        <v>2902</v>
      </c>
      <c r="O50" s="92">
        <f>VLOOKUP($A50,'Data Vlaue (Cr)'!$C:$FB,82)</f>
        <v>-3.7699999999999997E-2</v>
      </c>
    </row>
    <row r="51" spans="1:15" x14ac:dyDescent="0.25">
      <c r="A51" s="97" t="str">
        <f>'Data Vlaue (Cr)'!C46</f>
        <v>CIPLA</v>
      </c>
      <c r="B51" s="142">
        <f>VLOOKUP(A51,'Data Vlaue (Cr)'!C46:CW264,99,0)</f>
        <v>2808</v>
      </c>
      <c r="C51" s="90">
        <f>VLOOKUP(A51,'Data Vlaue (Cr)'!C46:CY264,101,0)</f>
        <v>40</v>
      </c>
      <c r="D51" s="139">
        <f>VLOOKUP(A51,'Data Vlaue (Cr)'!C46:CZ264,102,0)</f>
        <v>1.4500000000000001E-2</v>
      </c>
      <c r="E51" s="91">
        <f>VLOOKUP($A51,'Data Vlaue (Cr)'!$C:$FB,75)</f>
        <v>1829</v>
      </c>
      <c r="F51" s="91">
        <f>VLOOKUP($A51,'Data Vlaue (Cr)'!$C:$FB,77)</f>
        <v>-5</v>
      </c>
      <c r="G51" s="92">
        <f>VLOOKUP(A51,'Data Vlaue (Cr)'!C46:CB264,78,0)</f>
        <v>-2.7000000000000001E-3</v>
      </c>
      <c r="H51" s="91">
        <f>VLOOKUP($A51,'Data Vlaue (Cr)'!$C:$FB,91)</f>
        <v>550</v>
      </c>
      <c r="I51" s="91">
        <f>VLOOKUP($A51,'Data Vlaue (Cr)'!$C:$FB,93)</f>
        <v>38</v>
      </c>
      <c r="J51" s="92">
        <f>VLOOKUP($A51,'Data Vlaue (Cr)'!$C:$FB,94)</f>
        <v>7.4399999999999994E-2</v>
      </c>
      <c r="K51" s="91">
        <f>VLOOKUP($A51,'Data Vlaue (Cr)'!$C:$FB,95)</f>
        <v>428</v>
      </c>
      <c r="L51" s="91">
        <f>VLOOKUP($A51,'Data Vlaue (Cr)'!$C:$FB,97)</f>
        <v>7</v>
      </c>
      <c r="M51" s="92">
        <f>VLOOKUP($A51,'Data Vlaue (Cr)'!$C:$FB,98)</f>
        <v>1.7000000000000001E-2</v>
      </c>
      <c r="N51" s="91">
        <f>VLOOKUP($A51,'Data Vlaue (Cr)'!$C:$FB,79)</f>
        <v>1675</v>
      </c>
      <c r="O51" s="92">
        <f>VLOOKUP($A51,'Data Vlaue (Cr)'!$C:$FB,82)</f>
        <v>-4.5999999999999999E-3</v>
      </c>
    </row>
    <row r="52" spans="1:15" x14ac:dyDescent="0.25">
      <c r="A52" s="97" t="str">
        <f>'Data Vlaue (Cr)'!C47</f>
        <v>COALINDIA</v>
      </c>
      <c r="B52" s="142">
        <f>VLOOKUP(A52,'Data Vlaue (Cr)'!C47:CW265,99,0)</f>
        <v>4791</v>
      </c>
      <c r="C52" s="90">
        <f>VLOOKUP(A52,'Data Vlaue (Cr)'!C47:CY265,101,0)</f>
        <v>-50</v>
      </c>
      <c r="D52" s="139">
        <f>VLOOKUP(A52,'Data Vlaue (Cr)'!C47:CZ265,102,0)</f>
        <v>-1.03E-2</v>
      </c>
      <c r="E52" s="91">
        <f>VLOOKUP($A52,'Data Vlaue (Cr)'!$C:$FB,75)</f>
        <v>2721</v>
      </c>
      <c r="F52" s="91">
        <f>VLOOKUP($A52,'Data Vlaue (Cr)'!$C:$FB,77)</f>
        <v>-46</v>
      </c>
      <c r="G52" s="92">
        <f>VLOOKUP(A52,'Data Vlaue (Cr)'!C47:CB265,78,0)</f>
        <v>-1.6500000000000001E-2</v>
      </c>
      <c r="H52" s="91">
        <f>VLOOKUP($A52,'Data Vlaue (Cr)'!$C:$FB,91)</f>
        <v>1263</v>
      </c>
      <c r="I52" s="91">
        <f>VLOOKUP($A52,'Data Vlaue (Cr)'!$C:$FB,93)</f>
        <v>-77</v>
      </c>
      <c r="J52" s="92">
        <f>VLOOKUP($A52,'Data Vlaue (Cr)'!$C:$FB,94)</f>
        <v>-5.7599999999999998E-2</v>
      </c>
      <c r="K52" s="91">
        <f>VLOOKUP($A52,'Data Vlaue (Cr)'!$C:$FB,95)</f>
        <v>808</v>
      </c>
      <c r="L52" s="91">
        <f>VLOOKUP($A52,'Data Vlaue (Cr)'!$C:$FB,97)</f>
        <v>73</v>
      </c>
      <c r="M52" s="92">
        <f>VLOOKUP($A52,'Data Vlaue (Cr)'!$C:$FB,98)</f>
        <v>9.9000000000000005E-2</v>
      </c>
      <c r="N52" s="91">
        <f>VLOOKUP($A52,'Data Vlaue (Cr)'!$C:$FB,79)</f>
        <v>2625</v>
      </c>
      <c r="O52" s="92">
        <f>VLOOKUP($A52,'Data Vlaue (Cr)'!$C:$FB,82)</f>
        <v>-2.0400000000000001E-2</v>
      </c>
    </row>
    <row r="53" spans="1:15" x14ac:dyDescent="0.25">
      <c r="A53" s="97" t="str">
        <f>'Data Vlaue (Cr)'!C48</f>
        <v>COCHINSHIP</v>
      </c>
      <c r="B53" s="142">
        <f>VLOOKUP(A53,'Data Vlaue (Cr)'!C48:CW266,99,0)</f>
        <v>323</v>
      </c>
      <c r="C53" s="90">
        <f>VLOOKUP(A53,'Data Vlaue (Cr)'!C48:CY266,101,0)</f>
        <v>90</v>
      </c>
      <c r="D53" s="139">
        <f>VLOOKUP(A53,'Data Vlaue (Cr)'!C48:CZ266,102,0)</f>
        <v>0.38669999999999999</v>
      </c>
      <c r="E53" s="91">
        <f>VLOOKUP($A53,'Data Vlaue (Cr)'!$C:$FB,75)</f>
        <v>161</v>
      </c>
      <c r="F53" s="91">
        <f>VLOOKUP($A53,'Data Vlaue (Cr)'!$C:$FB,77)</f>
        <v>28</v>
      </c>
      <c r="G53" s="92">
        <f>VLOOKUP(A53,'Data Vlaue (Cr)'!C48:CB266,78,0)</f>
        <v>0.2094</v>
      </c>
      <c r="H53" s="91">
        <f>VLOOKUP($A53,'Data Vlaue (Cr)'!$C:$FB,91)</f>
        <v>100</v>
      </c>
      <c r="I53" s="91">
        <f>VLOOKUP($A53,'Data Vlaue (Cr)'!$C:$FB,93)</f>
        <v>40</v>
      </c>
      <c r="J53" s="92">
        <f>VLOOKUP($A53,'Data Vlaue (Cr)'!$C:$FB,94)</f>
        <v>0.6613</v>
      </c>
      <c r="K53" s="91">
        <f>VLOOKUP($A53,'Data Vlaue (Cr)'!$C:$FB,95)</f>
        <v>61</v>
      </c>
      <c r="L53" s="91">
        <f>VLOOKUP($A53,'Data Vlaue (Cr)'!$C:$FB,97)</f>
        <v>22</v>
      </c>
      <c r="M53" s="92">
        <f>VLOOKUP($A53,'Data Vlaue (Cr)'!$C:$FB,98)</f>
        <v>0.56759999999999999</v>
      </c>
      <c r="N53" s="91">
        <f>VLOOKUP($A53,'Data Vlaue (Cr)'!$C:$FB,79)</f>
        <v>128</v>
      </c>
      <c r="O53" s="92">
        <f>VLOOKUP($A53,'Data Vlaue (Cr)'!$C:$FB,82)</f>
        <v>0.16200000000000001</v>
      </c>
    </row>
    <row r="54" spans="1:15" x14ac:dyDescent="0.25">
      <c r="A54" s="97" t="str">
        <f>'Data Vlaue (Cr)'!C49</f>
        <v>COFORGE</v>
      </c>
      <c r="B54" s="142">
        <f>VLOOKUP(A54,'Data Vlaue (Cr)'!C49:CW267,99,0)</f>
        <v>3616</v>
      </c>
      <c r="C54" s="90">
        <f>VLOOKUP(A54,'Data Vlaue (Cr)'!C49:CY267,101,0)</f>
        <v>74</v>
      </c>
      <c r="D54" s="139">
        <f>VLOOKUP(A54,'Data Vlaue (Cr)'!C49:CZ267,102,0)</f>
        <v>2.1000000000000001E-2</v>
      </c>
      <c r="E54" s="91">
        <f>VLOOKUP($A54,'Data Vlaue (Cr)'!$C:$FB,75)</f>
        <v>2261</v>
      </c>
      <c r="F54" s="91">
        <f>VLOOKUP($A54,'Data Vlaue (Cr)'!$C:$FB,77)</f>
        <v>-9</v>
      </c>
      <c r="G54" s="92">
        <f>VLOOKUP(A54,'Data Vlaue (Cr)'!C49:CB267,78,0)</f>
        <v>-3.8E-3</v>
      </c>
      <c r="H54" s="91">
        <f>VLOOKUP($A54,'Data Vlaue (Cr)'!$C:$FB,91)</f>
        <v>820</v>
      </c>
      <c r="I54" s="91">
        <f>VLOOKUP($A54,'Data Vlaue (Cr)'!$C:$FB,93)</f>
        <v>35</v>
      </c>
      <c r="J54" s="92">
        <f>VLOOKUP($A54,'Data Vlaue (Cr)'!$C:$FB,94)</f>
        <v>4.4299999999999999E-2</v>
      </c>
      <c r="K54" s="91">
        <f>VLOOKUP($A54,'Data Vlaue (Cr)'!$C:$FB,95)</f>
        <v>534</v>
      </c>
      <c r="L54" s="91">
        <f>VLOOKUP($A54,'Data Vlaue (Cr)'!$C:$FB,97)</f>
        <v>48</v>
      </c>
      <c r="M54" s="92">
        <f>VLOOKUP($A54,'Data Vlaue (Cr)'!$C:$FB,98)</f>
        <v>9.8900000000000002E-2</v>
      </c>
      <c r="N54" s="91">
        <f>VLOOKUP($A54,'Data Vlaue (Cr)'!$C:$FB,79)</f>
        <v>2168</v>
      </c>
      <c r="O54" s="92">
        <f>VLOOKUP($A54,'Data Vlaue (Cr)'!$C:$FB,82)</f>
        <v>-5.4999999999999997E-3</v>
      </c>
    </row>
    <row r="55" spans="1:15" x14ac:dyDescent="0.25">
      <c r="A55" s="97" t="str">
        <f>'Data Vlaue (Cr)'!C50</f>
        <v>COLPAL</v>
      </c>
      <c r="B55" s="142">
        <f>VLOOKUP(A55,'Data Vlaue (Cr)'!C50:CW268,99,0)</f>
        <v>1794</v>
      </c>
      <c r="C55" s="90">
        <f>VLOOKUP(A55,'Data Vlaue (Cr)'!C50:CY268,101,0)</f>
        <v>5</v>
      </c>
      <c r="D55" s="139">
        <f>VLOOKUP(A55,'Data Vlaue (Cr)'!C50:CZ268,102,0)</f>
        <v>2.8999999999999998E-3</v>
      </c>
      <c r="E55" s="91">
        <f>VLOOKUP($A55,'Data Vlaue (Cr)'!$C:$FB,75)</f>
        <v>1273</v>
      </c>
      <c r="F55" s="91">
        <f>VLOOKUP($A55,'Data Vlaue (Cr)'!$C:$FB,77)</f>
        <v>18</v>
      </c>
      <c r="G55" s="92">
        <f>VLOOKUP(A55,'Data Vlaue (Cr)'!C50:CB268,78,0)</f>
        <v>1.46E-2</v>
      </c>
      <c r="H55" s="91">
        <f>VLOOKUP($A55,'Data Vlaue (Cr)'!$C:$FB,91)</f>
        <v>309</v>
      </c>
      <c r="I55" s="91">
        <f>VLOOKUP($A55,'Data Vlaue (Cr)'!$C:$FB,93)</f>
        <v>-18</v>
      </c>
      <c r="J55" s="92">
        <f>VLOOKUP($A55,'Data Vlaue (Cr)'!$C:$FB,94)</f>
        <v>-5.6500000000000002E-2</v>
      </c>
      <c r="K55" s="91">
        <f>VLOOKUP($A55,'Data Vlaue (Cr)'!$C:$FB,95)</f>
        <v>213</v>
      </c>
      <c r="L55" s="91">
        <f>VLOOKUP($A55,'Data Vlaue (Cr)'!$C:$FB,97)</f>
        <v>5</v>
      </c>
      <c r="M55" s="92">
        <f>VLOOKUP($A55,'Data Vlaue (Cr)'!$C:$FB,98)</f>
        <v>2.6200000000000001E-2</v>
      </c>
      <c r="N55" s="91">
        <f>VLOOKUP($A55,'Data Vlaue (Cr)'!$C:$FB,79)</f>
        <v>1215</v>
      </c>
      <c r="O55" s="92">
        <f>VLOOKUP($A55,'Data Vlaue (Cr)'!$C:$FB,82)</f>
        <v>1.38E-2</v>
      </c>
    </row>
    <row r="56" spans="1:15" x14ac:dyDescent="0.25">
      <c r="A56" s="97" t="str">
        <f>'Data Vlaue (Cr)'!C51</f>
        <v>CONCOR</v>
      </c>
      <c r="B56" s="142">
        <f>VLOOKUP(A56,'Data Vlaue (Cr)'!C51:CW269,99,0)</f>
        <v>1746</v>
      </c>
      <c r="C56" s="90">
        <f>VLOOKUP(A56,'Data Vlaue (Cr)'!C51:CY269,101,0)</f>
        <v>27</v>
      </c>
      <c r="D56" s="139">
        <f>VLOOKUP(A56,'Data Vlaue (Cr)'!C51:CZ269,102,0)</f>
        <v>1.5699999999999999E-2</v>
      </c>
      <c r="E56" s="91">
        <f>VLOOKUP($A56,'Data Vlaue (Cr)'!$C:$FB,75)</f>
        <v>1263</v>
      </c>
      <c r="F56" s="91">
        <f>VLOOKUP($A56,'Data Vlaue (Cr)'!$C:$FB,77)</f>
        <v>5</v>
      </c>
      <c r="G56" s="92">
        <f>VLOOKUP(A56,'Data Vlaue (Cr)'!C51:CB269,78,0)</f>
        <v>3.7000000000000002E-3</v>
      </c>
      <c r="H56" s="91">
        <f>VLOOKUP($A56,'Data Vlaue (Cr)'!$C:$FB,91)</f>
        <v>271</v>
      </c>
      <c r="I56" s="91">
        <f>VLOOKUP($A56,'Data Vlaue (Cr)'!$C:$FB,93)</f>
        <v>24</v>
      </c>
      <c r="J56" s="92">
        <f>VLOOKUP($A56,'Data Vlaue (Cr)'!$C:$FB,94)</f>
        <v>9.6600000000000005E-2</v>
      </c>
      <c r="K56" s="91">
        <f>VLOOKUP($A56,'Data Vlaue (Cr)'!$C:$FB,95)</f>
        <v>212</v>
      </c>
      <c r="L56" s="91">
        <f>VLOOKUP($A56,'Data Vlaue (Cr)'!$C:$FB,97)</f>
        <v>-2</v>
      </c>
      <c r="M56" s="92">
        <f>VLOOKUP($A56,'Data Vlaue (Cr)'!$C:$FB,98)</f>
        <v>-7.9000000000000008E-3</v>
      </c>
      <c r="N56" s="91">
        <f>VLOOKUP($A56,'Data Vlaue (Cr)'!$C:$FB,79)</f>
        <v>1223</v>
      </c>
      <c r="O56" s="92">
        <f>VLOOKUP($A56,'Data Vlaue (Cr)'!$C:$FB,82)</f>
        <v>3.8E-3</v>
      </c>
    </row>
    <row r="57" spans="1:15" x14ac:dyDescent="0.25">
      <c r="A57" s="97" t="str">
        <f>'Data Vlaue (Cr)'!C52</f>
        <v>CROMPTON</v>
      </c>
      <c r="B57" s="142">
        <f>VLOOKUP(A57,'Data Vlaue (Cr)'!C52:CW270,99,0)</f>
        <v>1422</v>
      </c>
      <c r="C57" s="90">
        <f>VLOOKUP(A57,'Data Vlaue (Cr)'!C52:CY270,101,0)</f>
        <v>27</v>
      </c>
      <c r="D57" s="139">
        <f>VLOOKUP(A57,'Data Vlaue (Cr)'!C52:CZ270,102,0)</f>
        <v>1.9199999999999998E-2</v>
      </c>
      <c r="E57" s="91">
        <f>VLOOKUP($A57,'Data Vlaue (Cr)'!$C:$FB,75)</f>
        <v>1112</v>
      </c>
      <c r="F57" s="91">
        <f>VLOOKUP($A57,'Data Vlaue (Cr)'!$C:$FB,77)</f>
        <v>-15</v>
      </c>
      <c r="G57" s="92">
        <f>VLOOKUP(A57,'Data Vlaue (Cr)'!C52:CB270,78,0)</f>
        <v>-1.3100000000000001E-2</v>
      </c>
      <c r="H57" s="91">
        <f>VLOOKUP($A57,'Data Vlaue (Cr)'!$C:$FB,91)</f>
        <v>177</v>
      </c>
      <c r="I57" s="91">
        <f>VLOOKUP($A57,'Data Vlaue (Cr)'!$C:$FB,93)</f>
        <v>36</v>
      </c>
      <c r="J57" s="92">
        <f>VLOOKUP($A57,'Data Vlaue (Cr)'!$C:$FB,94)</f>
        <v>0.25409999999999999</v>
      </c>
      <c r="K57" s="91">
        <f>VLOOKUP($A57,'Data Vlaue (Cr)'!$C:$FB,95)</f>
        <v>133</v>
      </c>
      <c r="L57" s="91">
        <f>VLOOKUP($A57,'Data Vlaue (Cr)'!$C:$FB,97)</f>
        <v>6</v>
      </c>
      <c r="M57" s="92">
        <f>VLOOKUP($A57,'Data Vlaue (Cr)'!$C:$FB,98)</f>
        <v>4.5499999999999999E-2</v>
      </c>
      <c r="N57" s="91">
        <f>VLOOKUP($A57,'Data Vlaue (Cr)'!$C:$FB,79)</f>
        <v>1089</v>
      </c>
      <c r="O57" s="92">
        <f>VLOOKUP($A57,'Data Vlaue (Cr)'!$C:$FB,82)</f>
        <v>-1.66E-2</v>
      </c>
    </row>
    <row r="58" spans="1:15" x14ac:dyDescent="0.25">
      <c r="A58" s="97" t="str">
        <f>'Data Vlaue (Cr)'!C53</f>
        <v>CUMMINSIND</v>
      </c>
      <c r="B58" s="142">
        <f>VLOOKUP(A58,'Data Vlaue (Cr)'!C53:CW271,99,0)</f>
        <v>2484</v>
      </c>
      <c r="C58" s="90">
        <f>VLOOKUP(A58,'Data Vlaue (Cr)'!C53:CY271,101,0)</f>
        <v>127</v>
      </c>
      <c r="D58" s="139">
        <f>VLOOKUP(A58,'Data Vlaue (Cr)'!C53:CZ271,102,0)</f>
        <v>5.3800000000000001E-2</v>
      </c>
      <c r="E58" s="91">
        <f>VLOOKUP($A58,'Data Vlaue (Cr)'!$C:$FB,75)</f>
        <v>1749</v>
      </c>
      <c r="F58" s="91">
        <f>VLOOKUP($A58,'Data Vlaue (Cr)'!$C:$FB,77)</f>
        <v>38</v>
      </c>
      <c r="G58" s="92">
        <f>VLOOKUP(A58,'Data Vlaue (Cr)'!C53:CB271,78,0)</f>
        <v>2.2200000000000001E-2</v>
      </c>
      <c r="H58" s="91">
        <f>VLOOKUP($A58,'Data Vlaue (Cr)'!$C:$FB,91)</f>
        <v>446</v>
      </c>
      <c r="I58" s="91">
        <f>VLOOKUP($A58,'Data Vlaue (Cr)'!$C:$FB,93)</f>
        <v>50</v>
      </c>
      <c r="J58" s="92">
        <f>VLOOKUP($A58,'Data Vlaue (Cr)'!$C:$FB,94)</f>
        <v>0.12570000000000001</v>
      </c>
      <c r="K58" s="91">
        <f>VLOOKUP($A58,'Data Vlaue (Cr)'!$C:$FB,95)</f>
        <v>289</v>
      </c>
      <c r="L58" s="91">
        <f>VLOOKUP($A58,'Data Vlaue (Cr)'!$C:$FB,97)</f>
        <v>39</v>
      </c>
      <c r="M58" s="92">
        <f>VLOOKUP($A58,'Data Vlaue (Cr)'!$C:$FB,98)</f>
        <v>0.15590000000000001</v>
      </c>
      <c r="N58" s="91">
        <f>VLOOKUP($A58,'Data Vlaue (Cr)'!$C:$FB,79)</f>
        <v>1728</v>
      </c>
      <c r="O58" s="92">
        <f>VLOOKUP($A58,'Data Vlaue (Cr)'!$C:$FB,82)</f>
        <v>2.1299999999999999E-2</v>
      </c>
    </row>
    <row r="59" spans="1:15" x14ac:dyDescent="0.25">
      <c r="A59" s="97" t="str">
        <f>'Data Vlaue (Cr)'!C54</f>
        <v>DABUR</v>
      </c>
      <c r="B59" s="142">
        <f>VLOOKUP(A59,'Data Vlaue (Cr)'!C54:CW272,99,0)</f>
        <v>1947</v>
      </c>
      <c r="C59" s="90">
        <f>VLOOKUP(A59,'Data Vlaue (Cr)'!C54:CY272,101,0)</f>
        <v>-6</v>
      </c>
      <c r="D59" s="139">
        <f>VLOOKUP(A59,'Data Vlaue (Cr)'!C54:CZ272,102,0)</f>
        <v>-3.0000000000000001E-3</v>
      </c>
      <c r="E59" s="91">
        <f>VLOOKUP($A59,'Data Vlaue (Cr)'!$C:$FB,75)</f>
        <v>1353</v>
      </c>
      <c r="F59" s="91">
        <f>VLOOKUP($A59,'Data Vlaue (Cr)'!$C:$FB,77)</f>
        <v>-10</v>
      </c>
      <c r="G59" s="92">
        <f>VLOOKUP(A59,'Data Vlaue (Cr)'!C54:CB272,78,0)</f>
        <v>-7.1000000000000004E-3</v>
      </c>
      <c r="H59" s="91">
        <f>VLOOKUP($A59,'Data Vlaue (Cr)'!$C:$FB,91)</f>
        <v>339</v>
      </c>
      <c r="I59" s="91">
        <f>VLOOKUP($A59,'Data Vlaue (Cr)'!$C:$FB,93)</f>
        <v>-2</v>
      </c>
      <c r="J59" s="92">
        <f>VLOOKUP($A59,'Data Vlaue (Cr)'!$C:$FB,94)</f>
        <v>-4.8999999999999998E-3</v>
      </c>
      <c r="K59" s="91">
        <f>VLOOKUP($A59,'Data Vlaue (Cr)'!$C:$FB,95)</f>
        <v>254</v>
      </c>
      <c r="L59" s="91">
        <f>VLOOKUP($A59,'Data Vlaue (Cr)'!$C:$FB,97)</f>
        <v>6</v>
      </c>
      <c r="M59" s="92">
        <f>VLOOKUP($A59,'Data Vlaue (Cr)'!$C:$FB,98)</f>
        <v>2.23E-2</v>
      </c>
      <c r="N59" s="91">
        <f>VLOOKUP($A59,'Data Vlaue (Cr)'!$C:$FB,79)</f>
        <v>1321</v>
      </c>
      <c r="O59" s="92">
        <f>VLOOKUP($A59,'Data Vlaue (Cr)'!$C:$FB,82)</f>
        <v>-8.0000000000000002E-3</v>
      </c>
    </row>
    <row r="60" spans="1:15" x14ac:dyDescent="0.25">
      <c r="A60" s="97" t="str">
        <f>'Data Vlaue (Cr)'!C55</f>
        <v>DALBHARAT</v>
      </c>
      <c r="B60" s="142">
        <f>VLOOKUP(A60,'Data Vlaue (Cr)'!C55:CW273,99,0)</f>
        <v>787</v>
      </c>
      <c r="C60" s="90">
        <f>VLOOKUP(A60,'Data Vlaue (Cr)'!C55:CY273,101,0)</f>
        <v>9</v>
      </c>
      <c r="D60" s="139">
        <f>VLOOKUP(A60,'Data Vlaue (Cr)'!C55:CZ273,102,0)</f>
        <v>1.11E-2</v>
      </c>
      <c r="E60" s="91">
        <f>VLOOKUP($A60,'Data Vlaue (Cr)'!$C:$FB,75)</f>
        <v>491</v>
      </c>
      <c r="F60" s="91">
        <f>VLOOKUP($A60,'Data Vlaue (Cr)'!$C:$FB,77)</f>
        <v>3</v>
      </c>
      <c r="G60" s="92">
        <f>VLOOKUP(A60,'Data Vlaue (Cr)'!C55:CB273,78,0)</f>
        <v>5.5999999999999999E-3</v>
      </c>
      <c r="H60" s="91">
        <f>VLOOKUP($A60,'Data Vlaue (Cr)'!$C:$FB,91)</f>
        <v>125</v>
      </c>
      <c r="I60" s="91">
        <f>VLOOKUP($A60,'Data Vlaue (Cr)'!$C:$FB,93)</f>
        <v>3</v>
      </c>
      <c r="J60" s="92">
        <f>VLOOKUP($A60,'Data Vlaue (Cr)'!$C:$FB,94)</f>
        <v>2.86E-2</v>
      </c>
      <c r="K60" s="91">
        <f>VLOOKUP($A60,'Data Vlaue (Cr)'!$C:$FB,95)</f>
        <v>171</v>
      </c>
      <c r="L60" s="91">
        <f>VLOOKUP($A60,'Data Vlaue (Cr)'!$C:$FB,97)</f>
        <v>2</v>
      </c>
      <c r="M60" s="92">
        <f>VLOOKUP($A60,'Data Vlaue (Cr)'!$C:$FB,98)</f>
        <v>1.44E-2</v>
      </c>
      <c r="N60" s="91">
        <f>VLOOKUP($A60,'Data Vlaue (Cr)'!$C:$FB,79)</f>
        <v>485</v>
      </c>
      <c r="O60" s="92">
        <f>VLOOKUP($A60,'Data Vlaue (Cr)'!$C:$FB,82)</f>
        <v>5.3E-3</v>
      </c>
    </row>
    <row r="61" spans="1:15" x14ac:dyDescent="0.25">
      <c r="A61" s="97" t="str">
        <f>'Data Vlaue (Cr)'!C56</f>
        <v>DELHIVERY</v>
      </c>
      <c r="B61" s="142">
        <f>VLOOKUP(A61,'Data Vlaue (Cr)'!C56:CW274,99,0)</f>
        <v>1917</v>
      </c>
      <c r="C61" s="90">
        <f>VLOOKUP(A61,'Data Vlaue (Cr)'!C56:CY274,101,0)</f>
        <v>59</v>
      </c>
      <c r="D61" s="139">
        <f>VLOOKUP(A61,'Data Vlaue (Cr)'!C56:CZ274,102,0)</f>
        <v>3.1699999999999999E-2</v>
      </c>
      <c r="E61" s="91">
        <f>VLOOKUP($A61,'Data Vlaue (Cr)'!$C:$FB,75)</f>
        <v>1391</v>
      </c>
      <c r="F61" s="91">
        <f>VLOOKUP($A61,'Data Vlaue (Cr)'!$C:$FB,77)</f>
        <v>-50</v>
      </c>
      <c r="G61" s="92">
        <f>VLOOKUP(A61,'Data Vlaue (Cr)'!C56:CB274,78,0)</f>
        <v>-3.44E-2</v>
      </c>
      <c r="H61" s="91">
        <f>VLOOKUP($A61,'Data Vlaue (Cr)'!$C:$FB,91)</f>
        <v>337</v>
      </c>
      <c r="I61" s="91">
        <f>VLOOKUP($A61,'Data Vlaue (Cr)'!$C:$FB,93)</f>
        <v>60</v>
      </c>
      <c r="J61" s="92">
        <f>VLOOKUP($A61,'Data Vlaue (Cr)'!$C:$FB,94)</f>
        <v>0.21820000000000001</v>
      </c>
      <c r="K61" s="91">
        <f>VLOOKUP($A61,'Data Vlaue (Cr)'!$C:$FB,95)</f>
        <v>188</v>
      </c>
      <c r="L61" s="91">
        <f>VLOOKUP($A61,'Data Vlaue (Cr)'!$C:$FB,97)</f>
        <v>48</v>
      </c>
      <c r="M61" s="92">
        <f>VLOOKUP($A61,'Data Vlaue (Cr)'!$C:$FB,98)</f>
        <v>0.3422</v>
      </c>
      <c r="N61" s="91">
        <f>VLOOKUP($A61,'Data Vlaue (Cr)'!$C:$FB,79)</f>
        <v>1373</v>
      </c>
      <c r="O61" s="92">
        <f>VLOOKUP($A61,'Data Vlaue (Cr)'!$C:$FB,82)</f>
        <v>-3.85E-2</v>
      </c>
    </row>
    <row r="62" spans="1:15" x14ac:dyDescent="0.25">
      <c r="A62" s="97" t="str">
        <f>'Data Vlaue (Cr)'!C57</f>
        <v>DIVISLAB</v>
      </c>
      <c r="B62" s="142">
        <f>VLOOKUP(A62,'Data Vlaue (Cr)'!C57:CW275,99,0)</f>
        <v>2514</v>
      </c>
      <c r="C62" s="90">
        <f>VLOOKUP(A62,'Data Vlaue (Cr)'!C57:CY275,101,0)</f>
        <v>5</v>
      </c>
      <c r="D62" s="139">
        <f>VLOOKUP(A62,'Data Vlaue (Cr)'!C57:CZ275,102,0)</f>
        <v>1.9E-3</v>
      </c>
      <c r="E62" s="91">
        <f>VLOOKUP($A62,'Data Vlaue (Cr)'!$C:$FB,75)</f>
        <v>1738</v>
      </c>
      <c r="F62" s="91">
        <f>VLOOKUP($A62,'Data Vlaue (Cr)'!$C:$FB,77)</f>
        <v>14</v>
      </c>
      <c r="G62" s="92">
        <f>VLOOKUP(A62,'Data Vlaue (Cr)'!C57:CB275,78,0)</f>
        <v>8.0999999999999996E-3</v>
      </c>
      <c r="H62" s="91">
        <f>VLOOKUP($A62,'Data Vlaue (Cr)'!$C:$FB,91)</f>
        <v>376</v>
      </c>
      <c r="I62" s="91">
        <f>VLOOKUP($A62,'Data Vlaue (Cr)'!$C:$FB,93)</f>
        <v>-18</v>
      </c>
      <c r="J62" s="92">
        <f>VLOOKUP($A62,'Data Vlaue (Cr)'!$C:$FB,94)</f>
        <v>-4.5499999999999999E-2</v>
      </c>
      <c r="K62" s="91">
        <f>VLOOKUP($A62,'Data Vlaue (Cr)'!$C:$FB,95)</f>
        <v>400</v>
      </c>
      <c r="L62" s="91">
        <f>VLOOKUP($A62,'Data Vlaue (Cr)'!$C:$FB,97)</f>
        <v>9</v>
      </c>
      <c r="M62" s="92">
        <f>VLOOKUP($A62,'Data Vlaue (Cr)'!$C:$FB,98)</f>
        <v>2.2100000000000002E-2</v>
      </c>
      <c r="N62" s="91">
        <f>VLOOKUP($A62,'Data Vlaue (Cr)'!$C:$FB,79)</f>
        <v>1693</v>
      </c>
      <c r="O62" s="92">
        <f>VLOOKUP($A62,'Data Vlaue (Cr)'!$C:$FB,82)</f>
        <v>7.3000000000000001E-3</v>
      </c>
    </row>
    <row r="63" spans="1:15" x14ac:dyDescent="0.25">
      <c r="A63" s="97" t="str">
        <f>'Data Vlaue (Cr)'!C58</f>
        <v>DIXON</v>
      </c>
      <c r="B63" s="142">
        <f>VLOOKUP(A63,'Data Vlaue (Cr)'!C58:CW276,99,0)</f>
        <v>6327</v>
      </c>
      <c r="C63" s="90">
        <f>VLOOKUP(A63,'Data Vlaue (Cr)'!C58:CY276,101,0)</f>
        <v>58</v>
      </c>
      <c r="D63" s="139">
        <f>VLOOKUP(A63,'Data Vlaue (Cr)'!C58:CZ276,102,0)</f>
        <v>9.1999999999999998E-3</v>
      </c>
      <c r="E63" s="91">
        <f>VLOOKUP($A63,'Data Vlaue (Cr)'!$C:$FB,75)</f>
        <v>3235</v>
      </c>
      <c r="F63" s="91">
        <f>VLOOKUP($A63,'Data Vlaue (Cr)'!$C:$FB,77)</f>
        <v>42</v>
      </c>
      <c r="G63" s="92">
        <f>VLOOKUP(A63,'Data Vlaue (Cr)'!C58:CB276,78,0)</f>
        <v>1.3299999999999999E-2</v>
      </c>
      <c r="H63" s="91">
        <f>VLOOKUP($A63,'Data Vlaue (Cr)'!$C:$FB,91)</f>
        <v>1745</v>
      </c>
      <c r="I63" s="91">
        <f>VLOOKUP($A63,'Data Vlaue (Cr)'!$C:$FB,93)</f>
        <v>-22</v>
      </c>
      <c r="J63" s="92">
        <f>VLOOKUP($A63,'Data Vlaue (Cr)'!$C:$FB,94)</f>
        <v>-1.26E-2</v>
      </c>
      <c r="K63" s="91">
        <f>VLOOKUP($A63,'Data Vlaue (Cr)'!$C:$FB,95)</f>
        <v>1347</v>
      </c>
      <c r="L63" s="91">
        <f>VLOOKUP($A63,'Data Vlaue (Cr)'!$C:$FB,97)</f>
        <v>38</v>
      </c>
      <c r="M63" s="92">
        <f>VLOOKUP($A63,'Data Vlaue (Cr)'!$C:$FB,98)</f>
        <v>2.9000000000000001E-2</v>
      </c>
      <c r="N63" s="91">
        <f>VLOOKUP($A63,'Data Vlaue (Cr)'!$C:$FB,79)</f>
        <v>2928</v>
      </c>
      <c r="O63" s="92">
        <f>VLOOKUP($A63,'Data Vlaue (Cr)'!$C:$FB,82)</f>
        <v>1.6999999999999999E-3</v>
      </c>
    </row>
    <row r="64" spans="1:15" x14ac:dyDescent="0.25">
      <c r="A64" s="97" t="str">
        <f>'Data Vlaue (Cr)'!C59</f>
        <v>DLF</v>
      </c>
      <c r="B64" s="142">
        <f>VLOOKUP(A64,'Data Vlaue (Cr)'!C59:CW277,99,0)</f>
        <v>4141</v>
      </c>
      <c r="C64" s="90">
        <f>VLOOKUP(A64,'Data Vlaue (Cr)'!C59:CY277,101,0)</f>
        <v>40</v>
      </c>
      <c r="D64" s="139">
        <f>VLOOKUP(A64,'Data Vlaue (Cr)'!C59:CZ277,102,0)</f>
        <v>9.7000000000000003E-3</v>
      </c>
      <c r="E64" s="91">
        <f>VLOOKUP($A64,'Data Vlaue (Cr)'!$C:$FB,75)</f>
        <v>3071</v>
      </c>
      <c r="F64" s="91">
        <f>VLOOKUP($A64,'Data Vlaue (Cr)'!$C:$FB,77)</f>
        <v>2</v>
      </c>
      <c r="G64" s="92">
        <f>VLOOKUP(A64,'Data Vlaue (Cr)'!C59:CB277,78,0)</f>
        <v>5.0000000000000001E-4</v>
      </c>
      <c r="H64" s="91">
        <f>VLOOKUP($A64,'Data Vlaue (Cr)'!$C:$FB,91)</f>
        <v>539</v>
      </c>
      <c r="I64" s="91">
        <f>VLOOKUP($A64,'Data Vlaue (Cr)'!$C:$FB,93)</f>
        <v>25</v>
      </c>
      <c r="J64" s="92">
        <f>VLOOKUP($A64,'Data Vlaue (Cr)'!$C:$FB,94)</f>
        <v>4.9000000000000002E-2</v>
      </c>
      <c r="K64" s="91">
        <f>VLOOKUP($A64,'Data Vlaue (Cr)'!$C:$FB,95)</f>
        <v>531</v>
      </c>
      <c r="L64" s="91">
        <f>VLOOKUP($A64,'Data Vlaue (Cr)'!$C:$FB,97)</f>
        <v>13</v>
      </c>
      <c r="M64" s="92">
        <f>VLOOKUP($A64,'Data Vlaue (Cr)'!$C:$FB,98)</f>
        <v>2.4899999999999999E-2</v>
      </c>
      <c r="N64" s="91">
        <f>VLOOKUP($A64,'Data Vlaue (Cr)'!$C:$FB,79)</f>
        <v>2901</v>
      </c>
      <c r="O64" s="92">
        <f>VLOOKUP($A64,'Data Vlaue (Cr)'!$C:$FB,82)</f>
        <v>-1.6999999999999999E-3</v>
      </c>
    </row>
    <row r="65" spans="1:15" x14ac:dyDescent="0.25">
      <c r="A65" s="97" t="str">
        <f>'Data Vlaue (Cr)'!C60</f>
        <v>DMART</v>
      </c>
      <c r="B65" s="142">
        <f>VLOOKUP(A65,'Data Vlaue (Cr)'!C60:CW278,99,0)</f>
        <v>3259</v>
      </c>
      <c r="C65" s="90">
        <f>VLOOKUP(A65,'Data Vlaue (Cr)'!C60:CY278,101,0)</f>
        <v>-117</v>
      </c>
      <c r="D65" s="139">
        <f>VLOOKUP(A65,'Data Vlaue (Cr)'!C60:CZ278,102,0)</f>
        <v>-3.4599999999999999E-2</v>
      </c>
      <c r="E65" s="91">
        <f>VLOOKUP($A65,'Data Vlaue (Cr)'!$C:$FB,75)</f>
        <v>1859</v>
      </c>
      <c r="F65" s="91">
        <f>VLOOKUP($A65,'Data Vlaue (Cr)'!$C:$FB,77)</f>
        <v>-18</v>
      </c>
      <c r="G65" s="92">
        <f>VLOOKUP(A65,'Data Vlaue (Cr)'!C60:CB278,78,0)</f>
        <v>-9.5999999999999992E-3</v>
      </c>
      <c r="H65" s="91">
        <f>VLOOKUP($A65,'Data Vlaue (Cr)'!$C:$FB,91)</f>
        <v>774</v>
      </c>
      <c r="I65" s="91">
        <f>VLOOKUP($A65,'Data Vlaue (Cr)'!$C:$FB,93)</f>
        <v>-42</v>
      </c>
      <c r="J65" s="92">
        <f>VLOOKUP($A65,'Data Vlaue (Cr)'!$C:$FB,94)</f>
        <v>-5.1900000000000002E-2</v>
      </c>
      <c r="K65" s="91">
        <f>VLOOKUP($A65,'Data Vlaue (Cr)'!$C:$FB,95)</f>
        <v>626</v>
      </c>
      <c r="L65" s="91">
        <f>VLOOKUP($A65,'Data Vlaue (Cr)'!$C:$FB,97)</f>
        <v>-56</v>
      </c>
      <c r="M65" s="92">
        <f>VLOOKUP($A65,'Data Vlaue (Cr)'!$C:$FB,98)</f>
        <v>-8.2699999999999996E-2</v>
      </c>
      <c r="N65" s="91">
        <f>VLOOKUP($A65,'Data Vlaue (Cr)'!$C:$FB,79)</f>
        <v>1819</v>
      </c>
      <c r="O65" s="92">
        <f>VLOOKUP($A65,'Data Vlaue (Cr)'!$C:$FB,82)</f>
        <v>-1.03E-2</v>
      </c>
    </row>
    <row r="66" spans="1:15" x14ac:dyDescent="0.25">
      <c r="A66" s="97" t="str">
        <f>'Data Vlaue (Cr)'!C61</f>
        <v>DRREDDY</v>
      </c>
      <c r="B66" s="142">
        <f>VLOOKUP(A66,'Data Vlaue (Cr)'!C61:CW279,99,0)</f>
        <v>2855</v>
      </c>
      <c r="C66" s="90">
        <f>VLOOKUP(A66,'Data Vlaue (Cr)'!C61:CY279,101,0)</f>
        <v>-219</v>
      </c>
      <c r="D66" s="139">
        <f>VLOOKUP(A66,'Data Vlaue (Cr)'!C61:CZ279,102,0)</f>
        <v>-7.1300000000000002E-2</v>
      </c>
      <c r="E66" s="91">
        <f>VLOOKUP($A66,'Data Vlaue (Cr)'!$C:$FB,75)</f>
        <v>1632</v>
      </c>
      <c r="F66" s="91">
        <f>VLOOKUP($A66,'Data Vlaue (Cr)'!$C:$FB,77)</f>
        <v>-36</v>
      </c>
      <c r="G66" s="92">
        <f>VLOOKUP(A66,'Data Vlaue (Cr)'!C61:CB279,78,0)</f>
        <v>-2.1700000000000001E-2</v>
      </c>
      <c r="H66" s="91">
        <f>VLOOKUP($A66,'Data Vlaue (Cr)'!$C:$FB,91)</f>
        <v>693</v>
      </c>
      <c r="I66" s="91">
        <f>VLOOKUP($A66,'Data Vlaue (Cr)'!$C:$FB,93)</f>
        <v>-92</v>
      </c>
      <c r="J66" s="92">
        <f>VLOOKUP($A66,'Data Vlaue (Cr)'!$C:$FB,94)</f>
        <v>-0.11749999999999999</v>
      </c>
      <c r="K66" s="91">
        <f>VLOOKUP($A66,'Data Vlaue (Cr)'!$C:$FB,95)</f>
        <v>530</v>
      </c>
      <c r="L66" s="91">
        <f>VLOOKUP($A66,'Data Vlaue (Cr)'!$C:$FB,97)</f>
        <v>-91</v>
      </c>
      <c r="M66" s="92">
        <f>VLOOKUP($A66,'Data Vlaue (Cr)'!$C:$FB,98)</f>
        <v>-0.14580000000000001</v>
      </c>
      <c r="N66" s="91">
        <f>VLOOKUP($A66,'Data Vlaue (Cr)'!$C:$FB,79)</f>
        <v>1581</v>
      </c>
      <c r="O66" s="92">
        <f>VLOOKUP($A66,'Data Vlaue (Cr)'!$C:$FB,82)</f>
        <v>-2.0500000000000001E-2</v>
      </c>
    </row>
    <row r="67" spans="1:15" x14ac:dyDescent="0.25">
      <c r="A67" s="97" t="str">
        <f>'Data Vlaue (Cr)'!C62</f>
        <v>EICHERMOT</v>
      </c>
      <c r="B67" s="142">
        <f>VLOOKUP(A67,'Data Vlaue (Cr)'!C62:CW280,99,0)</f>
        <v>4877</v>
      </c>
      <c r="C67" s="90">
        <f>VLOOKUP(A67,'Data Vlaue (Cr)'!C62:CY280,101,0)</f>
        <v>60</v>
      </c>
      <c r="D67" s="139">
        <f>VLOOKUP(A67,'Data Vlaue (Cr)'!C62:CZ280,102,0)</f>
        <v>1.24E-2</v>
      </c>
      <c r="E67" s="91">
        <f>VLOOKUP($A67,'Data Vlaue (Cr)'!$C:$FB,75)</f>
        <v>2990</v>
      </c>
      <c r="F67" s="91">
        <f>VLOOKUP($A67,'Data Vlaue (Cr)'!$C:$FB,77)</f>
        <v>-60</v>
      </c>
      <c r="G67" s="92">
        <f>VLOOKUP(A67,'Data Vlaue (Cr)'!C62:CB280,78,0)</f>
        <v>-1.9699999999999999E-2</v>
      </c>
      <c r="H67" s="91">
        <f>VLOOKUP($A67,'Data Vlaue (Cr)'!$C:$FB,91)</f>
        <v>1004</v>
      </c>
      <c r="I67" s="91">
        <f>VLOOKUP($A67,'Data Vlaue (Cr)'!$C:$FB,93)</f>
        <v>9</v>
      </c>
      <c r="J67" s="92">
        <f>VLOOKUP($A67,'Data Vlaue (Cr)'!$C:$FB,94)</f>
        <v>9.2999999999999992E-3</v>
      </c>
      <c r="K67" s="91">
        <f>VLOOKUP($A67,'Data Vlaue (Cr)'!$C:$FB,95)</f>
        <v>883</v>
      </c>
      <c r="L67" s="91">
        <f>VLOOKUP($A67,'Data Vlaue (Cr)'!$C:$FB,97)</f>
        <v>110</v>
      </c>
      <c r="M67" s="92">
        <f>VLOOKUP($A67,'Data Vlaue (Cr)'!$C:$FB,98)</f>
        <v>0.14299999999999999</v>
      </c>
      <c r="N67" s="91">
        <f>VLOOKUP($A67,'Data Vlaue (Cr)'!$C:$FB,79)</f>
        <v>2718</v>
      </c>
      <c r="O67" s="92">
        <f>VLOOKUP($A67,'Data Vlaue (Cr)'!$C:$FB,82)</f>
        <v>-3.5200000000000002E-2</v>
      </c>
    </row>
    <row r="68" spans="1:15" x14ac:dyDescent="0.25">
      <c r="A68" s="97" t="str">
        <f>'Data Vlaue (Cr)'!C63</f>
        <v>ETERNAL</v>
      </c>
      <c r="B68" s="142">
        <f>VLOOKUP(A68,'Data Vlaue (Cr)'!C63:CW281,99,0)</f>
        <v>7115</v>
      </c>
      <c r="C68" s="90">
        <f>VLOOKUP(A68,'Data Vlaue (Cr)'!C63:CY281,101,0)</f>
        <v>214</v>
      </c>
      <c r="D68" s="139">
        <f>VLOOKUP(A68,'Data Vlaue (Cr)'!C63:CZ281,102,0)</f>
        <v>3.1E-2</v>
      </c>
      <c r="E68" s="91">
        <f>VLOOKUP($A68,'Data Vlaue (Cr)'!$C:$FB,75)</f>
        <v>4815</v>
      </c>
      <c r="F68" s="91">
        <f>VLOOKUP($A68,'Data Vlaue (Cr)'!$C:$FB,77)</f>
        <v>17</v>
      </c>
      <c r="G68" s="92">
        <f>VLOOKUP(A68,'Data Vlaue (Cr)'!C63:CB281,78,0)</f>
        <v>3.5999999999999999E-3</v>
      </c>
      <c r="H68" s="91">
        <f>VLOOKUP($A68,'Data Vlaue (Cr)'!$C:$FB,91)</f>
        <v>1359</v>
      </c>
      <c r="I68" s="91">
        <f>VLOOKUP($A68,'Data Vlaue (Cr)'!$C:$FB,93)</f>
        <v>163</v>
      </c>
      <c r="J68" s="92">
        <f>VLOOKUP($A68,'Data Vlaue (Cr)'!$C:$FB,94)</f>
        <v>0.13600000000000001</v>
      </c>
      <c r="K68" s="91">
        <f>VLOOKUP($A68,'Data Vlaue (Cr)'!$C:$FB,95)</f>
        <v>941</v>
      </c>
      <c r="L68" s="91">
        <f>VLOOKUP($A68,'Data Vlaue (Cr)'!$C:$FB,97)</f>
        <v>34</v>
      </c>
      <c r="M68" s="92">
        <f>VLOOKUP($A68,'Data Vlaue (Cr)'!$C:$FB,98)</f>
        <v>3.7199999999999997E-2</v>
      </c>
      <c r="N68" s="91">
        <f>VLOOKUP($A68,'Data Vlaue (Cr)'!$C:$FB,79)</f>
        <v>4463</v>
      </c>
      <c r="O68" s="92">
        <f>VLOOKUP($A68,'Data Vlaue (Cr)'!$C:$FB,82)</f>
        <v>-2.9999999999999997E-4</v>
      </c>
    </row>
    <row r="69" spans="1:15" x14ac:dyDescent="0.25">
      <c r="A69" s="97" t="str">
        <f>'Data Vlaue (Cr)'!C64</f>
        <v>EXIDEIND</v>
      </c>
      <c r="B69" s="142">
        <f>VLOOKUP(A69,'Data Vlaue (Cr)'!C64:CW282,99,0)</f>
        <v>1603</v>
      </c>
      <c r="C69" s="90">
        <f>VLOOKUP(A69,'Data Vlaue (Cr)'!C64:CY282,101,0)</f>
        <v>160</v>
      </c>
      <c r="D69" s="139">
        <f>VLOOKUP(A69,'Data Vlaue (Cr)'!C64:CZ282,102,0)</f>
        <v>0.1105</v>
      </c>
      <c r="E69" s="91">
        <f>VLOOKUP($A69,'Data Vlaue (Cr)'!$C:$FB,75)</f>
        <v>916</v>
      </c>
      <c r="F69" s="91">
        <f>VLOOKUP($A69,'Data Vlaue (Cr)'!$C:$FB,77)</f>
        <v>8</v>
      </c>
      <c r="G69" s="92">
        <f>VLOOKUP(A69,'Data Vlaue (Cr)'!C64:CB282,78,0)</f>
        <v>8.3000000000000001E-3</v>
      </c>
      <c r="H69" s="91">
        <f>VLOOKUP($A69,'Data Vlaue (Cr)'!$C:$FB,91)</f>
        <v>349</v>
      </c>
      <c r="I69" s="91">
        <f>VLOOKUP($A69,'Data Vlaue (Cr)'!$C:$FB,93)</f>
        <v>59</v>
      </c>
      <c r="J69" s="92">
        <f>VLOOKUP($A69,'Data Vlaue (Cr)'!$C:$FB,94)</f>
        <v>0.2054</v>
      </c>
      <c r="K69" s="91">
        <f>VLOOKUP($A69,'Data Vlaue (Cr)'!$C:$FB,95)</f>
        <v>338</v>
      </c>
      <c r="L69" s="91">
        <f>VLOOKUP($A69,'Data Vlaue (Cr)'!$C:$FB,97)</f>
        <v>93</v>
      </c>
      <c r="M69" s="92">
        <f>VLOOKUP($A69,'Data Vlaue (Cr)'!$C:$FB,98)</f>
        <v>0.37709999999999999</v>
      </c>
      <c r="N69" s="91">
        <f>VLOOKUP($A69,'Data Vlaue (Cr)'!$C:$FB,79)</f>
        <v>864</v>
      </c>
      <c r="O69" s="92">
        <f>VLOOKUP($A69,'Data Vlaue (Cr)'!$C:$FB,82)</f>
        <v>-4.1000000000000003E-3</v>
      </c>
    </row>
    <row r="70" spans="1:15" x14ac:dyDescent="0.25">
      <c r="A70" s="97" t="str">
        <f>'Data Vlaue (Cr)'!C65</f>
        <v>FEDERALBNK</v>
      </c>
      <c r="B70" s="142">
        <f>VLOOKUP(A70,'Data Vlaue (Cr)'!C65:CW283,99,0)</f>
        <v>3548</v>
      </c>
      <c r="C70" s="90">
        <f>VLOOKUP(A70,'Data Vlaue (Cr)'!C65:CY283,101,0)</f>
        <v>16</v>
      </c>
      <c r="D70" s="139">
        <f>VLOOKUP(A70,'Data Vlaue (Cr)'!C65:CZ283,102,0)</f>
        <v>4.5999999999999999E-3</v>
      </c>
      <c r="E70" s="91">
        <f>VLOOKUP($A70,'Data Vlaue (Cr)'!$C:$FB,75)</f>
        <v>2262</v>
      </c>
      <c r="F70" s="91">
        <f>VLOOKUP($A70,'Data Vlaue (Cr)'!$C:$FB,77)</f>
        <v>-4</v>
      </c>
      <c r="G70" s="92">
        <f>VLOOKUP(A70,'Data Vlaue (Cr)'!C65:CB283,78,0)</f>
        <v>-1.6000000000000001E-3</v>
      </c>
      <c r="H70" s="91">
        <f>VLOOKUP($A70,'Data Vlaue (Cr)'!$C:$FB,91)</f>
        <v>668</v>
      </c>
      <c r="I70" s="91">
        <f>VLOOKUP($A70,'Data Vlaue (Cr)'!$C:$FB,93)</f>
        <v>13</v>
      </c>
      <c r="J70" s="92">
        <f>VLOOKUP($A70,'Data Vlaue (Cr)'!$C:$FB,94)</f>
        <v>1.95E-2</v>
      </c>
      <c r="K70" s="91">
        <f>VLOOKUP($A70,'Data Vlaue (Cr)'!$C:$FB,95)</f>
        <v>618</v>
      </c>
      <c r="L70" s="91">
        <f>VLOOKUP($A70,'Data Vlaue (Cr)'!$C:$FB,97)</f>
        <v>7</v>
      </c>
      <c r="M70" s="92">
        <f>VLOOKUP($A70,'Data Vlaue (Cr)'!$C:$FB,98)</f>
        <v>1.1599999999999999E-2</v>
      </c>
      <c r="N70" s="91">
        <f>VLOOKUP($A70,'Data Vlaue (Cr)'!$C:$FB,79)</f>
        <v>2190</v>
      </c>
      <c r="O70" s="92">
        <f>VLOOKUP($A70,'Data Vlaue (Cr)'!$C:$FB,82)</f>
        <v>-8.0000000000000002E-3</v>
      </c>
    </row>
    <row r="71" spans="1:15" x14ac:dyDescent="0.25">
      <c r="A71" s="97" t="str">
        <f>'Data Vlaue (Cr)'!C66</f>
        <v>FINNIFTY</v>
      </c>
      <c r="B71" s="142">
        <f>VLOOKUP(A71,'Data Vlaue (Cr)'!C66:CW284,99,0)</f>
        <v>672</v>
      </c>
      <c r="C71" s="90">
        <f>VLOOKUP(A71,'Data Vlaue (Cr)'!C66:CY284,101,0)</f>
        <v>92</v>
      </c>
      <c r="D71" s="139">
        <f>VLOOKUP(A71,'Data Vlaue (Cr)'!C66:CZ284,102,0)</f>
        <v>0.15809999999999999</v>
      </c>
      <c r="E71" s="91">
        <f>VLOOKUP($A71,'Data Vlaue (Cr)'!$C:$FB,75)</f>
        <v>72</v>
      </c>
      <c r="F71" s="91">
        <f>VLOOKUP($A71,'Data Vlaue (Cr)'!$C:$FB,77)</f>
        <v>3</v>
      </c>
      <c r="G71" s="92">
        <f>VLOOKUP(A71,'Data Vlaue (Cr)'!C66:CB284,78,0)</f>
        <v>4.2799999999999998E-2</v>
      </c>
      <c r="H71" s="91">
        <f>VLOOKUP($A71,'Data Vlaue (Cr)'!$C:$FB,91)</f>
        <v>318</v>
      </c>
      <c r="I71" s="91">
        <f>VLOOKUP($A71,'Data Vlaue (Cr)'!$C:$FB,93)</f>
        <v>27</v>
      </c>
      <c r="J71" s="92">
        <f>VLOOKUP($A71,'Data Vlaue (Cr)'!$C:$FB,94)</f>
        <v>9.2100000000000001E-2</v>
      </c>
      <c r="K71" s="91">
        <f>VLOOKUP($A71,'Data Vlaue (Cr)'!$C:$FB,95)</f>
        <v>282</v>
      </c>
      <c r="L71" s="91">
        <f>VLOOKUP($A71,'Data Vlaue (Cr)'!$C:$FB,97)</f>
        <v>62</v>
      </c>
      <c r="M71" s="92">
        <f>VLOOKUP($A71,'Data Vlaue (Cr)'!$C:$FB,98)</f>
        <v>0.28129999999999999</v>
      </c>
      <c r="N71" s="91">
        <f>VLOOKUP($A71,'Data Vlaue (Cr)'!$C:$FB,79)</f>
        <v>68</v>
      </c>
      <c r="O71" s="92">
        <f>VLOOKUP($A71,'Data Vlaue (Cr)'!$C:$FB,82)</f>
        <v>2.3199999999999998E-2</v>
      </c>
    </row>
    <row r="72" spans="1:15" x14ac:dyDescent="0.25">
      <c r="A72" s="97" t="str">
        <f>'Data Vlaue (Cr)'!C67</f>
        <v>FORCEMOT</v>
      </c>
      <c r="B72" s="142">
        <f>VLOOKUP(A72,'Data Vlaue (Cr)'!C67:CW285,99,0)</f>
        <v>312</v>
      </c>
      <c r="C72" s="90">
        <f>VLOOKUP(A72,'Data Vlaue (Cr)'!C67:CY285,101,0)</f>
        <v>14</v>
      </c>
      <c r="D72" s="139">
        <f>VLOOKUP(A72,'Data Vlaue (Cr)'!C67:CZ285,102,0)</f>
        <v>4.7500000000000001E-2</v>
      </c>
      <c r="E72" s="91">
        <f>VLOOKUP($A72,'Data Vlaue (Cr)'!$C:$FB,75)</f>
        <v>189</v>
      </c>
      <c r="F72" s="91">
        <f>VLOOKUP($A72,'Data Vlaue (Cr)'!$C:$FB,77)</f>
        <v>0</v>
      </c>
      <c r="G72" s="92">
        <f>VLOOKUP(A72,'Data Vlaue (Cr)'!C67:CB285,78,0)</f>
        <v>2.3999999999999998E-3</v>
      </c>
      <c r="H72" s="91">
        <f>VLOOKUP($A72,'Data Vlaue (Cr)'!$C:$FB,91)</f>
        <v>81</v>
      </c>
      <c r="I72" s="91">
        <f>VLOOKUP($A72,'Data Vlaue (Cr)'!$C:$FB,93)</f>
        <v>9</v>
      </c>
      <c r="J72" s="92">
        <f>VLOOKUP($A72,'Data Vlaue (Cr)'!$C:$FB,94)</f>
        <v>0.12670000000000001</v>
      </c>
      <c r="K72" s="91">
        <f>VLOOKUP($A72,'Data Vlaue (Cr)'!$C:$FB,95)</f>
        <v>42</v>
      </c>
      <c r="L72" s="91">
        <f>VLOOKUP($A72,'Data Vlaue (Cr)'!$C:$FB,97)</f>
        <v>5</v>
      </c>
      <c r="M72" s="92">
        <f>VLOOKUP($A72,'Data Vlaue (Cr)'!$C:$FB,98)</f>
        <v>0.1222</v>
      </c>
      <c r="N72" s="91">
        <f>VLOOKUP($A72,'Data Vlaue (Cr)'!$C:$FB,79)</f>
        <v>161</v>
      </c>
      <c r="O72" s="92">
        <f>VLOOKUP($A72,'Data Vlaue (Cr)'!$C:$FB,82)</f>
        <v>-5.5399999999999998E-2</v>
      </c>
    </row>
    <row r="73" spans="1:15" x14ac:dyDescent="0.25">
      <c r="A73" s="97" t="str">
        <f>'Data Vlaue (Cr)'!C68</f>
        <v>FORTIS</v>
      </c>
      <c r="B73" s="142">
        <f>VLOOKUP(A73,'Data Vlaue (Cr)'!C68:CW286,99,0)</f>
        <v>1275</v>
      </c>
      <c r="C73" s="90">
        <f>VLOOKUP(A73,'Data Vlaue (Cr)'!C68:CY286,101,0)</f>
        <v>1</v>
      </c>
      <c r="D73" s="139">
        <f>VLOOKUP(A73,'Data Vlaue (Cr)'!C68:CZ286,102,0)</f>
        <v>1.1000000000000001E-3</v>
      </c>
      <c r="E73" s="91">
        <f>VLOOKUP($A73,'Data Vlaue (Cr)'!$C:$FB,75)</f>
        <v>1020</v>
      </c>
      <c r="F73" s="91">
        <f>VLOOKUP($A73,'Data Vlaue (Cr)'!$C:$FB,77)</f>
        <v>5</v>
      </c>
      <c r="G73" s="92">
        <f>VLOOKUP(A73,'Data Vlaue (Cr)'!C68:CB286,78,0)</f>
        <v>5.1999999999999998E-3</v>
      </c>
      <c r="H73" s="91">
        <f>VLOOKUP($A73,'Data Vlaue (Cr)'!$C:$FB,91)</f>
        <v>150</v>
      </c>
      <c r="I73" s="91">
        <f>VLOOKUP($A73,'Data Vlaue (Cr)'!$C:$FB,93)</f>
        <v>-7</v>
      </c>
      <c r="J73" s="92">
        <f>VLOOKUP($A73,'Data Vlaue (Cr)'!$C:$FB,94)</f>
        <v>-4.7500000000000001E-2</v>
      </c>
      <c r="K73" s="91">
        <f>VLOOKUP($A73,'Data Vlaue (Cr)'!$C:$FB,95)</f>
        <v>105</v>
      </c>
      <c r="L73" s="91">
        <f>VLOOKUP($A73,'Data Vlaue (Cr)'!$C:$FB,97)</f>
        <v>4</v>
      </c>
      <c r="M73" s="92">
        <f>VLOOKUP($A73,'Data Vlaue (Cr)'!$C:$FB,98)</f>
        <v>3.5200000000000002E-2</v>
      </c>
      <c r="N73" s="91">
        <f>VLOOKUP($A73,'Data Vlaue (Cr)'!$C:$FB,79)</f>
        <v>1007</v>
      </c>
      <c r="O73" s="92">
        <f>VLOOKUP($A73,'Data Vlaue (Cr)'!$C:$FB,82)</f>
        <v>3.3999999999999998E-3</v>
      </c>
    </row>
    <row r="74" spans="1:15" x14ac:dyDescent="0.25">
      <c r="A74" s="97" t="str">
        <f>'Data Vlaue (Cr)'!C69</f>
        <v>GAIL</v>
      </c>
      <c r="B74" s="142">
        <f>VLOOKUP(A74,'Data Vlaue (Cr)'!C69:CW287,99,0)</f>
        <v>2106</v>
      </c>
      <c r="C74" s="90">
        <f>VLOOKUP(A74,'Data Vlaue (Cr)'!C69:CY287,101,0)</f>
        <v>-6</v>
      </c>
      <c r="D74" s="139">
        <f>VLOOKUP(A74,'Data Vlaue (Cr)'!C69:CZ287,102,0)</f>
        <v>-2.8E-3</v>
      </c>
      <c r="E74" s="91">
        <f>VLOOKUP($A74,'Data Vlaue (Cr)'!$C:$FB,75)</f>
        <v>1242</v>
      </c>
      <c r="F74" s="91">
        <f>VLOOKUP($A74,'Data Vlaue (Cr)'!$C:$FB,77)</f>
        <v>-9</v>
      </c>
      <c r="G74" s="92">
        <f>VLOOKUP(A74,'Data Vlaue (Cr)'!C69:CB287,78,0)</f>
        <v>-7.3000000000000001E-3</v>
      </c>
      <c r="H74" s="91">
        <f>VLOOKUP($A74,'Data Vlaue (Cr)'!$C:$FB,91)</f>
        <v>409</v>
      </c>
      <c r="I74" s="91">
        <f>VLOOKUP($A74,'Data Vlaue (Cr)'!$C:$FB,93)</f>
        <v>2</v>
      </c>
      <c r="J74" s="92">
        <f>VLOOKUP($A74,'Data Vlaue (Cr)'!$C:$FB,94)</f>
        <v>4.1000000000000003E-3</v>
      </c>
      <c r="K74" s="91">
        <f>VLOOKUP($A74,'Data Vlaue (Cr)'!$C:$FB,95)</f>
        <v>455</v>
      </c>
      <c r="L74" s="91">
        <f>VLOOKUP($A74,'Data Vlaue (Cr)'!$C:$FB,97)</f>
        <v>1</v>
      </c>
      <c r="M74" s="92">
        <f>VLOOKUP($A74,'Data Vlaue (Cr)'!$C:$FB,98)</f>
        <v>3.2000000000000002E-3</v>
      </c>
      <c r="N74" s="91">
        <f>VLOOKUP($A74,'Data Vlaue (Cr)'!$C:$FB,79)</f>
        <v>1198</v>
      </c>
      <c r="O74" s="92">
        <f>VLOOKUP($A74,'Data Vlaue (Cr)'!$C:$FB,82)</f>
        <v>-9.1000000000000004E-3</v>
      </c>
    </row>
    <row r="75" spans="1:15" x14ac:dyDescent="0.25">
      <c r="A75" s="97" t="str">
        <f>'Data Vlaue (Cr)'!C70</f>
        <v>GLENMARK</v>
      </c>
      <c r="B75" s="142">
        <f>VLOOKUP(A75,'Data Vlaue (Cr)'!C70:CW288,99,0)</f>
        <v>2761</v>
      </c>
      <c r="C75" s="90">
        <f>VLOOKUP(A75,'Data Vlaue (Cr)'!C70:CY288,101,0)</f>
        <v>-29</v>
      </c>
      <c r="D75" s="139">
        <f>VLOOKUP(A75,'Data Vlaue (Cr)'!C70:CZ288,102,0)</f>
        <v>-1.04E-2</v>
      </c>
      <c r="E75" s="91">
        <f>VLOOKUP($A75,'Data Vlaue (Cr)'!$C:$FB,75)</f>
        <v>2269</v>
      </c>
      <c r="F75" s="91">
        <f>VLOOKUP($A75,'Data Vlaue (Cr)'!$C:$FB,77)</f>
        <v>-56</v>
      </c>
      <c r="G75" s="92">
        <f>VLOOKUP(A75,'Data Vlaue (Cr)'!C70:CB288,78,0)</f>
        <v>-2.3900000000000001E-2</v>
      </c>
      <c r="H75" s="91">
        <f>VLOOKUP($A75,'Data Vlaue (Cr)'!$C:$FB,91)</f>
        <v>311</v>
      </c>
      <c r="I75" s="91">
        <f>VLOOKUP($A75,'Data Vlaue (Cr)'!$C:$FB,93)</f>
        <v>13</v>
      </c>
      <c r="J75" s="92">
        <f>VLOOKUP($A75,'Data Vlaue (Cr)'!$C:$FB,94)</f>
        <v>4.4999999999999998E-2</v>
      </c>
      <c r="K75" s="91">
        <f>VLOOKUP($A75,'Data Vlaue (Cr)'!$C:$FB,95)</f>
        <v>182</v>
      </c>
      <c r="L75" s="91">
        <f>VLOOKUP($A75,'Data Vlaue (Cr)'!$C:$FB,97)</f>
        <v>13</v>
      </c>
      <c r="M75" s="92">
        <f>VLOOKUP($A75,'Data Vlaue (Cr)'!$C:$FB,98)</f>
        <v>7.8299999999999995E-2</v>
      </c>
      <c r="N75" s="91">
        <f>VLOOKUP($A75,'Data Vlaue (Cr)'!$C:$FB,79)</f>
        <v>2255</v>
      </c>
      <c r="O75" s="92">
        <f>VLOOKUP($A75,'Data Vlaue (Cr)'!$C:$FB,82)</f>
        <v>-2.4199999999999999E-2</v>
      </c>
    </row>
    <row r="76" spans="1:15" x14ac:dyDescent="0.25">
      <c r="A76" s="97" t="str">
        <f>'Data Vlaue (Cr)'!C71</f>
        <v>GMRAIRPORT</v>
      </c>
      <c r="B76" s="142">
        <f>VLOOKUP(A76,'Data Vlaue (Cr)'!C71:CW289,99,0)</f>
        <v>1861</v>
      </c>
      <c r="C76" s="90">
        <f>VLOOKUP(A76,'Data Vlaue (Cr)'!C71:CY289,101,0)</f>
        <v>57</v>
      </c>
      <c r="D76" s="139">
        <f>VLOOKUP(A76,'Data Vlaue (Cr)'!C71:CZ289,102,0)</f>
        <v>3.1800000000000002E-2</v>
      </c>
      <c r="E76" s="91">
        <f>VLOOKUP($A76,'Data Vlaue (Cr)'!$C:$FB,75)</f>
        <v>1341</v>
      </c>
      <c r="F76" s="91">
        <f>VLOOKUP($A76,'Data Vlaue (Cr)'!$C:$FB,77)</f>
        <v>7</v>
      </c>
      <c r="G76" s="92">
        <f>VLOOKUP(A76,'Data Vlaue (Cr)'!C71:CB289,78,0)</f>
        <v>5.5999999999999999E-3</v>
      </c>
      <c r="H76" s="91">
        <f>VLOOKUP($A76,'Data Vlaue (Cr)'!$C:$FB,91)</f>
        <v>294</v>
      </c>
      <c r="I76" s="91">
        <f>VLOOKUP($A76,'Data Vlaue (Cr)'!$C:$FB,93)</f>
        <v>41</v>
      </c>
      <c r="J76" s="92">
        <f>VLOOKUP($A76,'Data Vlaue (Cr)'!$C:$FB,94)</f>
        <v>0.1633</v>
      </c>
      <c r="K76" s="91">
        <f>VLOOKUP($A76,'Data Vlaue (Cr)'!$C:$FB,95)</f>
        <v>226</v>
      </c>
      <c r="L76" s="91">
        <f>VLOOKUP($A76,'Data Vlaue (Cr)'!$C:$FB,97)</f>
        <v>9</v>
      </c>
      <c r="M76" s="92">
        <f>VLOOKUP($A76,'Data Vlaue (Cr)'!$C:$FB,98)</f>
        <v>3.9600000000000003E-2</v>
      </c>
      <c r="N76" s="91">
        <f>VLOOKUP($A76,'Data Vlaue (Cr)'!$C:$FB,79)</f>
        <v>1299</v>
      </c>
      <c r="O76" s="92">
        <f>VLOOKUP($A76,'Data Vlaue (Cr)'!$C:$FB,82)</f>
        <v>3.8E-3</v>
      </c>
    </row>
    <row r="77" spans="1:15" x14ac:dyDescent="0.25">
      <c r="A77" s="97" t="str">
        <f>'Data Vlaue (Cr)'!C72</f>
        <v>GODFRYPHLP</v>
      </c>
      <c r="B77" s="142">
        <f>VLOOKUP(A77,'Data Vlaue (Cr)'!C72:CW290,99,0)</f>
        <v>106</v>
      </c>
      <c r="C77" s="90">
        <f>VLOOKUP(A77,'Data Vlaue (Cr)'!C72:CY290,101,0)</f>
        <v>32</v>
      </c>
      <c r="D77" s="139">
        <f>VLOOKUP(A77,'Data Vlaue (Cr)'!C72:CZ290,102,0)</f>
        <v>0.43790000000000001</v>
      </c>
      <c r="E77" s="91">
        <f>VLOOKUP($A77,'Data Vlaue (Cr)'!$C:$FB,75)</f>
        <v>59</v>
      </c>
      <c r="F77" s="91">
        <f>VLOOKUP($A77,'Data Vlaue (Cr)'!$C:$FB,77)</f>
        <v>12</v>
      </c>
      <c r="G77" s="92">
        <f>VLOOKUP(A77,'Data Vlaue (Cr)'!C72:CB290,78,0)</f>
        <v>0.25690000000000002</v>
      </c>
      <c r="H77" s="91">
        <f>VLOOKUP($A77,'Data Vlaue (Cr)'!$C:$FB,91)</f>
        <v>32</v>
      </c>
      <c r="I77" s="91">
        <f>VLOOKUP($A77,'Data Vlaue (Cr)'!$C:$FB,93)</f>
        <v>18</v>
      </c>
      <c r="J77" s="92">
        <f>VLOOKUP($A77,'Data Vlaue (Cr)'!$C:$FB,94)</f>
        <v>1.3143</v>
      </c>
      <c r="K77" s="91">
        <f>VLOOKUP($A77,'Data Vlaue (Cr)'!$C:$FB,95)</f>
        <v>16</v>
      </c>
      <c r="L77" s="91">
        <f>VLOOKUP($A77,'Data Vlaue (Cr)'!$C:$FB,97)</f>
        <v>2</v>
      </c>
      <c r="M77" s="92">
        <f>VLOOKUP($A77,'Data Vlaue (Cr)'!$C:$FB,98)</f>
        <v>0.1736</v>
      </c>
      <c r="N77" s="91">
        <f>VLOOKUP($A77,'Data Vlaue (Cr)'!$C:$FB,79)</f>
        <v>53</v>
      </c>
      <c r="O77" s="92">
        <f>VLOOKUP($A77,'Data Vlaue (Cr)'!$C:$FB,82)</f>
        <v>0.248</v>
      </c>
    </row>
    <row r="78" spans="1:15" x14ac:dyDescent="0.25">
      <c r="A78" s="97" t="str">
        <f>'Data Vlaue (Cr)'!C73</f>
        <v>GODREJCP</v>
      </c>
      <c r="B78" s="142">
        <f>VLOOKUP(A78,'Data Vlaue (Cr)'!C73:CW291,99,0)</f>
        <v>1566</v>
      </c>
      <c r="C78" s="90">
        <f>VLOOKUP(A78,'Data Vlaue (Cr)'!C73:CY291,101,0)</f>
        <v>30</v>
      </c>
      <c r="D78" s="139">
        <f>VLOOKUP(A78,'Data Vlaue (Cr)'!C73:CZ291,102,0)</f>
        <v>1.9599999999999999E-2</v>
      </c>
      <c r="E78" s="91">
        <f>VLOOKUP($A78,'Data Vlaue (Cr)'!$C:$FB,75)</f>
        <v>1331</v>
      </c>
      <c r="F78" s="91">
        <f>VLOOKUP($A78,'Data Vlaue (Cr)'!$C:$FB,77)</f>
        <v>22</v>
      </c>
      <c r="G78" s="92">
        <f>VLOOKUP(A78,'Data Vlaue (Cr)'!C73:CB291,78,0)</f>
        <v>1.7100000000000001E-2</v>
      </c>
      <c r="H78" s="91">
        <f>VLOOKUP($A78,'Data Vlaue (Cr)'!$C:$FB,91)</f>
        <v>122</v>
      </c>
      <c r="I78" s="91">
        <f>VLOOKUP($A78,'Data Vlaue (Cr)'!$C:$FB,93)</f>
        <v>4</v>
      </c>
      <c r="J78" s="92">
        <f>VLOOKUP($A78,'Data Vlaue (Cr)'!$C:$FB,94)</f>
        <v>3.7699999999999997E-2</v>
      </c>
      <c r="K78" s="91">
        <f>VLOOKUP($A78,'Data Vlaue (Cr)'!$C:$FB,95)</f>
        <v>113</v>
      </c>
      <c r="L78" s="91">
        <f>VLOOKUP($A78,'Data Vlaue (Cr)'!$C:$FB,97)</f>
        <v>3</v>
      </c>
      <c r="M78" s="92">
        <f>VLOOKUP($A78,'Data Vlaue (Cr)'!$C:$FB,98)</f>
        <v>2.93E-2</v>
      </c>
      <c r="N78" s="91">
        <f>VLOOKUP($A78,'Data Vlaue (Cr)'!$C:$FB,79)</f>
        <v>1323</v>
      </c>
      <c r="O78" s="92">
        <f>VLOOKUP($A78,'Data Vlaue (Cr)'!$C:$FB,82)</f>
        <v>1.7100000000000001E-2</v>
      </c>
    </row>
    <row r="79" spans="1:15" x14ac:dyDescent="0.25">
      <c r="A79" s="97" t="str">
        <f>'Data Vlaue (Cr)'!C74</f>
        <v>GODREJPROP</v>
      </c>
      <c r="B79" s="142">
        <f>VLOOKUP(A79,'Data Vlaue (Cr)'!C74:CW292,99,0)</f>
        <v>2018</v>
      </c>
      <c r="C79" s="90">
        <f>VLOOKUP(A79,'Data Vlaue (Cr)'!C74:CY292,101,0)</f>
        <v>8</v>
      </c>
      <c r="D79" s="139">
        <f>VLOOKUP(A79,'Data Vlaue (Cr)'!C74:CZ292,102,0)</f>
        <v>3.8999999999999998E-3</v>
      </c>
      <c r="E79" s="91">
        <f>VLOOKUP($A79,'Data Vlaue (Cr)'!$C:$FB,75)</f>
        <v>1360</v>
      </c>
      <c r="F79" s="91">
        <f>VLOOKUP($A79,'Data Vlaue (Cr)'!$C:$FB,77)</f>
        <v>7</v>
      </c>
      <c r="G79" s="92">
        <f>VLOOKUP(A79,'Data Vlaue (Cr)'!C74:CB292,78,0)</f>
        <v>5.1999999999999998E-3</v>
      </c>
      <c r="H79" s="91">
        <f>VLOOKUP($A79,'Data Vlaue (Cr)'!$C:$FB,91)</f>
        <v>366</v>
      </c>
      <c r="I79" s="91">
        <f>VLOOKUP($A79,'Data Vlaue (Cr)'!$C:$FB,93)</f>
        <v>-8</v>
      </c>
      <c r="J79" s="92">
        <f>VLOOKUP($A79,'Data Vlaue (Cr)'!$C:$FB,94)</f>
        <v>-2.0299999999999999E-2</v>
      </c>
      <c r="K79" s="91">
        <f>VLOOKUP($A79,'Data Vlaue (Cr)'!$C:$FB,95)</f>
        <v>293</v>
      </c>
      <c r="L79" s="91">
        <f>VLOOKUP($A79,'Data Vlaue (Cr)'!$C:$FB,97)</f>
        <v>8</v>
      </c>
      <c r="M79" s="92">
        <f>VLOOKUP($A79,'Data Vlaue (Cr)'!$C:$FB,98)</f>
        <v>2.9399999999999999E-2</v>
      </c>
      <c r="N79" s="91">
        <f>VLOOKUP($A79,'Data Vlaue (Cr)'!$C:$FB,79)</f>
        <v>1320</v>
      </c>
      <c r="O79" s="92">
        <f>VLOOKUP($A79,'Data Vlaue (Cr)'!$C:$FB,82)</f>
        <v>3.3999999999999998E-3</v>
      </c>
    </row>
    <row r="80" spans="1:15" x14ac:dyDescent="0.25">
      <c r="A80" s="97" t="str">
        <f>'Data Vlaue (Cr)'!C75</f>
        <v>GRASIM</v>
      </c>
      <c r="B80" s="142">
        <f>VLOOKUP(A80,'Data Vlaue (Cr)'!C75:CW293,99,0)</f>
        <v>4665</v>
      </c>
      <c r="C80" s="90">
        <f>VLOOKUP(A80,'Data Vlaue (Cr)'!C75:CY293,101,0)</f>
        <v>26</v>
      </c>
      <c r="D80" s="139">
        <f>VLOOKUP(A80,'Data Vlaue (Cr)'!C75:CZ293,102,0)</f>
        <v>5.5999999999999999E-3</v>
      </c>
      <c r="E80" s="91">
        <f>VLOOKUP($A80,'Data Vlaue (Cr)'!$C:$FB,75)</f>
        <v>3871</v>
      </c>
      <c r="F80" s="91">
        <f>VLOOKUP($A80,'Data Vlaue (Cr)'!$C:$FB,77)</f>
        <v>-29</v>
      </c>
      <c r="G80" s="92">
        <f>VLOOKUP(A80,'Data Vlaue (Cr)'!C75:CB293,78,0)</f>
        <v>-7.4000000000000003E-3</v>
      </c>
      <c r="H80" s="91">
        <f>VLOOKUP($A80,'Data Vlaue (Cr)'!$C:$FB,91)</f>
        <v>458</v>
      </c>
      <c r="I80" s="91">
        <f>VLOOKUP($A80,'Data Vlaue (Cr)'!$C:$FB,93)</f>
        <v>34</v>
      </c>
      <c r="J80" s="92">
        <f>VLOOKUP($A80,'Data Vlaue (Cr)'!$C:$FB,94)</f>
        <v>7.9699999999999993E-2</v>
      </c>
      <c r="K80" s="91">
        <f>VLOOKUP($A80,'Data Vlaue (Cr)'!$C:$FB,95)</f>
        <v>335</v>
      </c>
      <c r="L80" s="91">
        <f>VLOOKUP($A80,'Data Vlaue (Cr)'!$C:$FB,97)</f>
        <v>21</v>
      </c>
      <c r="M80" s="92">
        <f>VLOOKUP($A80,'Data Vlaue (Cr)'!$C:$FB,98)</f>
        <v>6.7299999999999999E-2</v>
      </c>
      <c r="N80" s="91">
        <f>VLOOKUP($A80,'Data Vlaue (Cr)'!$C:$FB,79)</f>
        <v>3790</v>
      </c>
      <c r="O80" s="92">
        <f>VLOOKUP($A80,'Data Vlaue (Cr)'!$C:$FB,82)</f>
        <v>-8.2000000000000007E-3</v>
      </c>
    </row>
    <row r="81" spans="1:15" x14ac:dyDescent="0.25">
      <c r="A81" s="97" t="str">
        <f>'Data Vlaue (Cr)'!C76</f>
        <v>HAL</v>
      </c>
      <c r="B81" s="142">
        <f>VLOOKUP(A81,'Data Vlaue (Cr)'!C76:CW294,99,0)</f>
        <v>5671</v>
      </c>
      <c r="C81" s="90">
        <f>VLOOKUP(A81,'Data Vlaue (Cr)'!C76:CY294,101,0)</f>
        <v>238</v>
      </c>
      <c r="D81" s="139">
        <f>VLOOKUP(A81,'Data Vlaue (Cr)'!C76:CZ294,102,0)</f>
        <v>4.3700000000000003E-2</v>
      </c>
      <c r="E81" s="91">
        <f>VLOOKUP($A81,'Data Vlaue (Cr)'!$C:$FB,75)</f>
        <v>3198</v>
      </c>
      <c r="F81" s="91">
        <f>VLOOKUP($A81,'Data Vlaue (Cr)'!$C:$FB,77)</f>
        <v>-70</v>
      </c>
      <c r="G81" s="92">
        <f>VLOOKUP(A81,'Data Vlaue (Cr)'!C76:CB294,78,0)</f>
        <v>-2.1399999999999999E-2</v>
      </c>
      <c r="H81" s="91">
        <f>VLOOKUP($A81,'Data Vlaue (Cr)'!$C:$FB,91)</f>
        <v>1323</v>
      </c>
      <c r="I81" s="91">
        <f>VLOOKUP($A81,'Data Vlaue (Cr)'!$C:$FB,93)</f>
        <v>188</v>
      </c>
      <c r="J81" s="92">
        <f>VLOOKUP($A81,'Data Vlaue (Cr)'!$C:$FB,94)</f>
        <v>0.16600000000000001</v>
      </c>
      <c r="K81" s="91">
        <f>VLOOKUP($A81,'Data Vlaue (Cr)'!$C:$FB,95)</f>
        <v>1150</v>
      </c>
      <c r="L81" s="91">
        <f>VLOOKUP($A81,'Data Vlaue (Cr)'!$C:$FB,97)</f>
        <v>119</v>
      </c>
      <c r="M81" s="92">
        <f>VLOOKUP($A81,'Data Vlaue (Cr)'!$C:$FB,98)</f>
        <v>0.1157</v>
      </c>
      <c r="N81" s="91">
        <f>VLOOKUP($A81,'Data Vlaue (Cr)'!$C:$FB,79)</f>
        <v>2999</v>
      </c>
      <c r="O81" s="92">
        <f>VLOOKUP($A81,'Data Vlaue (Cr)'!$C:$FB,82)</f>
        <v>-2.75E-2</v>
      </c>
    </row>
    <row r="82" spans="1:15" x14ac:dyDescent="0.25">
      <c r="A82" s="97" t="str">
        <f>'Data Vlaue (Cr)'!C77</f>
        <v>HAVELLS</v>
      </c>
      <c r="B82" s="142">
        <f>VLOOKUP(A82,'Data Vlaue (Cr)'!C77:CW295,99,0)</f>
        <v>1495</v>
      </c>
      <c r="C82" s="90">
        <f>VLOOKUP(A82,'Data Vlaue (Cr)'!C77:CY295,101,0)</f>
        <v>-1</v>
      </c>
      <c r="D82" s="139">
        <f>VLOOKUP(A82,'Data Vlaue (Cr)'!C77:CZ295,102,0)</f>
        <v>-8.9999999999999998E-4</v>
      </c>
      <c r="E82" s="91">
        <f>VLOOKUP($A82,'Data Vlaue (Cr)'!$C:$FB,75)</f>
        <v>1058</v>
      </c>
      <c r="F82" s="91">
        <f>VLOOKUP($A82,'Data Vlaue (Cr)'!$C:$FB,77)</f>
        <v>-11</v>
      </c>
      <c r="G82" s="92">
        <f>VLOOKUP(A82,'Data Vlaue (Cr)'!C77:CB295,78,0)</f>
        <v>-1.01E-2</v>
      </c>
      <c r="H82" s="91">
        <f>VLOOKUP($A82,'Data Vlaue (Cr)'!$C:$FB,91)</f>
        <v>235</v>
      </c>
      <c r="I82" s="91">
        <f>VLOOKUP($A82,'Data Vlaue (Cr)'!$C:$FB,93)</f>
        <v>7</v>
      </c>
      <c r="J82" s="92">
        <f>VLOOKUP($A82,'Data Vlaue (Cr)'!$C:$FB,94)</f>
        <v>2.8899999999999999E-2</v>
      </c>
      <c r="K82" s="91">
        <f>VLOOKUP($A82,'Data Vlaue (Cr)'!$C:$FB,95)</f>
        <v>202</v>
      </c>
      <c r="L82" s="91">
        <f>VLOOKUP($A82,'Data Vlaue (Cr)'!$C:$FB,97)</f>
        <v>3</v>
      </c>
      <c r="M82" s="92">
        <f>VLOOKUP($A82,'Data Vlaue (Cr)'!$C:$FB,98)</f>
        <v>1.4200000000000001E-2</v>
      </c>
      <c r="N82" s="91">
        <f>VLOOKUP($A82,'Data Vlaue (Cr)'!$C:$FB,79)</f>
        <v>1037</v>
      </c>
      <c r="O82" s="92">
        <f>VLOOKUP($A82,'Data Vlaue (Cr)'!$C:$FB,82)</f>
        <v>-1.03E-2</v>
      </c>
    </row>
    <row r="83" spans="1:15" x14ac:dyDescent="0.25">
      <c r="A83" s="97" t="str">
        <f>'Data Vlaue (Cr)'!C78</f>
        <v>HCLTECH</v>
      </c>
      <c r="B83" s="142">
        <f>VLOOKUP(A83,'Data Vlaue (Cr)'!C78:CW296,99,0)</f>
        <v>6772</v>
      </c>
      <c r="C83" s="90">
        <f>VLOOKUP(A83,'Data Vlaue (Cr)'!C78:CY296,101,0)</f>
        <v>349</v>
      </c>
      <c r="D83" s="139">
        <f>VLOOKUP(A83,'Data Vlaue (Cr)'!C78:CZ296,102,0)</f>
        <v>5.4399999999999997E-2</v>
      </c>
      <c r="E83" s="91">
        <f>VLOOKUP($A83,'Data Vlaue (Cr)'!$C:$FB,75)</f>
        <v>5351</v>
      </c>
      <c r="F83" s="91">
        <f>VLOOKUP($A83,'Data Vlaue (Cr)'!$C:$FB,77)</f>
        <v>33</v>
      </c>
      <c r="G83" s="92">
        <f>VLOOKUP(A83,'Data Vlaue (Cr)'!C78:CB296,78,0)</f>
        <v>6.1999999999999998E-3</v>
      </c>
      <c r="H83" s="91">
        <f>VLOOKUP($A83,'Data Vlaue (Cr)'!$C:$FB,91)</f>
        <v>705</v>
      </c>
      <c r="I83" s="91">
        <f>VLOOKUP($A83,'Data Vlaue (Cr)'!$C:$FB,93)</f>
        <v>147</v>
      </c>
      <c r="J83" s="92">
        <f>VLOOKUP($A83,'Data Vlaue (Cr)'!$C:$FB,94)</f>
        <v>0.26419999999999999</v>
      </c>
      <c r="K83" s="91">
        <f>VLOOKUP($A83,'Data Vlaue (Cr)'!$C:$FB,95)</f>
        <v>716</v>
      </c>
      <c r="L83" s="91">
        <f>VLOOKUP($A83,'Data Vlaue (Cr)'!$C:$FB,97)</f>
        <v>169</v>
      </c>
      <c r="M83" s="92">
        <f>VLOOKUP($A83,'Data Vlaue (Cr)'!$C:$FB,98)</f>
        <v>0.30890000000000001</v>
      </c>
      <c r="N83" s="91">
        <f>VLOOKUP($A83,'Data Vlaue (Cr)'!$C:$FB,79)</f>
        <v>5066</v>
      </c>
      <c r="O83" s="92">
        <f>VLOOKUP($A83,'Data Vlaue (Cr)'!$C:$FB,82)</f>
        <v>3.5000000000000001E-3</v>
      </c>
    </row>
    <row r="84" spans="1:15" x14ac:dyDescent="0.25">
      <c r="A84" s="97" t="str">
        <f>'Data Vlaue (Cr)'!C79</f>
        <v>HDFCAMC</v>
      </c>
      <c r="B84" s="142">
        <f>VLOOKUP(A84,'Data Vlaue (Cr)'!C79:CW297,99,0)</f>
        <v>1898</v>
      </c>
      <c r="C84" s="90">
        <f>VLOOKUP(A84,'Data Vlaue (Cr)'!C79:CY297,101,0)</f>
        <v>42</v>
      </c>
      <c r="D84" s="139">
        <f>VLOOKUP(A84,'Data Vlaue (Cr)'!C79:CZ297,102,0)</f>
        <v>2.24E-2</v>
      </c>
      <c r="E84" s="91">
        <f>VLOOKUP($A84,'Data Vlaue (Cr)'!$C:$FB,75)</f>
        <v>1490</v>
      </c>
      <c r="F84" s="91">
        <f>VLOOKUP($A84,'Data Vlaue (Cr)'!$C:$FB,77)</f>
        <v>27</v>
      </c>
      <c r="G84" s="92">
        <f>VLOOKUP(A84,'Data Vlaue (Cr)'!C79:CB297,78,0)</f>
        <v>1.8700000000000001E-2</v>
      </c>
      <c r="H84" s="91">
        <f>VLOOKUP($A84,'Data Vlaue (Cr)'!$C:$FB,91)</f>
        <v>231</v>
      </c>
      <c r="I84" s="91">
        <f>VLOOKUP($A84,'Data Vlaue (Cr)'!$C:$FB,93)</f>
        <v>15</v>
      </c>
      <c r="J84" s="92">
        <f>VLOOKUP($A84,'Data Vlaue (Cr)'!$C:$FB,94)</f>
        <v>6.8000000000000005E-2</v>
      </c>
      <c r="K84" s="91">
        <f>VLOOKUP($A84,'Data Vlaue (Cr)'!$C:$FB,95)</f>
        <v>178</v>
      </c>
      <c r="L84" s="91">
        <f>VLOOKUP($A84,'Data Vlaue (Cr)'!$C:$FB,97)</f>
        <v>-1</v>
      </c>
      <c r="M84" s="92">
        <f>VLOOKUP($A84,'Data Vlaue (Cr)'!$C:$FB,98)</f>
        <v>-3.0000000000000001E-3</v>
      </c>
      <c r="N84" s="91">
        <f>VLOOKUP($A84,'Data Vlaue (Cr)'!$C:$FB,79)</f>
        <v>1466</v>
      </c>
      <c r="O84" s="92">
        <f>VLOOKUP($A84,'Data Vlaue (Cr)'!$C:$FB,82)</f>
        <v>1.84E-2</v>
      </c>
    </row>
    <row r="85" spans="1:15" x14ac:dyDescent="0.25">
      <c r="A85" s="97" t="str">
        <f>'Data Vlaue (Cr)'!C80</f>
        <v>HDFCBANK</v>
      </c>
      <c r="B85" s="142">
        <f>VLOOKUP(A85,'Data Vlaue (Cr)'!C80:CW298,99,0)</f>
        <v>36160</v>
      </c>
      <c r="C85" s="90">
        <f>VLOOKUP(A85,'Data Vlaue (Cr)'!C80:CY298,101,0)</f>
        <v>834</v>
      </c>
      <c r="D85" s="139">
        <f>VLOOKUP(A85,'Data Vlaue (Cr)'!C80:CZ298,102,0)</f>
        <v>2.3599999999999999E-2</v>
      </c>
      <c r="E85" s="91">
        <f>VLOOKUP($A85,'Data Vlaue (Cr)'!$C:$FB,75)</f>
        <v>27085</v>
      </c>
      <c r="F85" s="91">
        <f>VLOOKUP($A85,'Data Vlaue (Cr)'!$C:$FB,77)</f>
        <v>466</v>
      </c>
      <c r="G85" s="92">
        <f>VLOOKUP(A85,'Data Vlaue (Cr)'!C80:CB298,78,0)</f>
        <v>1.7500000000000002E-2</v>
      </c>
      <c r="H85" s="91">
        <f>VLOOKUP($A85,'Data Vlaue (Cr)'!$C:$FB,91)</f>
        <v>5705</v>
      </c>
      <c r="I85" s="91">
        <f>VLOOKUP($A85,'Data Vlaue (Cr)'!$C:$FB,93)</f>
        <v>372</v>
      </c>
      <c r="J85" s="92">
        <f>VLOOKUP($A85,'Data Vlaue (Cr)'!$C:$FB,94)</f>
        <v>6.9699999999999998E-2</v>
      </c>
      <c r="K85" s="91">
        <f>VLOOKUP($A85,'Data Vlaue (Cr)'!$C:$FB,95)</f>
        <v>3369</v>
      </c>
      <c r="L85" s="91">
        <f>VLOOKUP($A85,'Data Vlaue (Cr)'!$C:$FB,97)</f>
        <v>-4</v>
      </c>
      <c r="M85" s="92">
        <f>VLOOKUP($A85,'Data Vlaue (Cr)'!$C:$FB,98)</f>
        <v>-1.1000000000000001E-3</v>
      </c>
      <c r="N85" s="91">
        <f>VLOOKUP($A85,'Data Vlaue (Cr)'!$C:$FB,79)</f>
        <v>24905</v>
      </c>
      <c r="O85" s="92">
        <f>VLOOKUP($A85,'Data Vlaue (Cr)'!$C:$FB,82)</f>
        <v>-1.6899999999999998E-2</v>
      </c>
    </row>
    <row r="86" spans="1:15" x14ac:dyDescent="0.25">
      <c r="A86" s="97" t="str">
        <f>'Data Vlaue (Cr)'!C81</f>
        <v>HDFCLIFE</v>
      </c>
      <c r="B86" s="142">
        <f>VLOOKUP(A86,'Data Vlaue (Cr)'!C81:CW299,99,0)</f>
        <v>3787</v>
      </c>
      <c r="C86" s="90">
        <f>VLOOKUP(A86,'Data Vlaue (Cr)'!C81:CY299,101,0)</f>
        <v>64</v>
      </c>
      <c r="D86" s="139">
        <f>VLOOKUP(A86,'Data Vlaue (Cr)'!C81:CZ299,102,0)</f>
        <v>1.7100000000000001E-2</v>
      </c>
      <c r="E86" s="91">
        <f>VLOOKUP($A86,'Data Vlaue (Cr)'!$C:$FB,75)</f>
        <v>2713</v>
      </c>
      <c r="F86" s="91">
        <f>VLOOKUP($A86,'Data Vlaue (Cr)'!$C:$FB,77)</f>
        <v>33</v>
      </c>
      <c r="G86" s="92">
        <f>VLOOKUP(A86,'Data Vlaue (Cr)'!C81:CB299,78,0)</f>
        <v>1.2200000000000001E-2</v>
      </c>
      <c r="H86" s="91">
        <f>VLOOKUP($A86,'Data Vlaue (Cr)'!$C:$FB,91)</f>
        <v>662</v>
      </c>
      <c r="I86" s="91">
        <f>VLOOKUP($A86,'Data Vlaue (Cr)'!$C:$FB,93)</f>
        <v>7</v>
      </c>
      <c r="J86" s="92">
        <f>VLOOKUP($A86,'Data Vlaue (Cr)'!$C:$FB,94)</f>
        <v>1.03E-2</v>
      </c>
      <c r="K86" s="91">
        <f>VLOOKUP($A86,'Data Vlaue (Cr)'!$C:$FB,95)</f>
        <v>412</v>
      </c>
      <c r="L86" s="91">
        <f>VLOOKUP($A86,'Data Vlaue (Cr)'!$C:$FB,97)</f>
        <v>24</v>
      </c>
      <c r="M86" s="92">
        <f>VLOOKUP($A86,'Data Vlaue (Cr)'!$C:$FB,98)</f>
        <v>6.2399999999999997E-2</v>
      </c>
      <c r="N86" s="91">
        <f>VLOOKUP($A86,'Data Vlaue (Cr)'!$C:$FB,79)</f>
        <v>2610</v>
      </c>
      <c r="O86" s="92">
        <f>VLOOKUP($A86,'Data Vlaue (Cr)'!$C:$FB,82)</f>
        <v>7.0000000000000001E-3</v>
      </c>
    </row>
    <row r="87" spans="1:15" x14ac:dyDescent="0.25">
      <c r="A87" s="97" t="str">
        <f>'Data Vlaue (Cr)'!C82</f>
        <v>HEROMOTOCO</v>
      </c>
      <c r="B87" s="142">
        <f>VLOOKUP(A87,'Data Vlaue (Cr)'!C82:CW300,99,0)</f>
        <v>3296</v>
      </c>
      <c r="C87" s="90">
        <f>VLOOKUP(A87,'Data Vlaue (Cr)'!C82:CY300,101,0)</f>
        <v>132</v>
      </c>
      <c r="D87" s="139">
        <f>VLOOKUP(A87,'Data Vlaue (Cr)'!C82:CZ300,102,0)</f>
        <v>4.1799999999999997E-2</v>
      </c>
      <c r="E87" s="91">
        <f>VLOOKUP($A87,'Data Vlaue (Cr)'!$C:$FB,75)</f>
        <v>2071</v>
      </c>
      <c r="F87" s="91">
        <f>VLOOKUP($A87,'Data Vlaue (Cr)'!$C:$FB,77)</f>
        <v>62</v>
      </c>
      <c r="G87" s="92">
        <f>VLOOKUP(A87,'Data Vlaue (Cr)'!C82:CB300,78,0)</f>
        <v>3.09E-2</v>
      </c>
      <c r="H87" s="91">
        <f>VLOOKUP($A87,'Data Vlaue (Cr)'!$C:$FB,91)</f>
        <v>667</v>
      </c>
      <c r="I87" s="91">
        <f>VLOOKUP($A87,'Data Vlaue (Cr)'!$C:$FB,93)</f>
        <v>49</v>
      </c>
      <c r="J87" s="92">
        <f>VLOOKUP($A87,'Data Vlaue (Cr)'!$C:$FB,94)</f>
        <v>7.8700000000000006E-2</v>
      </c>
      <c r="K87" s="91">
        <f>VLOOKUP($A87,'Data Vlaue (Cr)'!$C:$FB,95)</f>
        <v>559</v>
      </c>
      <c r="L87" s="91">
        <f>VLOOKUP($A87,'Data Vlaue (Cr)'!$C:$FB,97)</f>
        <v>22</v>
      </c>
      <c r="M87" s="92">
        <f>VLOOKUP($A87,'Data Vlaue (Cr)'!$C:$FB,98)</f>
        <v>4.02E-2</v>
      </c>
      <c r="N87" s="91">
        <f>VLOOKUP($A87,'Data Vlaue (Cr)'!$C:$FB,79)</f>
        <v>2039</v>
      </c>
      <c r="O87" s="92">
        <f>VLOOKUP($A87,'Data Vlaue (Cr)'!$C:$FB,82)</f>
        <v>2.5700000000000001E-2</v>
      </c>
    </row>
    <row r="88" spans="1:15" x14ac:dyDescent="0.25">
      <c r="A88" s="97" t="str">
        <f>'Data Vlaue (Cr)'!C83</f>
        <v>HINDALCO</v>
      </c>
      <c r="B88" s="142">
        <f>VLOOKUP(A88,'Data Vlaue (Cr)'!C83:CW301,99,0)</f>
        <v>5987</v>
      </c>
      <c r="C88" s="90">
        <f>VLOOKUP(A88,'Data Vlaue (Cr)'!C83:CY301,101,0)</f>
        <v>199</v>
      </c>
      <c r="D88" s="139">
        <f>VLOOKUP(A88,'Data Vlaue (Cr)'!C83:CZ301,102,0)</f>
        <v>3.4299999999999997E-2</v>
      </c>
      <c r="E88" s="91">
        <f>VLOOKUP($A88,'Data Vlaue (Cr)'!$C:$FB,75)</f>
        <v>3780</v>
      </c>
      <c r="F88" s="91">
        <f>VLOOKUP($A88,'Data Vlaue (Cr)'!$C:$FB,77)</f>
        <v>43</v>
      </c>
      <c r="G88" s="92">
        <f>VLOOKUP(A88,'Data Vlaue (Cr)'!C83:CB301,78,0)</f>
        <v>1.1599999999999999E-2</v>
      </c>
      <c r="H88" s="91">
        <f>VLOOKUP($A88,'Data Vlaue (Cr)'!$C:$FB,91)</f>
        <v>1285</v>
      </c>
      <c r="I88" s="91">
        <f>VLOOKUP($A88,'Data Vlaue (Cr)'!$C:$FB,93)</f>
        <v>16</v>
      </c>
      <c r="J88" s="92">
        <f>VLOOKUP($A88,'Data Vlaue (Cr)'!$C:$FB,94)</f>
        <v>1.23E-2</v>
      </c>
      <c r="K88" s="91">
        <f>VLOOKUP($A88,'Data Vlaue (Cr)'!$C:$FB,95)</f>
        <v>922</v>
      </c>
      <c r="L88" s="91">
        <f>VLOOKUP($A88,'Data Vlaue (Cr)'!$C:$FB,97)</f>
        <v>139</v>
      </c>
      <c r="M88" s="92">
        <f>VLOOKUP($A88,'Data Vlaue (Cr)'!$C:$FB,98)</f>
        <v>0.17829999999999999</v>
      </c>
      <c r="N88" s="91">
        <f>VLOOKUP($A88,'Data Vlaue (Cr)'!$C:$FB,79)</f>
        <v>3462</v>
      </c>
      <c r="O88" s="92">
        <f>VLOOKUP($A88,'Data Vlaue (Cr)'!$C:$FB,82)</f>
        <v>2.0000000000000001E-4</v>
      </c>
    </row>
    <row r="89" spans="1:15" x14ac:dyDescent="0.25">
      <c r="A89" s="97" t="str">
        <f>'Data Vlaue (Cr)'!C84</f>
        <v>HINDPETRO</v>
      </c>
      <c r="B89" s="142">
        <f>VLOOKUP(A89,'Data Vlaue (Cr)'!C84:CW302,99,0)</f>
        <v>2771</v>
      </c>
      <c r="C89" s="90">
        <f>VLOOKUP(A89,'Data Vlaue (Cr)'!C84:CY302,101,0)</f>
        <v>42</v>
      </c>
      <c r="D89" s="139">
        <f>VLOOKUP(A89,'Data Vlaue (Cr)'!C84:CZ302,102,0)</f>
        <v>1.5299999999999999E-2</v>
      </c>
      <c r="E89" s="91">
        <f>VLOOKUP($A89,'Data Vlaue (Cr)'!$C:$FB,75)</f>
        <v>1578</v>
      </c>
      <c r="F89" s="91">
        <f>VLOOKUP($A89,'Data Vlaue (Cr)'!$C:$FB,77)</f>
        <v>1</v>
      </c>
      <c r="G89" s="92">
        <f>VLOOKUP(A89,'Data Vlaue (Cr)'!C84:CB302,78,0)</f>
        <v>4.0000000000000002E-4</v>
      </c>
      <c r="H89" s="91">
        <f>VLOOKUP($A89,'Data Vlaue (Cr)'!$C:$FB,91)</f>
        <v>633</v>
      </c>
      <c r="I89" s="91">
        <f>VLOOKUP($A89,'Data Vlaue (Cr)'!$C:$FB,93)</f>
        <v>27</v>
      </c>
      <c r="J89" s="92">
        <f>VLOOKUP($A89,'Data Vlaue (Cr)'!$C:$FB,94)</f>
        <v>4.48E-2</v>
      </c>
      <c r="K89" s="91">
        <f>VLOOKUP($A89,'Data Vlaue (Cr)'!$C:$FB,95)</f>
        <v>561</v>
      </c>
      <c r="L89" s="91">
        <f>VLOOKUP($A89,'Data Vlaue (Cr)'!$C:$FB,97)</f>
        <v>14</v>
      </c>
      <c r="M89" s="92">
        <f>VLOOKUP($A89,'Data Vlaue (Cr)'!$C:$FB,98)</f>
        <v>2.5399999999999999E-2</v>
      </c>
      <c r="N89" s="91">
        <f>VLOOKUP($A89,'Data Vlaue (Cr)'!$C:$FB,79)</f>
        <v>1540</v>
      </c>
      <c r="O89" s="92">
        <f>VLOOKUP($A89,'Data Vlaue (Cr)'!$C:$FB,82)</f>
        <v>2.9999999999999997E-4</v>
      </c>
    </row>
    <row r="90" spans="1:15" x14ac:dyDescent="0.25">
      <c r="A90" s="97" t="str">
        <f>'Data Vlaue (Cr)'!C85</f>
        <v>HINDUNILVR</v>
      </c>
      <c r="B90" s="142">
        <f>VLOOKUP(A90,'Data Vlaue (Cr)'!C85:CW303,99,0)</f>
        <v>5307</v>
      </c>
      <c r="C90" s="90">
        <f>VLOOKUP(A90,'Data Vlaue (Cr)'!C85:CY303,101,0)</f>
        <v>167</v>
      </c>
      <c r="D90" s="139">
        <f>VLOOKUP(A90,'Data Vlaue (Cr)'!C85:CZ303,102,0)</f>
        <v>3.2500000000000001E-2</v>
      </c>
      <c r="E90" s="91">
        <f>VLOOKUP($A90,'Data Vlaue (Cr)'!$C:$FB,75)</f>
        <v>3667</v>
      </c>
      <c r="F90" s="91">
        <f>VLOOKUP($A90,'Data Vlaue (Cr)'!$C:$FB,77)</f>
        <v>69</v>
      </c>
      <c r="G90" s="92">
        <f>VLOOKUP(A90,'Data Vlaue (Cr)'!C85:CB303,78,0)</f>
        <v>1.9199999999999998E-2</v>
      </c>
      <c r="H90" s="91">
        <f>VLOOKUP($A90,'Data Vlaue (Cr)'!$C:$FB,91)</f>
        <v>925</v>
      </c>
      <c r="I90" s="91">
        <f>VLOOKUP($A90,'Data Vlaue (Cr)'!$C:$FB,93)</f>
        <v>82</v>
      </c>
      <c r="J90" s="92">
        <f>VLOOKUP($A90,'Data Vlaue (Cr)'!$C:$FB,94)</f>
        <v>9.6699999999999994E-2</v>
      </c>
      <c r="K90" s="91">
        <f>VLOOKUP($A90,'Data Vlaue (Cr)'!$C:$FB,95)</f>
        <v>715</v>
      </c>
      <c r="L90" s="91">
        <f>VLOOKUP($A90,'Data Vlaue (Cr)'!$C:$FB,97)</f>
        <v>16</v>
      </c>
      <c r="M90" s="92">
        <f>VLOOKUP($A90,'Data Vlaue (Cr)'!$C:$FB,98)</f>
        <v>2.3400000000000001E-2</v>
      </c>
      <c r="N90" s="91">
        <f>VLOOKUP($A90,'Data Vlaue (Cr)'!$C:$FB,79)</f>
        <v>3514</v>
      </c>
      <c r="O90" s="92">
        <f>VLOOKUP($A90,'Data Vlaue (Cr)'!$C:$FB,82)</f>
        <v>1.7399999999999999E-2</v>
      </c>
    </row>
    <row r="91" spans="1:15" x14ac:dyDescent="0.25">
      <c r="A91" s="97" t="str">
        <f>'Data Vlaue (Cr)'!C86</f>
        <v>HINDZINC</v>
      </c>
      <c r="B91" s="142">
        <f>VLOOKUP(A91,'Data Vlaue (Cr)'!C86:CW304,99,0)</f>
        <v>3734</v>
      </c>
      <c r="C91" s="90">
        <f>VLOOKUP(A91,'Data Vlaue (Cr)'!C86:CY304,101,0)</f>
        <v>13</v>
      </c>
      <c r="D91" s="139">
        <f>VLOOKUP(A91,'Data Vlaue (Cr)'!C86:CZ304,102,0)</f>
        <v>3.5999999999999999E-3</v>
      </c>
      <c r="E91" s="91">
        <f>VLOOKUP($A91,'Data Vlaue (Cr)'!$C:$FB,75)</f>
        <v>2106</v>
      </c>
      <c r="F91" s="91">
        <f>VLOOKUP($A91,'Data Vlaue (Cr)'!$C:$FB,77)</f>
        <v>-36</v>
      </c>
      <c r="G91" s="92">
        <f>VLOOKUP(A91,'Data Vlaue (Cr)'!C86:CB304,78,0)</f>
        <v>-1.6899999999999998E-2</v>
      </c>
      <c r="H91" s="91">
        <f>VLOOKUP($A91,'Data Vlaue (Cr)'!$C:$FB,91)</f>
        <v>893</v>
      </c>
      <c r="I91" s="91">
        <f>VLOOKUP($A91,'Data Vlaue (Cr)'!$C:$FB,93)</f>
        <v>20</v>
      </c>
      <c r="J91" s="92">
        <f>VLOOKUP($A91,'Data Vlaue (Cr)'!$C:$FB,94)</f>
        <v>2.3300000000000001E-2</v>
      </c>
      <c r="K91" s="91">
        <f>VLOOKUP($A91,'Data Vlaue (Cr)'!$C:$FB,95)</f>
        <v>735</v>
      </c>
      <c r="L91" s="91">
        <f>VLOOKUP($A91,'Data Vlaue (Cr)'!$C:$FB,97)</f>
        <v>29</v>
      </c>
      <c r="M91" s="92">
        <f>VLOOKUP($A91,'Data Vlaue (Cr)'!$C:$FB,98)</f>
        <v>4.1399999999999999E-2</v>
      </c>
      <c r="N91" s="91">
        <f>VLOOKUP($A91,'Data Vlaue (Cr)'!$C:$FB,79)</f>
        <v>2003</v>
      </c>
      <c r="O91" s="92">
        <f>VLOOKUP($A91,'Data Vlaue (Cr)'!$C:$FB,82)</f>
        <v>-1.84E-2</v>
      </c>
    </row>
    <row r="92" spans="1:15" x14ac:dyDescent="0.25">
      <c r="A92" s="97" t="str">
        <f>'Data Vlaue (Cr)'!C87</f>
        <v>HUDCO</v>
      </c>
      <c r="B92" s="142">
        <f>VLOOKUP(A92,'Data Vlaue (Cr)'!C87:CW305,99,0)</f>
        <v>794</v>
      </c>
      <c r="C92" s="90">
        <f>VLOOKUP(A92,'Data Vlaue (Cr)'!C87:CY305,101,0)</f>
        <v>19</v>
      </c>
      <c r="D92" s="139">
        <f>VLOOKUP(A92,'Data Vlaue (Cr)'!C87:CZ305,102,0)</f>
        <v>2.41E-2</v>
      </c>
      <c r="E92" s="91">
        <f>VLOOKUP($A92,'Data Vlaue (Cr)'!$C:$FB,75)</f>
        <v>523</v>
      </c>
      <c r="F92" s="91">
        <f>VLOOKUP($A92,'Data Vlaue (Cr)'!$C:$FB,77)</f>
        <v>-7</v>
      </c>
      <c r="G92" s="92">
        <f>VLOOKUP(A92,'Data Vlaue (Cr)'!C87:CB305,78,0)</f>
        <v>-1.37E-2</v>
      </c>
      <c r="H92" s="91">
        <f>VLOOKUP($A92,'Data Vlaue (Cr)'!$C:$FB,91)</f>
        <v>147</v>
      </c>
      <c r="I92" s="91">
        <f>VLOOKUP($A92,'Data Vlaue (Cr)'!$C:$FB,93)</f>
        <v>14</v>
      </c>
      <c r="J92" s="92">
        <f>VLOOKUP($A92,'Data Vlaue (Cr)'!$C:$FB,94)</f>
        <v>0.10920000000000001</v>
      </c>
      <c r="K92" s="91">
        <f>VLOOKUP($A92,'Data Vlaue (Cr)'!$C:$FB,95)</f>
        <v>124</v>
      </c>
      <c r="L92" s="91">
        <f>VLOOKUP($A92,'Data Vlaue (Cr)'!$C:$FB,97)</f>
        <v>12</v>
      </c>
      <c r="M92" s="92">
        <f>VLOOKUP($A92,'Data Vlaue (Cr)'!$C:$FB,98)</f>
        <v>0.1024</v>
      </c>
      <c r="N92" s="91">
        <f>VLOOKUP($A92,'Data Vlaue (Cr)'!$C:$FB,79)</f>
        <v>523</v>
      </c>
      <c r="O92" s="92">
        <f>VLOOKUP($A92,'Data Vlaue (Cr)'!$C:$FB,82)</f>
        <v>-1.37E-2</v>
      </c>
    </row>
    <row r="93" spans="1:15" x14ac:dyDescent="0.25">
      <c r="A93" s="97" t="str">
        <f>'Data Vlaue (Cr)'!C88</f>
        <v>HYUNDAI</v>
      </c>
      <c r="B93" s="142">
        <f>VLOOKUP(A93,'Data Vlaue (Cr)'!C88:CW306,99,0)</f>
        <v>1086</v>
      </c>
      <c r="C93" s="90">
        <f>VLOOKUP(A93,'Data Vlaue (Cr)'!C88:CY306,101,0)</f>
        <v>171</v>
      </c>
      <c r="D93" s="139">
        <f>VLOOKUP(A93,'Data Vlaue (Cr)'!C88:CZ306,102,0)</f>
        <v>0.18640000000000001</v>
      </c>
      <c r="E93" s="91">
        <f>VLOOKUP($A93,'Data Vlaue (Cr)'!$C:$FB,75)</f>
        <v>890</v>
      </c>
      <c r="F93" s="91">
        <f>VLOOKUP($A93,'Data Vlaue (Cr)'!$C:$FB,77)</f>
        <v>124</v>
      </c>
      <c r="G93" s="92">
        <f>VLOOKUP(A93,'Data Vlaue (Cr)'!C88:CB306,78,0)</f>
        <v>0.16259999999999999</v>
      </c>
      <c r="H93" s="91">
        <f>VLOOKUP($A93,'Data Vlaue (Cr)'!$C:$FB,91)</f>
        <v>118</v>
      </c>
      <c r="I93" s="91">
        <f>VLOOKUP($A93,'Data Vlaue (Cr)'!$C:$FB,93)</f>
        <v>32</v>
      </c>
      <c r="J93" s="92">
        <f>VLOOKUP($A93,'Data Vlaue (Cr)'!$C:$FB,94)</f>
        <v>0.36659999999999998</v>
      </c>
      <c r="K93" s="91">
        <f>VLOOKUP($A93,'Data Vlaue (Cr)'!$C:$FB,95)</f>
        <v>79</v>
      </c>
      <c r="L93" s="91">
        <f>VLOOKUP($A93,'Data Vlaue (Cr)'!$C:$FB,97)</f>
        <v>15</v>
      </c>
      <c r="M93" s="92">
        <f>VLOOKUP($A93,'Data Vlaue (Cr)'!$C:$FB,98)</f>
        <v>0.2273</v>
      </c>
      <c r="N93" s="91">
        <f>VLOOKUP($A93,'Data Vlaue (Cr)'!$C:$FB,79)</f>
        <v>841</v>
      </c>
      <c r="O93" s="92">
        <f>VLOOKUP($A93,'Data Vlaue (Cr)'!$C:$FB,82)</f>
        <v>0.12039999999999999</v>
      </c>
    </row>
    <row r="94" spans="1:15" x14ac:dyDescent="0.25">
      <c r="A94" s="97" t="str">
        <f>'Data Vlaue (Cr)'!C89</f>
        <v>ICICIBANK</v>
      </c>
      <c r="B94" s="142">
        <f>VLOOKUP(A94,'Data Vlaue (Cr)'!C89:CW307,99,0)</f>
        <v>19704</v>
      </c>
      <c r="C94" s="90">
        <f>VLOOKUP(A94,'Data Vlaue (Cr)'!C89:CY307,101,0)</f>
        <v>111</v>
      </c>
      <c r="D94" s="139">
        <f>VLOOKUP(A94,'Data Vlaue (Cr)'!C89:CZ307,102,0)</f>
        <v>5.5999999999999999E-3</v>
      </c>
      <c r="E94" s="91">
        <f>VLOOKUP($A94,'Data Vlaue (Cr)'!$C:$FB,75)</f>
        <v>15252</v>
      </c>
      <c r="F94" s="91">
        <f>VLOOKUP($A94,'Data Vlaue (Cr)'!$C:$FB,77)</f>
        <v>-15</v>
      </c>
      <c r="G94" s="92">
        <f>VLOOKUP(A94,'Data Vlaue (Cr)'!C89:CB307,78,0)</f>
        <v>-1E-3</v>
      </c>
      <c r="H94" s="91">
        <f>VLOOKUP($A94,'Data Vlaue (Cr)'!$C:$FB,91)</f>
        <v>2389</v>
      </c>
      <c r="I94" s="91">
        <f>VLOOKUP($A94,'Data Vlaue (Cr)'!$C:$FB,93)</f>
        <v>214</v>
      </c>
      <c r="J94" s="92">
        <f>VLOOKUP($A94,'Data Vlaue (Cr)'!$C:$FB,94)</f>
        <v>9.8400000000000001E-2</v>
      </c>
      <c r="K94" s="91">
        <f>VLOOKUP($A94,'Data Vlaue (Cr)'!$C:$FB,95)</f>
        <v>2063</v>
      </c>
      <c r="L94" s="91">
        <f>VLOOKUP($A94,'Data Vlaue (Cr)'!$C:$FB,97)</f>
        <v>-88</v>
      </c>
      <c r="M94" s="92">
        <f>VLOOKUP($A94,'Data Vlaue (Cr)'!$C:$FB,98)</f>
        <v>-4.1099999999999998E-2</v>
      </c>
      <c r="N94" s="91">
        <f>VLOOKUP($A94,'Data Vlaue (Cr)'!$C:$FB,79)</f>
        <v>12251</v>
      </c>
      <c r="O94" s="92">
        <f>VLOOKUP($A94,'Data Vlaue (Cr)'!$C:$FB,82)</f>
        <v>-3.8E-3</v>
      </c>
    </row>
    <row r="95" spans="1:15" x14ac:dyDescent="0.25">
      <c r="A95" s="97" t="str">
        <f>'Data Vlaue (Cr)'!C90</f>
        <v>ICICIGI</v>
      </c>
      <c r="B95" s="142">
        <f>VLOOKUP(A95,'Data Vlaue (Cr)'!C90:CW308,99,0)</f>
        <v>1214</v>
      </c>
      <c r="C95" s="90">
        <f>VLOOKUP(A95,'Data Vlaue (Cr)'!C90:CY308,101,0)</f>
        <v>89</v>
      </c>
      <c r="D95" s="139">
        <f>VLOOKUP(A95,'Data Vlaue (Cr)'!C90:CZ308,102,0)</f>
        <v>7.8799999999999995E-2</v>
      </c>
      <c r="E95" s="91">
        <f>VLOOKUP($A95,'Data Vlaue (Cr)'!$C:$FB,75)</f>
        <v>940</v>
      </c>
      <c r="F95" s="91">
        <f>VLOOKUP($A95,'Data Vlaue (Cr)'!$C:$FB,77)</f>
        <v>41</v>
      </c>
      <c r="G95" s="92">
        <f>VLOOKUP(A95,'Data Vlaue (Cr)'!C90:CB308,78,0)</f>
        <v>4.5699999999999998E-2</v>
      </c>
      <c r="H95" s="91">
        <f>VLOOKUP($A95,'Data Vlaue (Cr)'!$C:$FB,91)</f>
        <v>152</v>
      </c>
      <c r="I95" s="91">
        <f>VLOOKUP($A95,'Data Vlaue (Cr)'!$C:$FB,93)</f>
        <v>39</v>
      </c>
      <c r="J95" s="92">
        <f>VLOOKUP($A95,'Data Vlaue (Cr)'!$C:$FB,94)</f>
        <v>0.33929999999999999</v>
      </c>
      <c r="K95" s="91">
        <f>VLOOKUP($A95,'Data Vlaue (Cr)'!$C:$FB,95)</f>
        <v>122</v>
      </c>
      <c r="L95" s="91">
        <f>VLOOKUP($A95,'Data Vlaue (Cr)'!$C:$FB,97)</f>
        <v>9</v>
      </c>
      <c r="M95" s="92">
        <f>VLOOKUP($A95,'Data Vlaue (Cr)'!$C:$FB,98)</f>
        <v>8.0500000000000002E-2</v>
      </c>
      <c r="N95" s="91">
        <f>VLOOKUP($A95,'Data Vlaue (Cr)'!$C:$FB,79)</f>
        <v>932</v>
      </c>
      <c r="O95" s="92">
        <f>VLOOKUP($A95,'Data Vlaue (Cr)'!$C:$FB,82)</f>
        <v>4.5900000000000003E-2</v>
      </c>
    </row>
    <row r="96" spans="1:15" x14ac:dyDescent="0.25">
      <c r="A96" s="97" t="str">
        <f>'Data Vlaue (Cr)'!C91</f>
        <v>ICICIPRULI</v>
      </c>
      <c r="B96" s="142">
        <f>VLOOKUP(A96,'Data Vlaue (Cr)'!C91:CW309,99,0)</f>
        <v>1192</v>
      </c>
      <c r="C96" s="90">
        <f>VLOOKUP(A96,'Data Vlaue (Cr)'!C91:CY309,101,0)</f>
        <v>17</v>
      </c>
      <c r="D96" s="139">
        <f>VLOOKUP(A96,'Data Vlaue (Cr)'!C91:CZ309,102,0)</f>
        <v>1.41E-2</v>
      </c>
      <c r="E96" s="91">
        <f>VLOOKUP($A96,'Data Vlaue (Cr)'!$C:$FB,75)</f>
        <v>1017</v>
      </c>
      <c r="F96" s="91">
        <f>VLOOKUP($A96,'Data Vlaue (Cr)'!$C:$FB,77)</f>
        <v>2</v>
      </c>
      <c r="G96" s="92">
        <f>VLOOKUP(A96,'Data Vlaue (Cr)'!C91:CB309,78,0)</f>
        <v>2.2000000000000001E-3</v>
      </c>
      <c r="H96" s="91">
        <f>VLOOKUP($A96,'Data Vlaue (Cr)'!$C:$FB,91)</f>
        <v>91</v>
      </c>
      <c r="I96" s="91">
        <f>VLOOKUP($A96,'Data Vlaue (Cr)'!$C:$FB,93)</f>
        <v>10</v>
      </c>
      <c r="J96" s="92">
        <f>VLOOKUP($A96,'Data Vlaue (Cr)'!$C:$FB,94)</f>
        <v>0.12189999999999999</v>
      </c>
      <c r="K96" s="91">
        <f>VLOOKUP($A96,'Data Vlaue (Cr)'!$C:$FB,95)</f>
        <v>84</v>
      </c>
      <c r="L96" s="91">
        <f>VLOOKUP($A96,'Data Vlaue (Cr)'!$C:$FB,97)</f>
        <v>4</v>
      </c>
      <c r="M96" s="92">
        <f>VLOOKUP($A96,'Data Vlaue (Cr)'!$C:$FB,98)</f>
        <v>5.45E-2</v>
      </c>
      <c r="N96" s="91">
        <f>VLOOKUP($A96,'Data Vlaue (Cr)'!$C:$FB,79)</f>
        <v>1007</v>
      </c>
      <c r="O96" s="92">
        <f>VLOOKUP($A96,'Data Vlaue (Cr)'!$C:$FB,82)</f>
        <v>-2.0000000000000001E-4</v>
      </c>
    </row>
    <row r="97" spans="1:15" x14ac:dyDescent="0.25">
      <c r="A97" s="97" t="str">
        <f>'Data Vlaue (Cr)'!C92</f>
        <v>IDEA</v>
      </c>
      <c r="B97" s="142">
        <f>VLOOKUP(A97,'Data Vlaue (Cr)'!C92:CW310,99,0)</f>
        <v>8018</v>
      </c>
      <c r="C97" s="90">
        <f>VLOOKUP(A97,'Data Vlaue (Cr)'!C92:CY310,101,0)</f>
        <v>69</v>
      </c>
      <c r="D97" s="139">
        <f>VLOOKUP(A97,'Data Vlaue (Cr)'!C92:CZ310,102,0)</f>
        <v>8.6999999999999994E-3</v>
      </c>
      <c r="E97" s="91">
        <f>VLOOKUP($A97,'Data Vlaue (Cr)'!$C:$FB,75)</f>
        <v>6100</v>
      </c>
      <c r="F97" s="91">
        <f>VLOOKUP($A97,'Data Vlaue (Cr)'!$C:$FB,77)</f>
        <v>39</v>
      </c>
      <c r="G97" s="92">
        <f>VLOOKUP(A97,'Data Vlaue (Cr)'!C92:CB310,78,0)</f>
        <v>6.4000000000000003E-3</v>
      </c>
      <c r="H97" s="91">
        <f>VLOOKUP($A97,'Data Vlaue (Cr)'!$C:$FB,91)</f>
        <v>1233</v>
      </c>
      <c r="I97" s="91">
        <f>VLOOKUP($A97,'Data Vlaue (Cr)'!$C:$FB,93)</f>
        <v>36</v>
      </c>
      <c r="J97" s="92">
        <f>VLOOKUP($A97,'Data Vlaue (Cr)'!$C:$FB,94)</f>
        <v>3.0499999999999999E-2</v>
      </c>
      <c r="K97" s="91">
        <f>VLOOKUP($A97,'Data Vlaue (Cr)'!$C:$FB,95)</f>
        <v>684</v>
      </c>
      <c r="L97" s="91">
        <f>VLOOKUP($A97,'Data Vlaue (Cr)'!$C:$FB,97)</f>
        <v>-6</v>
      </c>
      <c r="M97" s="92">
        <f>VLOOKUP($A97,'Data Vlaue (Cr)'!$C:$FB,98)</f>
        <v>-8.6E-3</v>
      </c>
      <c r="N97" s="91">
        <f>VLOOKUP($A97,'Data Vlaue (Cr)'!$C:$FB,79)</f>
        <v>5825</v>
      </c>
      <c r="O97" s="92">
        <f>VLOOKUP($A97,'Data Vlaue (Cr)'!$C:$FB,82)</f>
        <v>2.0999999999999999E-3</v>
      </c>
    </row>
    <row r="98" spans="1:15" x14ac:dyDescent="0.25">
      <c r="A98" s="97" t="str">
        <f>'Data Vlaue (Cr)'!C93</f>
        <v>IDFCFIRSTB</v>
      </c>
      <c r="B98" s="142">
        <f>VLOOKUP(A98,'Data Vlaue (Cr)'!C93:CW311,99,0)</f>
        <v>4090</v>
      </c>
      <c r="C98" s="90">
        <f>VLOOKUP(A98,'Data Vlaue (Cr)'!C93:CY311,101,0)</f>
        <v>57</v>
      </c>
      <c r="D98" s="139">
        <f>VLOOKUP(A98,'Data Vlaue (Cr)'!C93:CZ311,102,0)</f>
        <v>1.4E-2</v>
      </c>
      <c r="E98" s="91">
        <f>VLOOKUP($A98,'Data Vlaue (Cr)'!$C:$FB,75)</f>
        <v>2717</v>
      </c>
      <c r="F98" s="91">
        <f>VLOOKUP($A98,'Data Vlaue (Cr)'!$C:$FB,77)</f>
        <v>18</v>
      </c>
      <c r="G98" s="92">
        <f>VLOOKUP(A98,'Data Vlaue (Cr)'!C93:CB311,78,0)</f>
        <v>6.4999999999999997E-3</v>
      </c>
      <c r="H98" s="91">
        <f>VLOOKUP($A98,'Data Vlaue (Cr)'!$C:$FB,91)</f>
        <v>746</v>
      </c>
      <c r="I98" s="91">
        <f>VLOOKUP($A98,'Data Vlaue (Cr)'!$C:$FB,93)</f>
        <v>23</v>
      </c>
      <c r="J98" s="92">
        <f>VLOOKUP($A98,'Data Vlaue (Cr)'!$C:$FB,94)</f>
        <v>3.1699999999999999E-2</v>
      </c>
      <c r="K98" s="91">
        <f>VLOOKUP($A98,'Data Vlaue (Cr)'!$C:$FB,95)</f>
        <v>628</v>
      </c>
      <c r="L98" s="91">
        <f>VLOOKUP($A98,'Data Vlaue (Cr)'!$C:$FB,97)</f>
        <v>16</v>
      </c>
      <c r="M98" s="92">
        <f>VLOOKUP($A98,'Data Vlaue (Cr)'!$C:$FB,98)</f>
        <v>2.64E-2</v>
      </c>
      <c r="N98" s="91">
        <f>VLOOKUP($A98,'Data Vlaue (Cr)'!$C:$FB,79)</f>
        <v>2495</v>
      </c>
      <c r="O98" s="92">
        <f>VLOOKUP($A98,'Data Vlaue (Cr)'!$C:$FB,82)</f>
        <v>1E-4</v>
      </c>
    </row>
    <row r="99" spans="1:15" x14ac:dyDescent="0.25">
      <c r="A99" s="97" t="str">
        <f>'Data Vlaue (Cr)'!C94</f>
        <v>IEX</v>
      </c>
      <c r="B99" s="142">
        <f>VLOOKUP(A99,'Data Vlaue (Cr)'!C94:CW312,99,0)</f>
        <v>1741</v>
      </c>
      <c r="C99" s="90">
        <f>VLOOKUP(A99,'Data Vlaue (Cr)'!C94:CY312,101,0)</f>
        <v>0</v>
      </c>
      <c r="D99" s="139">
        <f>VLOOKUP(A99,'Data Vlaue (Cr)'!C94:CZ312,102,0)</f>
        <v>0</v>
      </c>
      <c r="E99" s="91">
        <f>VLOOKUP($A99,'Data Vlaue (Cr)'!$C:$FB,75)</f>
        <v>928</v>
      </c>
      <c r="F99" s="91">
        <f>VLOOKUP($A99,'Data Vlaue (Cr)'!$C:$FB,77)</f>
        <v>-13</v>
      </c>
      <c r="G99" s="92">
        <f>VLOOKUP(A99,'Data Vlaue (Cr)'!C94:CB312,78,0)</f>
        <v>-1.3599999999999999E-2</v>
      </c>
      <c r="H99" s="91">
        <f>VLOOKUP($A99,'Data Vlaue (Cr)'!$C:$FB,91)</f>
        <v>486</v>
      </c>
      <c r="I99" s="91">
        <f>VLOOKUP($A99,'Data Vlaue (Cr)'!$C:$FB,93)</f>
        <v>8</v>
      </c>
      <c r="J99" s="92">
        <f>VLOOKUP($A99,'Data Vlaue (Cr)'!$C:$FB,94)</f>
        <v>1.6799999999999999E-2</v>
      </c>
      <c r="K99" s="91">
        <f>VLOOKUP($A99,'Data Vlaue (Cr)'!$C:$FB,95)</f>
        <v>327</v>
      </c>
      <c r="L99" s="91">
        <f>VLOOKUP($A99,'Data Vlaue (Cr)'!$C:$FB,97)</f>
        <v>5</v>
      </c>
      <c r="M99" s="92">
        <f>VLOOKUP($A99,'Data Vlaue (Cr)'!$C:$FB,98)</f>
        <v>1.49E-2</v>
      </c>
      <c r="N99" s="91">
        <f>VLOOKUP($A99,'Data Vlaue (Cr)'!$C:$FB,79)</f>
        <v>840</v>
      </c>
      <c r="O99" s="92">
        <f>VLOOKUP($A99,'Data Vlaue (Cr)'!$C:$FB,82)</f>
        <v>-1.95E-2</v>
      </c>
    </row>
    <row r="100" spans="1:15" x14ac:dyDescent="0.25">
      <c r="A100" s="97" t="str">
        <f>'Data Vlaue (Cr)'!C95</f>
        <v>INDHOTEL</v>
      </c>
      <c r="B100" s="142">
        <f>VLOOKUP(A100,'Data Vlaue (Cr)'!C95:CW313,99,0)</f>
        <v>2035</v>
      </c>
      <c r="C100" s="90">
        <f>VLOOKUP(A100,'Data Vlaue (Cr)'!C95:CY313,101,0)</f>
        <v>22</v>
      </c>
      <c r="D100" s="139">
        <f>VLOOKUP(A100,'Data Vlaue (Cr)'!C95:CZ313,102,0)</f>
        <v>1.0800000000000001E-2</v>
      </c>
      <c r="E100" s="91">
        <f>VLOOKUP($A100,'Data Vlaue (Cr)'!$C:$FB,75)</f>
        <v>1398</v>
      </c>
      <c r="F100" s="91">
        <f>VLOOKUP($A100,'Data Vlaue (Cr)'!$C:$FB,77)</f>
        <v>18</v>
      </c>
      <c r="G100" s="92">
        <f>VLOOKUP(A100,'Data Vlaue (Cr)'!C95:CB313,78,0)</f>
        <v>1.3100000000000001E-2</v>
      </c>
      <c r="H100" s="91">
        <f>VLOOKUP($A100,'Data Vlaue (Cr)'!$C:$FB,91)</f>
        <v>313</v>
      </c>
      <c r="I100" s="91">
        <f>VLOOKUP($A100,'Data Vlaue (Cr)'!$C:$FB,93)</f>
        <v>-6</v>
      </c>
      <c r="J100" s="92">
        <f>VLOOKUP($A100,'Data Vlaue (Cr)'!$C:$FB,94)</f>
        <v>-1.8800000000000001E-2</v>
      </c>
      <c r="K100" s="91">
        <f>VLOOKUP($A100,'Data Vlaue (Cr)'!$C:$FB,95)</f>
        <v>324</v>
      </c>
      <c r="L100" s="91">
        <f>VLOOKUP($A100,'Data Vlaue (Cr)'!$C:$FB,97)</f>
        <v>10</v>
      </c>
      <c r="M100" s="92">
        <f>VLOOKUP($A100,'Data Vlaue (Cr)'!$C:$FB,98)</f>
        <v>3.09E-2</v>
      </c>
      <c r="N100" s="91">
        <f>VLOOKUP($A100,'Data Vlaue (Cr)'!$C:$FB,79)</f>
        <v>1354</v>
      </c>
      <c r="O100" s="92">
        <f>VLOOKUP($A100,'Data Vlaue (Cr)'!$C:$FB,82)</f>
        <v>1.21E-2</v>
      </c>
    </row>
    <row r="101" spans="1:15" x14ac:dyDescent="0.25">
      <c r="A101" s="97" t="str">
        <f>'Data Vlaue (Cr)'!C96</f>
        <v>INDIANB</v>
      </c>
      <c r="B101" s="142">
        <f>VLOOKUP(A101,'Data Vlaue (Cr)'!C96:CW314,99,0)</f>
        <v>1412</v>
      </c>
      <c r="C101" s="90">
        <f>VLOOKUP(A101,'Data Vlaue (Cr)'!C96:CY314,101,0)</f>
        <v>16</v>
      </c>
      <c r="D101" s="139">
        <f>VLOOKUP(A101,'Data Vlaue (Cr)'!C96:CZ314,102,0)</f>
        <v>1.11E-2</v>
      </c>
      <c r="E101" s="91">
        <f>VLOOKUP($A101,'Data Vlaue (Cr)'!$C:$FB,75)</f>
        <v>884</v>
      </c>
      <c r="F101" s="91">
        <f>VLOOKUP($A101,'Data Vlaue (Cr)'!$C:$FB,77)</f>
        <v>-25</v>
      </c>
      <c r="G101" s="92">
        <f>VLOOKUP(A101,'Data Vlaue (Cr)'!C96:CB314,78,0)</f>
        <v>-2.76E-2</v>
      </c>
      <c r="H101" s="91">
        <f>VLOOKUP($A101,'Data Vlaue (Cr)'!$C:$FB,91)</f>
        <v>301</v>
      </c>
      <c r="I101" s="91">
        <f>VLOOKUP($A101,'Data Vlaue (Cr)'!$C:$FB,93)</f>
        <v>34</v>
      </c>
      <c r="J101" s="92">
        <f>VLOOKUP($A101,'Data Vlaue (Cr)'!$C:$FB,94)</f>
        <v>0.129</v>
      </c>
      <c r="K101" s="91">
        <f>VLOOKUP($A101,'Data Vlaue (Cr)'!$C:$FB,95)</f>
        <v>227</v>
      </c>
      <c r="L101" s="91">
        <f>VLOOKUP($A101,'Data Vlaue (Cr)'!$C:$FB,97)</f>
        <v>6</v>
      </c>
      <c r="M101" s="92">
        <f>VLOOKUP($A101,'Data Vlaue (Cr)'!$C:$FB,98)</f>
        <v>2.7900000000000001E-2</v>
      </c>
      <c r="N101" s="91">
        <f>VLOOKUP($A101,'Data Vlaue (Cr)'!$C:$FB,79)</f>
        <v>869</v>
      </c>
      <c r="O101" s="92">
        <f>VLOOKUP($A101,'Data Vlaue (Cr)'!$C:$FB,82)</f>
        <v>-2.9899999999999999E-2</v>
      </c>
    </row>
    <row r="102" spans="1:15" x14ac:dyDescent="0.25">
      <c r="A102" s="97" t="str">
        <f>'Data Vlaue (Cr)'!C97</f>
        <v>INDIAVIX</v>
      </c>
      <c r="B102" s="142">
        <f>VLOOKUP(A102,'Data Vlaue (Cr)'!C97:CW315,99,0)</f>
        <v>0</v>
      </c>
      <c r="C102" s="90">
        <f>VLOOKUP(A102,'Data Vlaue (Cr)'!C97:CY315,101,0)</f>
        <v>0</v>
      </c>
      <c r="D102" s="139">
        <f>VLOOKUP(A102,'Data Vlaue (Cr)'!C97:CZ315,102,0)</f>
        <v>0</v>
      </c>
      <c r="E102" s="91">
        <f>VLOOKUP($A102,'Data Vlaue (Cr)'!$C:$FB,75)</f>
        <v>0</v>
      </c>
      <c r="F102" s="91">
        <f>VLOOKUP($A102,'Data Vlaue (Cr)'!$C:$FB,77)</f>
        <v>0</v>
      </c>
      <c r="G102" s="92">
        <f>VLOOKUP(A102,'Data Vlaue (Cr)'!C97:CB315,78,0)</f>
        <v>0</v>
      </c>
      <c r="H102" s="91">
        <f>VLOOKUP($A102,'Data Vlaue (Cr)'!$C:$FB,91)</f>
        <v>0</v>
      </c>
      <c r="I102" s="91">
        <f>VLOOKUP($A102,'Data Vlaue (Cr)'!$C:$FB,93)</f>
        <v>0</v>
      </c>
      <c r="J102" s="92">
        <f>VLOOKUP($A102,'Data Vlaue (Cr)'!$C:$FB,94)</f>
        <v>0</v>
      </c>
      <c r="K102" s="91">
        <f>VLOOKUP($A102,'Data Vlaue (Cr)'!$C:$FB,95)</f>
        <v>0</v>
      </c>
      <c r="L102" s="91">
        <f>VLOOKUP($A102,'Data Vlaue (Cr)'!$C:$FB,97)</f>
        <v>0</v>
      </c>
      <c r="M102" s="92">
        <f>VLOOKUP($A102,'Data Vlaue (Cr)'!$C:$FB,98)</f>
        <v>0</v>
      </c>
      <c r="N102" s="91">
        <f>VLOOKUP($A102,'Data Vlaue (Cr)'!$C:$FB,79)</f>
        <v>0</v>
      </c>
      <c r="O102" s="92">
        <f>VLOOKUP($A102,'Data Vlaue (Cr)'!$C:$FB,82)</f>
        <v>0</v>
      </c>
    </row>
    <row r="103" spans="1:15" x14ac:dyDescent="0.25">
      <c r="A103" s="97" t="str">
        <f>'Data Vlaue (Cr)'!C98</f>
        <v>INDIGO</v>
      </c>
      <c r="B103" s="142">
        <f>VLOOKUP(A103,'Data Vlaue (Cr)'!C98:CW316,99,0)</f>
        <v>7433</v>
      </c>
      <c r="C103" s="90">
        <f>VLOOKUP(A103,'Data Vlaue (Cr)'!C98:CY316,101,0)</f>
        <v>737</v>
      </c>
      <c r="D103" s="139">
        <f>VLOOKUP(A103,'Data Vlaue (Cr)'!C98:CZ316,102,0)</f>
        <v>0.11</v>
      </c>
      <c r="E103" s="91">
        <f>VLOOKUP($A103,'Data Vlaue (Cr)'!$C:$FB,75)</f>
        <v>3373</v>
      </c>
      <c r="F103" s="91">
        <f>VLOOKUP($A103,'Data Vlaue (Cr)'!$C:$FB,77)</f>
        <v>109</v>
      </c>
      <c r="G103" s="92">
        <f>VLOOKUP(A103,'Data Vlaue (Cr)'!C98:CB316,78,0)</f>
        <v>3.3500000000000002E-2</v>
      </c>
      <c r="H103" s="91">
        <f>VLOOKUP($A103,'Data Vlaue (Cr)'!$C:$FB,91)</f>
        <v>2575</v>
      </c>
      <c r="I103" s="91">
        <f>VLOOKUP($A103,'Data Vlaue (Cr)'!$C:$FB,93)</f>
        <v>465</v>
      </c>
      <c r="J103" s="92">
        <f>VLOOKUP($A103,'Data Vlaue (Cr)'!$C:$FB,94)</f>
        <v>0.2203</v>
      </c>
      <c r="K103" s="91">
        <f>VLOOKUP($A103,'Data Vlaue (Cr)'!$C:$FB,95)</f>
        <v>1485</v>
      </c>
      <c r="L103" s="91">
        <f>VLOOKUP($A103,'Data Vlaue (Cr)'!$C:$FB,97)</f>
        <v>162</v>
      </c>
      <c r="M103" s="92">
        <f>VLOOKUP($A103,'Data Vlaue (Cr)'!$C:$FB,98)</f>
        <v>0.12280000000000001</v>
      </c>
      <c r="N103" s="91">
        <f>VLOOKUP($A103,'Data Vlaue (Cr)'!$C:$FB,79)</f>
        <v>3247</v>
      </c>
      <c r="O103" s="92">
        <f>VLOOKUP($A103,'Data Vlaue (Cr)'!$C:$FB,82)</f>
        <v>2.98E-2</v>
      </c>
    </row>
    <row r="104" spans="1:15" x14ac:dyDescent="0.25">
      <c r="A104" s="97" t="str">
        <f>'Data Vlaue (Cr)'!C99</f>
        <v>INDUSINDBK</v>
      </c>
      <c r="B104" s="142">
        <f>VLOOKUP(A104,'Data Vlaue (Cr)'!C99:CW317,99,0)</f>
        <v>4135</v>
      </c>
      <c r="C104" s="90">
        <f>VLOOKUP(A104,'Data Vlaue (Cr)'!C99:CY317,101,0)</f>
        <v>42</v>
      </c>
      <c r="D104" s="139">
        <f>VLOOKUP(A104,'Data Vlaue (Cr)'!C99:CZ317,102,0)</f>
        <v>1.0200000000000001E-2</v>
      </c>
      <c r="E104" s="91">
        <f>VLOOKUP($A104,'Data Vlaue (Cr)'!$C:$FB,75)</f>
        <v>3145</v>
      </c>
      <c r="F104" s="91">
        <f>VLOOKUP($A104,'Data Vlaue (Cr)'!$C:$FB,77)</f>
        <v>-22</v>
      </c>
      <c r="G104" s="92">
        <f>VLOOKUP(A104,'Data Vlaue (Cr)'!C99:CB317,78,0)</f>
        <v>-6.7999999999999996E-3</v>
      </c>
      <c r="H104" s="91">
        <f>VLOOKUP($A104,'Data Vlaue (Cr)'!$C:$FB,91)</f>
        <v>482</v>
      </c>
      <c r="I104" s="91">
        <f>VLOOKUP($A104,'Data Vlaue (Cr)'!$C:$FB,93)</f>
        <v>25</v>
      </c>
      <c r="J104" s="92">
        <f>VLOOKUP($A104,'Data Vlaue (Cr)'!$C:$FB,94)</f>
        <v>5.5199999999999999E-2</v>
      </c>
      <c r="K104" s="91">
        <f>VLOOKUP($A104,'Data Vlaue (Cr)'!$C:$FB,95)</f>
        <v>508</v>
      </c>
      <c r="L104" s="91">
        <f>VLOOKUP($A104,'Data Vlaue (Cr)'!$C:$FB,97)</f>
        <v>38</v>
      </c>
      <c r="M104" s="92">
        <f>VLOOKUP($A104,'Data Vlaue (Cr)'!$C:$FB,98)</f>
        <v>8.0699999999999994E-2</v>
      </c>
      <c r="N104" s="91">
        <f>VLOOKUP($A104,'Data Vlaue (Cr)'!$C:$FB,79)</f>
        <v>3023</v>
      </c>
      <c r="O104" s="92">
        <f>VLOOKUP($A104,'Data Vlaue (Cr)'!$C:$FB,82)</f>
        <v>-1.24E-2</v>
      </c>
    </row>
    <row r="105" spans="1:15" x14ac:dyDescent="0.25">
      <c r="A105" s="97" t="str">
        <f>'Data Vlaue (Cr)'!C100</f>
        <v>INDUSTOWER</v>
      </c>
      <c r="B105" s="142">
        <f>VLOOKUP(A105,'Data Vlaue (Cr)'!C100:CW318,99,0)</f>
        <v>3816</v>
      </c>
      <c r="C105" s="90">
        <f>VLOOKUP(A105,'Data Vlaue (Cr)'!C100:CY318,101,0)</f>
        <v>191</v>
      </c>
      <c r="D105" s="139">
        <f>VLOOKUP(A105,'Data Vlaue (Cr)'!C100:CZ318,102,0)</f>
        <v>5.2600000000000001E-2</v>
      </c>
      <c r="E105" s="91">
        <f>VLOOKUP($A105,'Data Vlaue (Cr)'!$C:$FB,75)</f>
        <v>2889</v>
      </c>
      <c r="F105" s="91">
        <f>VLOOKUP($A105,'Data Vlaue (Cr)'!$C:$FB,77)</f>
        <v>45</v>
      </c>
      <c r="G105" s="92">
        <f>VLOOKUP(A105,'Data Vlaue (Cr)'!C100:CB318,78,0)</f>
        <v>1.6E-2</v>
      </c>
      <c r="H105" s="91">
        <f>VLOOKUP($A105,'Data Vlaue (Cr)'!$C:$FB,91)</f>
        <v>546</v>
      </c>
      <c r="I105" s="91">
        <f>VLOOKUP($A105,'Data Vlaue (Cr)'!$C:$FB,93)</f>
        <v>134</v>
      </c>
      <c r="J105" s="92">
        <f>VLOOKUP($A105,'Data Vlaue (Cr)'!$C:$FB,94)</f>
        <v>0.3256</v>
      </c>
      <c r="K105" s="91">
        <f>VLOOKUP($A105,'Data Vlaue (Cr)'!$C:$FB,95)</f>
        <v>382</v>
      </c>
      <c r="L105" s="91">
        <f>VLOOKUP($A105,'Data Vlaue (Cr)'!$C:$FB,97)</f>
        <v>11</v>
      </c>
      <c r="M105" s="92">
        <f>VLOOKUP($A105,'Data Vlaue (Cr)'!$C:$FB,98)</f>
        <v>3.09E-2</v>
      </c>
      <c r="N105" s="91">
        <f>VLOOKUP($A105,'Data Vlaue (Cr)'!$C:$FB,79)</f>
        <v>2851</v>
      </c>
      <c r="O105" s="92">
        <f>VLOOKUP($A105,'Data Vlaue (Cr)'!$C:$FB,82)</f>
        <v>1.46E-2</v>
      </c>
    </row>
    <row r="106" spans="1:15" x14ac:dyDescent="0.25">
      <c r="A106" s="97" t="str">
        <f>'Data Vlaue (Cr)'!C101</f>
        <v>INFY</v>
      </c>
      <c r="B106" s="142">
        <f>VLOOKUP(A106,'Data Vlaue (Cr)'!C101:CW319,99,0)</f>
        <v>15168</v>
      </c>
      <c r="C106" s="90">
        <f>VLOOKUP(A106,'Data Vlaue (Cr)'!C101:CY319,101,0)</f>
        <v>244</v>
      </c>
      <c r="D106" s="139">
        <f>VLOOKUP(A106,'Data Vlaue (Cr)'!C101:CZ319,102,0)</f>
        <v>1.6299999999999999E-2</v>
      </c>
      <c r="E106" s="91">
        <f>VLOOKUP($A106,'Data Vlaue (Cr)'!$C:$FB,75)</f>
        <v>10242</v>
      </c>
      <c r="F106" s="91">
        <f>VLOOKUP($A106,'Data Vlaue (Cr)'!$C:$FB,77)</f>
        <v>-48</v>
      </c>
      <c r="G106" s="92">
        <f>VLOOKUP(A106,'Data Vlaue (Cr)'!C101:CB319,78,0)</f>
        <v>-4.7000000000000002E-3</v>
      </c>
      <c r="H106" s="91">
        <f>VLOOKUP($A106,'Data Vlaue (Cr)'!$C:$FB,91)</f>
        <v>2792</v>
      </c>
      <c r="I106" s="91">
        <f>VLOOKUP($A106,'Data Vlaue (Cr)'!$C:$FB,93)</f>
        <v>214</v>
      </c>
      <c r="J106" s="92">
        <f>VLOOKUP($A106,'Data Vlaue (Cr)'!$C:$FB,94)</f>
        <v>8.3099999999999993E-2</v>
      </c>
      <c r="K106" s="91">
        <f>VLOOKUP($A106,'Data Vlaue (Cr)'!$C:$FB,95)</f>
        <v>2134</v>
      </c>
      <c r="L106" s="91">
        <f>VLOOKUP($A106,'Data Vlaue (Cr)'!$C:$FB,97)</f>
        <v>78</v>
      </c>
      <c r="M106" s="92">
        <f>VLOOKUP($A106,'Data Vlaue (Cr)'!$C:$FB,98)</f>
        <v>3.78E-2</v>
      </c>
      <c r="N106" s="91">
        <f>VLOOKUP($A106,'Data Vlaue (Cr)'!$C:$FB,79)</f>
        <v>9870</v>
      </c>
      <c r="O106" s="92">
        <f>VLOOKUP($A106,'Data Vlaue (Cr)'!$C:$FB,82)</f>
        <v>-8.6E-3</v>
      </c>
    </row>
    <row r="107" spans="1:15" x14ac:dyDescent="0.25">
      <c r="A107" s="97" t="str">
        <f>'Data Vlaue (Cr)'!C102</f>
        <v>INOXWIND</v>
      </c>
      <c r="B107" s="142">
        <f>VLOOKUP(A107,'Data Vlaue (Cr)'!C102:CW320,99,0)</f>
        <v>1187</v>
      </c>
      <c r="C107" s="90">
        <f>VLOOKUP(A107,'Data Vlaue (Cr)'!C102:CY320,101,0)</f>
        <v>17</v>
      </c>
      <c r="D107" s="139">
        <f>VLOOKUP(A107,'Data Vlaue (Cr)'!C102:CZ320,102,0)</f>
        <v>1.44E-2</v>
      </c>
      <c r="E107" s="91">
        <f>VLOOKUP($A107,'Data Vlaue (Cr)'!$C:$FB,75)</f>
        <v>869</v>
      </c>
      <c r="F107" s="91">
        <f>VLOOKUP($A107,'Data Vlaue (Cr)'!$C:$FB,77)</f>
        <v>4</v>
      </c>
      <c r="G107" s="92">
        <f>VLOOKUP(A107,'Data Vlaue (Cr)'!C102:CB320,78,0)</f>
        <v>4.3E-3</v>
      </c>
      <c r="H107" s="91">
        <f>VLOOKUP($A107,'Data Vlaue (Cr)'!$C:$FB,91)</f>
        <v>153</v>
      </c>
      <c r="I107" s="91">
        <f>VLOOKUP($A107,'Data Vlaue (Cr)'!$C:$FB,93)</f>
        <v>9</v>
      </c>
      <c r="J107" s="92">
        <f>VLOOKUP($A107,'Data Vlaue (Cr)'!$C:$FB,94)</f>
        <v>6.3700000000000007E-2</v>
      </c>
      <c r="K107" s="91">
        <f>VLOOKUP($A107,'Data Vlaue (Cr)'!$C:$FB,95)</f>
        <v>165</v>
      </c>
      <c r="L107" s="91">
        <f>VLOOKUP($A107,'Data Vlaue (Cr)'!$C:$FB,97)</f>
        <v>4</v>
      </c>
      <c r="M107" s="92">
        <f>VLOOKUP($A107,'Data Vlaue (Cr)'!$C:$FB,98)</f>
        <v>2.4799999999999999E-2</v>
      </c>
      <c r="N107" s="91">
        <f>VLOOKUP($A107,'Data Vlaue (Cr)'!$C:$FB,79)</f>
        <v>826</v>
      </c>
      <c r="O107" s="92">
        <f>VLOOKUP($A107,'Data Vlaue (Cr)'!$C:$FB,82)</f>
        <v>1.8E-3</v>
      </c>
    </row>
    <row r="108" spans="1:15" x14ac:dyDescent="0.25">
      <c r="A108" s="97" t="str">
        <f>'Data Vlaue (Cr)'!C103</f>
        <v>IOC</v>
      </c>
      <c r="B108" s="142">
        <f>VLOOKUP(A108,'Data Vlaue (Cr)'!C103:CW321,99,0)</f>
        <v>3031</v>
      </c>
      <c r="C108" s="90">
        <f>VLOOKUP(A108,'Data Vlaue (Cr)'!C103:CY321,101,0)</f>
        <v>53</v>
      </c>
      <c r="D108" s="139">
        <f>VLOOKUP(A108,'Data Vlaue (Cr)'!C103:CZ321,102,0)</f>
        <v>1.7600000000000001E-2</v>
      </c>
      <c r="E108" s="91">
        <f>VLOOKUP($A108,'Data Vlaue (Cr)'!$C:$FB,75)</f>
        <v>1561</v>
      </c>
      <c r="F108" s="91">
        <f>VLOOKUP($A108,'Data Vlaue (Cr)'!$C:$FB,77)</f>
        <v>-26</v>
      </c>
      <c r="G108" s="92">
        <f>VLOOKUP(A108,'Data Vlaue (Cr)'!C103:CB321,78,0)</f>
        <v>-1.6500000000000001E-2</v>
      </c>
      <c r="H108" s="91">
        <f>VLOOKUP($A108,'Data Vlaue (Cr)'!$C:$FB,91)</f>
        <v>869</v>
      </c>
      <c r="I108" s="91">
        <f>VLOOKUP($A108,'Data Vlaue (Cr)'!$C:$FB,93)</f>
        <v>8</v>
      </c>
      <c r="J108" s="92">
        <f>VLOOKUP($A108,'Data Vlaue (Cr)'!$C:$FB,94)</f>
        <v>9.7999999999999997E-3</v>
      </c>
      <c r="K108" s="91">
        <f>VLOOKUP($A108,'Data Vlaue (Cr)'!$C:$FB,95)</f>
        <v>601</v>
      </c>
      <c r="L108" s="91">
        <f>VLOOKUP($A108,'Data Vlaue (Cr)'!$C:$FB,97)</f>
        <v>70</v>
      </c>
      <c r="M108" s="92">
        <f>VLOOKUP($A108,'Data Vlaue (Cr)'!$C:$FB,98)</f>
        <v>0.13250000000000001</v>
      </c>
      <c r="N108" s="91">
        <f>VLOOKUP($A108,'Data Vlaue (Cr)'!$C:$FB,79)</f>
        <v>1504</v>
      </c>
      <c r="O108" s="92">
        <f>VLOOKUP($A108,'Data Vlaue (Cr)'!$C:$FB,82)</f>
        <v>-1.9400000000000001E-2</v>
      </c>
    </row>
    <row r="109" spans="1:15" x14ac:dyDescent="0.25">
      <c r="A109" s="97" t="str">
        <f>'Data Vlaue (Cr)'!C104</f>
        <v>IREDA</v>
      </c>
      <c r="B109" s="142">
        <f>VLOOKUP(A109,'Data Vlaue (Cr)'!C104:CW322,99,0)</f>
        <v>997</v>
      </c>
      <c r="C109" s="90">
        <f>VLOOKUP(A109,'Data Vlaue (Cr)'!C104:CY322,101,0)</f>
        <v>22</v>
      </c>
      <c r="D109" s="139">
        <f>VLOOKUP(A109,'Data Vlaue (Cr)'!C104:CZ322,102,0)</f>
        <v>2.2499999999999999E-2</v>
      </c>
      <c r="E109" s="91">
        <f>VLOOKUP($A109,'Data Vlaue (Cr)'!$C:$FB,75)</f>
        <v>614</v>
      </c>
      <c r="F109" s="91">
        <f>VLOOKUP($A109,'Data Vlaue (Cr)'!$C:$FB,77)</f>
        <v>17</v>
      </c>
      <c r="G109" s="92">
        <f>VLOOKUP(A109,'Data Vlaue (Cr)'!C104:CB322,78,0)</f>
        <v>2.81E-2</v>
      </c>
      <c r="H109" s="91">
        <f>VLOOKUP($A109,'Data Vlaue (Cr)'!$C:$FB,91)</f>
        <v>200</v>
      </c>
      <c r="I109" s="91">
        <f>VLOOKUP($A109,'Data Vlaue (Cr)'!$C:$FB,93)</f>
        <v>2</v>
      </c>
      <c r="J109" s="92">
        <f>VLOOKUP($A109,'Data Vlaue (Cr)'!$C:$FB,94)</f>
        <v>1.15E-2</v>
      </c>
      <c r="K109" s="91">
        <f>VLOOKUP($A109,'Data Vlaue (Cr)'!$C:$FB,95)</f>
        <v>182</v>
      </c>
      <c r="L109" s="91">
        <f>VLOOKUP($A109,'Data Vlaue (Cr)'!$C:$FB,97)</f>
        <v>3</v>
      </c>
      <c r="M109" s="92">
        <f>VLOOKUP($A109,'Data Vlaue (Cr)'!$C:$FB,98)</f>
        <v>1.5800000000000002E-2</v>
      </c>
      <c r="N109" s="91">
        <f>VLOOKUP($A109,'Data Vlaue (Cr)'!$C:$FB,79)</f>
        <v>528</v>
      </c>
      <c r="O109" s="92">
        <f>VLOOKUP($A109,'Data Vlaue (Cr)'!$C:$FB,82)</f>
        <v>1.2999999999999999E-2</v>
      </c>
    </row>
    <row r="110" spans="1:15" x14ac:dyDescent="0.25">
      <c r="A110" s="97" t="str">
        <f>'Data Vlaue (Cr)'!C105</f>
        <v>IRFC</v>
      </c>
      <c r="B110" s="142">
        <f>VLOOKUP(A110,'Data Vlaue (Cr)'!C105:CW323,99,0)</f>
        <v>1105</v>
      </c>
      <c r="C110" s="90">
        <f>VLOOKUP(A110,'Data Vlaue (Cr)'!C105:CY323,101,0)</f>
        <v>-5</v>
      </c>
      <c r="D110" s="139">
        <f>VLOOKUP(A110,'Data Vlaue (Cr)'!C105:CZ323,102,0)</f>
        <v>-4.5999999999999999E-3</v>
      </c>
      <c r="E110" s="91">
        <f>VLOOKUP($A110,'Data Vlaue (Cr)'!$C:$FB,75)</f>
        <v>528</v>
      </c>
      <c r="F110" s="91">
        <f>VLOOKUP($A110,'Data Vlaue (Cr)'!$C:$FB,77)</f>
        <v>6</v>
      </c>
      <c r="G110" s="92">
        <f>VLOOKUP(A110,'Data Vlaue (Cr)'!C105:CB323,78,0)</f>
        <v>1.0699999999999999E-2</v>
      </c>
      <c r="H110" s="91">
        <f>VLOOKUP($A110,'Data Vlaue (Cr)'!$C:$FB,91)</f>
        <v>331</v>
      </c>
      <c r="I110" s="91">
        <f>VLOOKUP($A110,'Data Vlaue (Cr)'!$C:$FB,93)</f>
        <v>-13</v>
      </c>
      <c r="J110" s="92">
        <f>VLOOKUP($A110,'Data Vlaue (Cr)'!$C:$FB,94)</f>
        <v>-3.6700000000000003E-2</v>
      </c>
      <c r="K110" s="91">
        <f>VLOOKUP($A110,'Data Vlaue (Cr)'!$C:$FB,95)</f>
        <v>245</v>
      </c>
      <c r="L110" s="91">
        <f>VLOOKUP($A110,'Data Vlaue (Cr)'!$C:$FB,97)</f>
        <v>2</v>
      </c>
      <c r="M110" s="92">
        <f>VLOOKUP($A110,'Data Vlaue (Cr)'!$C:$FB,98)</f>
        <v>7.9000000000000008E-3</v>
      </c>
      <c r="N110" s="91">
        <f>VLOOKUP($A110,'Data Vlaue (Cr)'!$C:$FB,79)</f>
        <v>461</v>
      </c>
      <c r="O110" s="92">
        <f>VLOOKUP($A110,'Data Vlaue (Cr)'!$C:$FB,82)</f>
        <v>1.5E-3</v>
      </c>
    </row>
    <row r="111" spans="1:15" x14ac:dyDescent="0.25">
      <c r="A111" s="97" t="str">
        <f>'Data Vlaue (Cr)'!C106</f>
        <v>ITC</v>
      </c>
      <c r="B111" s="142">
        <f>VLOOKUP(A111,'Data Vlaue (Cr)'!C106:CW324,99,0)</f>
        <v>8913</v>
      </c>
      <c r="C111" s="90">
        <f>VLOOKUP(A111,'Data Vlaue (Cr)'!C106:CY324,101,0)</f>
        <v>240</v>
      </c>
      <c r="D111" s="139">
        <f>VLOOKUP(A111,'Data Vlaue (Cr)'!C106:CZ324,102,0)</f>
        <v>2.7699999999999999E-2</v>
      </c>
      <c r="E111" s="91">
        <f>VLOOKUP($A111,'Data Vlaue (Cr)'!$C:$FB,75)</f>
        <v>4866</v>
      </c>
      <c r="F111" s="91">
        <f>VLOOKUP($A111,'Data Vlaue (Cr)'!$C:$FB,77)</f>
        <v>10</v>
      </c>
      <c r="G111" s="92">
        <f>VLOOKUP(A111,'Data Vlaue (Cr)'!C106:CB324,78,0)</f>
        <v>2.0999999999999999E-3</v>
      </c>
      <c r="H111" s="91">
        <f>VLOOKUP($A111,'Data Vlaue (Cr)'!$C:$FB,91)</f>
        <v>2582</v>
      </c>
      <c r="I111" s="91">
        <f>VLOOKUP($A111,'Data Vlaue (Cr)'!$C:$FB,93)</f>
        <v>213</v>
      </c>
      <c r="J111" s="92">
        <f>VLOOKUP($A111,'Data Vlaue (Cr)'!$C:$FB,94)</f>
        <v>9.01E-2</v>
      </c>
      <c r="K111" s="91">
        <f>VLOOKUP($A111,'Data Vlaue (Cr)'!$C:$FB,95)</f>
        <v>1465</v>
      </c>
      <c r="L111" s="91">
        <f>VLOOKUP($A111,'Data Vlaue (Cr)'!$C:$FB,97)</f>
        <v>17</v>
      </c>
      <c r="M111" s="92">
        <f>VLOOKUP($A111,'Data Vlaue (Cr)'!$C:$FB,98)</f>
        <v>1.15E-2</v>
      </c>
      <c r="N111" s="91">
        <f>VLOOKUP($A111,'Data Vlaue (Cr)'!$C:$FB,79)</f>
        <v>4455</v>
      </c>
      <c r="O111" s="92">
        <f>VLOOKUP($A111,'Data Vlaue (Cr)'!$C:$FB,82)</f>
        <v>0</v>
      </c>
    </row>
    <row r="112" spans="1:15" x14ac:dyDescent="0.25">
      <c r="A112" s="97" t="str">
        <f>'Data Vlaue (Cr)'!C107</f>
        <v>JINDALSTEL</v>
      </c>
      <c r="B112" s="142">
        <f>VLOOKUP(A112,'Data Vlaue (Cr)'!C107:CW325,99,0)</f>
        <v>2168</v>
      </c>
      <c r="C112" s="90">
        <f>VLOOKUP(A112,'Data Vlaue (Cr)'!C107:CY325,101,0)</f>
        <v>75</v>
      </c>
      <c r="D112" s="139">
        <f>VLOOKUP(A112,'Data Vlaue (Cr)'!C107:CZ325,102,0)</f>
        <v>3.5999999999999997E-2</v>
      </c>
      <c r="E112" s="91">
        <f>VLOOKUP($A112,'Data Vlaue (Cr)'!$C:$FB,75)</f>
        <v>1506</v>
      </c>
      <c r="F112" s="91">
        <f>VLOOKUP($A112,'Data Vlaue (Cr)'!$C:$FB,77)</f>
        <v>17</v>
      </c>
      <c r="G112" s="92">
        <f>VLOOKUP(A112,'Data Vlaue (Cr)'!C107:CB325,78,0)</f>
        <v>1.11E-2</v>
      </c>
      <c r="H112" s="91">
        <f>VLOOKUP($A112,'Data Vlaue (Cr)'!$C:$FB,91)</f>
        <v>323</v>
      </c>
      <c r="I112" s="91">
        <f>VLOOKUP($A112,'Data Vlaue (Cr)'!$C:$FB,93)</f>
        <v>21</v>
      </c>
      <c r="J112" s="92">
        <f>VLOOKUP($A112,'Data Vlaue (Cr)'!$C:$FB,94)</f>
        <v>6.8599999999999994E-2</v>
      </c>
      <c r="K112" s="91">
        <f>VLOOKUP($A112,'Data Vlaue (Cr)'!$C:$FB,95)</f>
        <v>339</v>
      </c>
      <c r="L112" s="91">
        <f>VLOOKUP($A112,'Data Vlaue (Cr)'!$C:$FB,97)</f>
        <v>38</v>
      </c>
      <c r="M112" s="92">
        <f>VLOOKUP($A112,'Data Vlaue (Cr)'!$C:$FB,98)</f>
        <v>0.126</v>
      </c>
      <c r="N112" s="91">
        <f>VLOOKUP($A112,'Data Vlaue (Cr)'!$C:$FB,79)</f>
        <v>1359</v>
      </c>
      <c r="O112" s="92">
        <f>VLOOKUP($A112,'Data Vlaue (Cr)'!$C:$FB,82)</f>
        <v>8.0000000000000002E-3</v>
      </c>
    </row>
    <row r="113" spans="1:15" x14ac:dyDescent="0.25">
      <c r="A113" s="97" t="str">
        <f>'Data Vlaue (Cr)'!C108</f>
        <v>JIOFIN</v>
      </c>
      <c r="B113" s="142">
        <f>VLOOKUP(A113,'Data Vlaue (Cr)'!C108:CW326,99,0)</f>
        <v>5448</v>
      </c>
      <c r="C113" s="90">
        <f>VLOOKUP(A113,'Data Vlaue (Cr)'!C108:CY326,101,0)</f>
        <v>225</v>
      </c>
      <c r="D113" s="139">
        <f>VLOOKUP(A113,'Data Vlaue (Cr)'!C108:CZ326,102,0)</f>
        <v>4.2999999999999997E-2</v>
      </c>
      <c r="E113" s="91">
        <f>VLOOKUP($A113,'Data Vlaue (Cr)'!$C:$FB,75)</f>
        <v>3667</v>
      </c>
      <c r="F113" s="91">
        <f>VLOOKUP($A113,'Data Vlaue (Cr)'!$C:$FB,77)</f>
        <v>17</v>
      </c>
      <c r="G113" s="92">
        <f>VLOOKUP(A113,'Data Vlaue (Cr)'!C108:CB326,78,0)</f>
        <v>4.5999999999999999E-3</v>
      </c>
      <c r="H113" s="91">
        <f>VLOOKUP($A113,'Data Vlaue (Cr)'!$C:$FB,91)</f>
        <v>972</v>
      </c>
      <c r="I113" s="91">
        <f>VLOOKUP($A113,'Data Vlaue (Cr)'!$C:$FB,93)</f>
        <v>131</v>
      </c>
      <c r="J113" s="92">
        <f>VLOOKUP($A113,'Data Vlaue (Cr)'!$C:$FB,94)</f>
        <v>0.1555</v>
      </c>
      <c r="K113" s="91">
        <f>VLOOKUP($A113,'Data Vlaue (Cr)'!$C:$FB,95)</f>
        <v>808</v>
      </c>
      <c r="L113" s="91">
        <f>VLOOKUP($A113,'Data Vlaue (Cr)'!$C:$FB,97)</f>
        <v>77</v>
      </c>
      <c r="M113" s="92">
        <f>VLOOKUP($A113,'Data Vlaue (Cr)'!$C:$FB,98)</f>
        <v>0.1055</v>
      </c>
      <c r="N113" s="91">
        <f>VLOOKUP($A113,'Data Vlaue (Cr)'!$C:$FB,79)</f>
        <v>3182</v>
      </c>
      <c r="O113" s="92">
        <f>VLOOKUP($A113,'Data Vlaue (Cr)'!$C:$FB,82)</f>
        <v>-2.8E-3</v>
      </c>
    </row>
    <row r="114" spans="1:15" x14ac:dyDescent="0.25">
      <c r="A114" s="97" t="str">
        <f>'Data Vlaue (Cr)'!C109</f>
        <v>JSWENERGY</v>
      </c>
      <c r="B114" s="142">
        <f>VLOOKUP(A114,'Data Vlaue (Cr)'!C109:CW327,99,0)</f>
        <v>1881</v>
      </c>
      <c r="C114" s="90">
        <f>VLOOKUP(A114,'Data Vlaue (Cr)'!C109:CY327,101,0)</f>
        <v>148</v>
      </c>
      <c r="D114" s="139">
        <f>VLOOKUP(A114,'Data Vlaue (Cr)'!C109:CZ327,102,0)</f>
        <v>8.5300000000000001E-2</v>
      </c>
      <c r="E114" s="91">
        <f>VLOOKUP($A114,'Data Vlaue (Cr)'!$C:$FB,75)</f>
        <v>1339</v>
      </c>
      <c r="F114" s="91">
        <f>VLOOKUP($A114,'Data Vlaue (Cr)'!$C:$FB,77)</f>
        <v>38</v>
      </c>
      <c r="G114" s="92">
        <f>VLOOKUP(A114,'Data Vlaue (Cr)'!C109:CB327,78,0)</f>
        <v>2.8899999999999999E-2</v>
      </c>
      <c r="H114" s="91">
        <f>VLOOKUP($A114,'Data Vlaue (Cr)'!$C:$FB,91)</f>
        <v>349</v>
      </c>
      <c r="I114" s="91">
        <f>VLOOKUP($A114,'Data Vlaue (Cr)'!$C:$FB,93)</f>
        <v>77</v>
      </c>
      <c r="J114" s="92">
        <f>VLOOKUP($A114,'Data Vlaue (Cr)'!$C:$FB,94)</f>
        <v>0.28210000000000002</v>
      </c>
      <c r="K114" s="91">
        <f>VLOOKUP($A114,'Data Vlaue (Cr)'!$C:$FB,95)</f>
        <v>194</v>
      </c>
      <c r="L114" s="91">
        <f>VLOOKUP($A114,'Data Vlaue (Cr)'!$C:$FB,97)</f>
        <v>33</v>
      </c>
      <c r="M114" s="92">
        <f>VLOOKUP($A114,'Data Vlaue (Cr)'!$C:$FB,98)</f>
        <v>0.2082</v>
      </c>
      <c r="N114" s="91">
        <f>VLOOKUP($A114,'Data Vlaue (Cr)'!$C:$FB,79)</f>
        <v>1326</v>
      </c>
      <c r="O114" s="92">
        <f>VLOOKUP($A114,'Data Vlaue (Cr)'!$C:$FB,82)</f>
        <v>2.7300000000000001E-2</v>
      </c>
    </row>
    <row r="115" spans="1:15" x14ac:dyDescent="0.25">
      <c r="A115" s="97" t="str">
        <f>'Data Vlaue (Cr)'!C110</f>
        <v>JSWSTEEL</v>
      </c>
      <c r="B115" s="142">
        <f>VLOOKUP(A115,'Data Vlaue (Cr)'!C110:CW328,99,0)</f>
        <v>7684</v>
      </c>
      <c r="C115" s="90">
        <f>VLOOKUP(A115,'Data Vlaue (Cr)'!C110:CY328,101,0)</f>
        <v>-12</v>
      </c>
      <c r="D115" s="139">
        <f>VLOOKUP(A115,'Data Vlaue (Cr)'!C110:CZ328,102,0)</f>
        <v>-1.5E-3</v>
      </c>
      <c r="E115" s="91">
        <f>VLOOKUP($A115,'Data Vlaue (Cr)'!$C:$FB,75)</f>
        <v>6167</v>
      </c>
      <c r="F115" s="91">
        <f>VLOOKUP($A115,'Data Vlaue (Cr)'!$C:$FB,77)</f>
        <v>-22</v>
      </c>
      <c r="G115" s="92">
        <f>VLOOKUP(A115,'Data Vlaue (Cr)'!C110:CB328,78,0)</f>
        <v>-3.5000000000000001E-3</v>
      </c>
      <c r="H115" s="91">
        <f>VLOOKUP($A115,'Data Vlaue (Cr)'!$C:$FB,91)</f>
        <v>828</v>
      </c>
      <c r="I115" s="91">
        <f>VLOOKUP($A115,'Data Vlaue (Cr)'!$C:$FB,93)</f>
        <v>8</v>
      </c>
      <c r="J115" s="92">
        <f>VLOOKUP($A115,'Data Vlaue (Cr)'!$C:$FB,94)</f>
        <v>9.5999999999999992E-3</v>
      </c>
      <c r="K115" s="91">
        <f>VLOOKUP($A115,'Data Vlaue (Cr)'!$C:$FB,95)</f>
        <v>689</v>
      </c>
      <c r="L115" s="91">
        <f>VLOOKUP($A115,'Data Vlaue (Cr)'!$C:$FB,97)</f>
        <v>2</v>
      </c>
      <c r="M115" s="92">
        <f>VLOOKUP($A115,'Data Vlaue (Cr)'!$C:$FB,98)</f>
        <v>2.7000000000000001E-3</v>
      </c>
      <c r="N115" s="91">
        <f>VLOOKUP($A115,'Data Vlaue (Cr)'!$C:$FB,79)</f>
        <v>5639</v>
      </c>
      <c r="O115" s="92">
        <f>VLOOKUP($A115,'Data Vlaue (Cr)'!$C:$FB,82)</f>
        <v>-5.3E-3</v>
      </c>
    </row>
    <row r="116" spans="1:15" x14ac:dyDescent="0.25">
      <c r="A116" s="97" t="str">
        <f>'Data Vlaue (Cr)'!C111</f>
        <v>JUBLFOOD</v>
      </c>
      <c r="B116" s="142">
        <f>VLOOKUP(A116,'Data Vlaue (Cr)'!C111:CW329,99,0)</f>
        <v>2806</v>
      </c>
      <c r="C116" s="90">
        <f>VLOOKUP(A116,'Data Vlaue (Cr)'!C111:CY329,101,0)</f>
        <v>82</v>
      </c>
      <c r="D116" s="139">
        <f>VLOOKUP(A116,'Data Vlaue (Cr)'!C111:CZ329,102,0)</f>
        <v>0.03</v>
      </c>
      <c r="E116" s="91">
        <f>VLOOKUP($A116,'Data Vlaue (Cr)'!$C:$FB,75)</f>
        <v>1722</v>
      </c>
      <c r="F116" s="91">
        <f>VLOOKUP($A116,'Data Vlaue (Cr)'!$C:$FB,77)</f>
        <v>95</v>
      </c>
      <c r="G116" s="92">
        <f>VLOOKUP(A116,'Data Vlaue (Cr)'!C111:CB329,78,0)</f>
        <v>5.8599999999999999E-2</v>
      </c>
      <c r="H116" s="91">
        <f>VLOOKUP($A116,'Data Vlaue (Cr)'!$C:$FB,91)</f>
        <v>651</v>
      </c>
      <c r="I116" s="91">
        <f>VLOOKUP($A116,'Data Vlaue (Cr)'!$C:$FB,93)</f>
        <v>-13</v>
      </c>
      <c r="J116" s="92">
        <f>VLOOKUP($A116,'Data Vlaue (Cr)'!$C:$FB,94)</f>
        <v>-1.89E-2</v>
      </c>
      <c r="K116" s="91">
        <f>VLOOKUP($A116,'Data Vlaue (Cr)'!$C:$FB,95)</f>
        <v>432</v>
      </c>
      <c r="L116" s="91">
        <f>VLOOKUP($A116,'Data Vlaue (Cr)'!$C:$FB,97)</f>
        <v>-1</v>
      </c>
      <c r="M116" s="92">
        <f>VLOOKUP($A116,'Data Vlaue (Cr)'!$C:$FB,98)</f>
        <v>-2.5000000000000001E-3</v>
      </c>
      <c r="N116" s="91">
        <f>VLOOKUP($A116,'Data Vlaue (Cr)'!$C:$FB,79)</f>
        <v>1430</v>
      </c>
      <c r="O116" s="92">
        <f>VLOOKUP($A116,'Data Vlaue (Cr)'!$C:$FB,82)</f>
        <v>4.3700000000000003E-2</v>
      </c>
    </row>
    <row r="117" spans="1:15" x14ac:dyDescent="0.25">
      <c r="A117" s="97" t="str">
        <f>'Data Vlaue (Cr)'!C112</f>
        <v>KALYANKJIL</v>
      </c>
      <c r="B117" s="142">
        <f>VLOOKUP(A117,'Data Vlaue (Cr)'!C112:CW330,99,0)</f>
        <v>1580</v>
      </c>
      <c r="C117" s="90">
        <f>VLOOKUP(A117,'Data Vlaue (Cr)'!C112:CY330,101,0)</f>
        <v>45</v>
      </c>
      <c r="D117" s="139">
        <f>VLOOKUP(A117,'Data Vlaue (Cr)'!C112:CZ330,102,0)</f>
        <v>2.93E-2</v>
      </c>
      <c r="E117" s="91">
        <f>VLOOKUP($A117,'Data Vlaue (Cr)'!$C:$FB,75)</f>
        <v>1085</v>
      </c>
      <c r="F117" s="91">
        <f>VLOOKUP($A117,'Data Vlaue (Cr)'!$C:$FB,77)</f>
        <v>13</v>
      </c>
      <c r="G117" s="92">
        <f>VLOOKUP(A117,'Data Vlaue (Cr)'!C112:CB330,78,0)</f>
        <v>1.2500000000000001E-2</v>
      </c>
      <c r="H117" s="91">
        <f>VLOOKUP($A117,'Data Vlaue (Cr)'!$C:$FB,91)</f>
        <v>258</v>
      </c>
      <c r="I117" s="91">
        <f>VLOOKUP($A117,'Data Vlaue (Cr)'!$C:$FB,93)</f>
        <v>18</v>
      </c>
      <c r="J117" s="92">
        <f>VLOOKUP($A117,'Data Vlaue (Cr)'!$C:$FB,94)</f>
        <v>7.46E-2</v>
      </c>
      <c r="K117" s="91">
        <f>VLOOKUP($A117,'Data Vlaue (Cr)'!$C:$FB,95)</f>
        <v>238</v>
      </c>
      <c r="L117" s="91">
        <f>VLOOKUP($A117,'Data Vlaue (Cr)'!$C:$FB,97)</f>
        <v>14</v>
      </c>
      <c r="M117" s="92">
        <f>VLOOKUP($A117,'Data Vlaue (Cr)'!$C:$FB,98)</f>
        <v>6.0699999999999997E-2</v>
      </c>
      <c r="N117" s="91">
        <f>VLOOKUP($A117,'Data Vlaue (Cr)'!$C:$FB,79)</f>
        <v>1058</v>
      </c>
      <c r="O117" s="92">
        <f>VLOOKUP($A117,'Data Vlaue (Cr)'!$C:$FB,82)</f>
        <v>1.11E-2</v>
      </c>
    </row>
    <row r="118" spans="1:15" x14ac:dyDescent="0.25">
      <c r="A118" s="97" t="str">
        <f>'Data Vlaue (Cr)'!C113</f>
        <v>KAYNES</v>
      </c>
      <c r="B118" s="142">
        <f>VLOOKUP(A118,'Data Vlaue (Cr)'!C113:CW331,99,0)</f>
        <v>2098</v>
      </c>
      <c r="C118" s="90">
        <f>VLOOKUP(A118,'Data Vlaue (Cr)'!C113:CY331,101,0)</f>
        <v>117</v>
      </c>
      <c r="D118" s="139">
        <f>VLOOKUP(A118,'Data Vlaue (Cr)'!C113:CZ331,102,0)</f>
        <v>5.9200000000000003E-2</v>
      </c>
      <c r="E118" s="91">
        <f>VLOOKUP($A118,'Data Vlaue (Cr)'!$C:$FB,75)</f>
        <v>1286</v>
      </c>
      <c r="F118" s="91">
        <f>VLOOKUP($A118,'Data Vlaue (Cr)'!$C:$FB,77)</f>
        <v>73</v>
      </c>
      <c r="G118" s="92">
        <f>VLOOKUP(A118,'Data Vlaue (Cr)'!C113:CB331,78,0)</f>
        <v>6.0400000000000002E-2</v>
      </c>
      <c r="H118" s="91">
        <f>VLOOKUP($A118,'Data Vlaue (Cr)'!$C:$FB,91)</f>
        <v>469</v>
      </c>
      <c r="I118" s="91">
        <f>VLOOKUP($A118,'Data Vlaue (Cr)'!$C:$FB,93)</f>
        <v>47</v>
      </c>
      <c r="J118" s="92">
        <f>VLOOKUP($A118,'Data Vlaue (Cr)'!$C:$FB,94)</f>
        <v>0.1115</v>
      </c>
      <c r="K118" s="91">
        <f>VLOOKUP($A118,'Data Vlaue (Cr)'!$C:$FB,95)</f>
        <v>344</v>
      </c>
      <c r="L118" s="91">
        <f>VLOOKUP($A118,'Data Vlaue (Cr)'!$C:$FB,97)</f>
        <v>-3</v>
      </c>
      <c r="M118" s="92">
        <f>VLOOKUP($A118,'Data Vlaue (Cr)'!$C:$FB,98)</f>
        <v>-8.3000000000000001E-3</v>
      </c>
      <c r="N118" s="91">
        <f>VLOOKUP($A118,'Data Vlaue (Cr)'!$C:$FB,79)</f>
        <v>1193</v>
      </c>
      <c r="O118" s="92">
        <f>VLOOKUP($A118,'Data Vlaue (Cr)'!$C:$FB,82)</f>
        <v>3.8800000000000001E-2</v>
      </c>
    </row>
    <row r="119" spans="1:15" x14ac:dyDescent="0.25">
      <c r="A119" s="97" t="str">
        <f>'Data Vlaue (Cr)'!C114</f>
        <v>KEI</v>
      </c>
      <c r="B119" s="142">
        <f>VLOOKUP(A119,'Data Vlaue (Cr)'!C114:CW332,99,0)</f>
        <v>1369</v>
      </c>
      <c r="C119" s="90">
        <f>VLOOKUP(A119,'Data Vlaue (Cr)'!C114:CY332,101,0)</f>
        <v>56</v>
      </c>
      <c r="D119" s="139">
        <f>VLOOKUP(A119,'Data Vlaue (Cr)'!C114:CZ332,102,0)</f>
        <v>4.2500000000000003E-2</v>
      </c>
      <c r="E119" s="91">
        <f>VLOOKUP($A119,'Data Vlaue (Cr)'!$C:$FB,75)</f>
        <v>963</v>
      </c>
      <c r="F119" s="91">
        <f>VLOOKUP($A119,'Data Vlaue (Cr)'!$C:$FB,77)</f>
        <v>-3</v>
      </c>
      <c r="G119" s="92">
        <f>VLOOKUP(A119,'Data Vlaue (Cr)'!C114:CB332,78,0)</f>
        <v>-3.3999999999999998E-3</v>
      </c>
      <c r="H119" s="91">
        <f>VLOOKUP($A119,'Data Vlaue (Cr)'!$C:$FB,91)</f>
        <v>220</v>
      </c>
      <c r="I119" s="91">
        <f>VLOOKUP($A119,'Data Vlaue (Cr)'!$C:$FB,93)</f>
        <v>39</v>
      </c>
      <c r="J119" s="92">
        <f>VLOOKUP($A119,'Data Vlaue (Cr)'!$C:$FB,94)</f>
        <v>0.21410000000000001</v>
      </c>
      <c r="K119" s="91">
        <f>VLOOKUP($A119,'Data Vlaue (Cr)'!$C:$FB,95)</f>
        <v>187</v>
      </c>
      <c r="L119" s="91">
        <f>VLOOKUP($A119,'Data Vlaue (Cr)'!$C:$FB,97)</f>
        <v>20</v>
      </c>
      <c r="M119" s="92">
        <f>VLOOKUP($A119,'Data Vlaue (Cr)'!$C:$FB,98)</f>
        <v>0.12280000000000001</v>
      </c>
      <c r="N119" s="91">
        <f>VLOOKUP($A119,'Data Vlaue (Cr)'!$C:$FB,79)</f>
        <v>902</v>
      </c>
      <c r="O119" s="92">
        <f>VLOOKUP($A119,'Data Vlaue (Cr)'!$C:$FB,82)</f>
        <v>-1.1900000000000001E-2</v>
      </c>
    </row>
    <row r="120" spans="1:15" x14ac:dyDescent="0.25">
      <c r="A120" s="97" t="str">
        <f>'Data Vlaue (Cr)'!C115</f>
        <v>KFINTECH</v>
      </c>
      <c r="B120" s="142">
        <f>VLOOKUP(A120,'Data Vlaue (Cr)'!C115:CW333,99,0)</f>
        <v>481</v>
      </c>
      <c r="C120" s="90">
        <f>VLOOKUP(A120,'Data Vlaue (Cr)'!C115:CY333,101,0)</f>
        <v>80</v>
      </c>
      <c r="D120" s="139">
        <f>VLOOKUP(A120,'Data Vlaue (Cr)'!C115:CZ333,102,0)</f>
        <v>0.1986</v>
      </c>
      <c r="E120" s="91">
        <f>VLOOKUP($A120,'Data Vlaue (Cr)'!$C:$FB,75)</f>
        <v>302</v>
      </c>
      <c r="F120" s="91">
        <f>VLOOKUP($A120,'Data Vlaue (Cr)'!$C:$FB,77)</f>
        <v>33</v>
      </c>
      <c r="G120" s="92">
        <f>VLOOKUP(A120,'Data Vlaue (Cr)'!C115:CB333,78,0)</f>
        <v>0.1207</v>
      </c>
      <c r="H120" s="91">
        <f>VLOOKUP($A120,'Data Vlaue (Cr)'!$C:$FB,91)</f>
        <v>119</v>
      </c>
      <c r="I120" s="91">
        <f>VLOOKUP($A120,'Data Vlaue (Cr)'!$C:$FB,93)</f>
        <v>37</v>
      </c>
      <c r="J120" s="92">
        <f>VLOOKUP($A120,'Data Vlaue (Cr)'!$C:$FB,94)</f>
        <v>0.4511</v>
      </c>
      <c r="K120" s="91">
        <f>VLOOKUP($A120,'Data Vlaue (Cr)'!$C:$FB,95)</f>
        <v>61</v>
      </c>
      <c r="L120" s="91">
        <f>VLOOKUP($A120,'Data Vlaue (Cr)'!$C:$FB,97)</f>
        <v>10</v>
      </c>
      <c r="M120" s="92">
        <f>VLOOKUP($A120,'Data Vlaue (Cr)'!$C:$FB,98)</f>
        <v>0.20549999999999999</v>
      </c>
      <c r="N120" s="91">
        <f>VLOOKUP($A120,'Data Vlaue (Cr)'!$C:$FB,79)</f>
        <v>266</v>
      </c>
      <c r="O120" s="92">
        <f>VLOOKUP($A120,'Data Vlaue (Cr)'!$C:$FB,82)</f>
        <v>0.1089</v>
      </c>
    </row>
    <row r="121" spans="1:15" x14ac:dyDescent="0.25">
      <c r="A121" s="97" t="str">
        <f>'Data Vlaue (Cr)'!C116</f>
        <v>KOTAKBANK</v>
      </c>
      <c r="B121" s="142">
        <f>VLOOKUP(A121,'Data Vlaue (Cr)'!C116:CW334,99,0)</f>
        <v>9876</v>
      </c>
      <c r="C121" s="90">
        <f>VLOOKUP(A121,'Data Vlaue (Cr)'!C116:CY334,101,0)</f>
        <v>43</v>
      </c>
      <c r="D121" s="139">
        <f>VLOOKUP(A121,'Data Vlaue (Cr)'!C116:CZ334,102,0)</f>
        <v>4.3E-3</v>
      </c>
      <c r="E121" s="91">
        <f>VLOOKUP($A121,'Data Vlaue (Cr)'!$C:$FB,75)</f>
        <v>8066</v>
      </c>
      <c r="F121" s="91">
        <f>VLOOKUP($A121,'Data Vlaue (Cr)'!$C:$FB,77)</f>
        <v>5</v>
      </c>
      <c r="G121" s="92">
        <f>VLOOKUP(A121,'Data Vlaue (Cr)'!C116:CB334,78,0)</f>
        <v>5.9999999999999995E-4</v>
      </c>
      <c r="H121" s="91">
        <f>VLOOKUP($A121,'Data Vlaue (Cr)'!$C:$FB,91)</f>
        <v>881</v>
      </c>
      <c r="I121" s="91">
        <f>VLOOKUP($A121,'Data Vlaue (Cr)'!$C:$FB,93)</f>
        <v>66</v>
      </c>
      <c r="J121" s="92">
        <f>VLOOKUP($A121,'Data Vlaue (Cr)'!$C:$FB,94)</f>
        <v>8.1199999999999994E-2</v>
      </c>
      <c r="K121" s="91">
        <f>VLOOKUP($A121,'Data Vlaue (Cr)'!$C:$FB,95)</f>
        <v>928</v>
      </c>
      <c r="L121" s="91">
        <f>VLOOKUP($A121,'Data Vlaue (Cr)'!$C:$FB,97)</f>
        <v>-29</v>
      </c>
      <c r="M121" s="92">
        <f>VLOOKUP($A121,'Data Vlaue (Cr)'!$C:$FB,98)</f>
        <v>-2.9899999999999999E-2</v>
      </c>
      <c r="N121" s="91">
        <f>VLOOKUP($A121,'Data Vlaue (Cr)'!$C:$FB,79)</f>
        <v>7109</v>
      </c>
      <c r="O121" s="92">
        <f>VLOOKUP($A121,'Data Vlaue (Cr)'!$C:$FB,82)</f>
        <v>-3.5000000000000001E-3</v>
      </c>
    </row>
    <row r="122" spans="1:15" x14ac:dyDescent="0.25">
      <c r="A122" s="97" t="str">
        <f>'Data Vlaue (Cr)'!C117</f>
        <v>KPITTECH</v>
      </c>
      <c r="B122" s="142">
        <f>VLOOKUP(A122,'Data Vlaue (Cr)'!C117:CW335,99,0)</f>
        <v>860</v>
      </c>
      <c r="C122" s="90">
        <f>VLOOKUP(A122,'Data Vlaue (Cr)'!C117:CY335,101,0)</f>
        <v>29</v>
      </c>
      <c r="D122" s="139">
        <f>VLOOKUP(A122,'Data Vlaue (Cr)'!C117:CZ335,102,0)</f>
        <v>3.5000000000000003E-2</v>
      </c>
      <c r="E122" s="91">
        <f>VLOOKUP($A122,'Data Vlaue (Cr)'!$C:$FB,75)</f>
        <v>482</v>
      </c>
      <c r="F122" s="91">
        <f>VLOOKUP($A122,'Data Vlaue (Cr)'!$C:$FB,77)</f>
        <v>10</v>
      </c>
      <c r="G122" s="92">
        <f>VLOOKUP(A122,'Data Vlaue (Cr)'!C117:CB335,78,0)</f>
        <v>2.1100000000000001E-2</v>
      </c>
      <c r="H122" s="91">
        <f>VLOOKUP($A122,'Data Vlaue (Cr)'!$C:$FB,91)</f>
        <v>209</v>
      </c>
      <c r="I122" s="91">
        <f>VLOOKUP($A122,'Data Vlaue (Cr)'!$C:$FB,93)</f>
        <v>9</v>
      </c>
      <c r="J122" s="92">
        <f>VLOOKUP($A122,'Data Vlaue (Cr)'!$C:$FB,94)</f>
        <v>4.5900000000000003E-2</v>
      </c>
      <c r="K122" s="91">
        <f>VLOOKUP($A122,'Data Vlaue (Cr)'!$C:$FB,95)</f>
        <v>169</v>
      </c>
      <c r="L122" s="91">
        <f>VLOOKUP($A122,'Data Vlaue (Cr)'!$C:$FB,97)</f>
        <v>10</v>
      </c>
      <c r="M122" s="92">
        <f>VLOOKUP($A122,'Data Vlaue (Cr)'!$C:$FB,98)</f>
        <v>6.2399999999999997E-2</v>
      </c>
      <c r="N122" s="91">
        <f>VLOOKUP($A122,'Data Vlaue (Cr)'!$C:$FB,79)</f>
        <v>459</v>
      </c>
      <c r="O122" s="92">
        <f>VLOOKUP($A122,'Data Vlaue (Cr)'!$C:$FB,82)</f>
        <v>2.35E-2</v>
      </c>
    </row>
    <row r="123" spans="1:15" x14ac:dyDescent="0.25">
      <c r="A123" s="97" t="str">
        <f>'Data Vlaue (Cr)'!C118</f>
        <v>LAURUSLABS</v>
      </c>
      <c r="B123" s="142">
        <f>VLOOKUP(A123,'Data Vlaue (Cr)'!C118:CW336,99,0)</f>
        <v>2830</v>
      </c>
      <c r="C123" s="90">
        <f>VLOOKUP(A123,'Data Vlaue (Cr)'!C118:CY336,101,0)</f>
        <v>60</v>
      </c>
      <c r="D123" s="139">
        <f>VLOOKUP(A123,'Data Vlaue (Cr)'!C118:CZ336,102,0)</f>
        <v>2.1499999999999998E-2</v>
      </c>
      <c r="E123" s="91">
        <f>VLOOKUP($A123,'Data Vlaue (Cr)'!$C:$FB,75)</f>
        <v>1879</v>
      </c>
      <c r="F123" s="91">
        <f>VLOOKUP($A123,'Data Vlaue (Cr)'!$C:$FB,77)</f>
        <v>-2</v>
      </c>
      <c r="G123" s="92">
        <f>VLOOKUP(A123,'Data Vlaue (Cr)'!C118:CB336,78,0)</f>
        <v>-1.1000000000000001E-3</v>
      </c>
      <c r="H123" s="91">
        <f>VLOOKUP($A123,'Data Vlaue (Cr)'!$C:$FB,91)</f>
        <v>533</v>
      </c>
      <c r="I123" s="91">
        <f>VLOOKUP($A123,'Data Vlaue (Cr)'!$C:$FB,93)</f>
        <v>37</v>
      </c>
      <c r="J123" s="92">
        <f>VLOOKUP($A123,'Data Vlaue (Cr)'!$C:$FB,94)</f>
        <v>7.51E-2</v>
      </c>
      <c r="K123" s="91">
        <f>VLOOKUP($A123,'Data Vlaue (Cr)'!$C:$FB,95)</f>
        <v>418</v>
      </c>
      <c r="L123" s="91">
        <f>VLOOKUP($A123,'Data Vlaue (Cr)'!$C:$FB,97)</f>
        <v>24</v>
      </c>
      <c r="M123" s="92">
        <f>VLOOKUP($A123,'Data Vlaue (Cr)'!$C:$FB,98)</f>
        <v>6.1800000000000001E-2</v>
      </c>
      <c r="N123" s="91">
        <f>VLOOKUP($A123,'Data Vlaue (Cr)'!$C:$FB,79)</f>
        <v>1818</v>
      </c>
      <c r="O123" s="92">
        <f>VLOOKUP($A123,'Data Vlaue (Cr)'!$C:$FB,82)</f>
        <v>-5.1999999999999998E-3</v>
      </c>
    </row>
    <row r="124" spans="1:15" x14ac:dyDescent="0.25">
      <c r="A124" s="97" t="str">
        <f>'Data Vlaue (Cr)'!C119</f>
        <v>LICHSGFIN</v>
      </c>
      <c r="B124" s="142">
        <f>VLOOKUP(A124,'Data Vlaue (Cr)'!C119:CW337,99,0)</f>
        <v>2293</v>
      </c>
      <c r="C124" s="90">
        <f>VLOOKUP(A124,'Data Vlaue (Cr)'!C119:CY337,101,0)</f>
        <v>0</v>
      </c>
      <c r="D124" s="139">
        <f>VLOOKUP(A124,'Data Vlaue (Cr)'!C119:CZ337,102,0)</f>
        <v>1E-4</v>
      </c>
      <c r="E124" s="91">
        <f>VLOOKUP($A124,'Data Vlaue (Cr)'!$C:$FB,75)</f>
        <v>1790</v>
      </c>
      <c r="F124" s="91">
        <f>VLOOKUP($A124,'Data Vlaue (Cr)'!$C:$FB,77)</f>
        <v>-6</v>
      </c>
      <c r="G124" s="92">
        <f>VLOOKUP(A124,'Data Vlaue (Cr)'!C119:CB337,78,0)</f>
        <v>-3.3E-3</v>
      </c>
      <c r="H124" s="91">
        <f>VLOOKUP($A124,'Data Vlaue (Cr)'!$C:$FB,91)</f>
        <v>233</v>
      </c>
      <c r="I124" s="91">
        <f>VLOOKUP($A124,'Data Vlaue (Cr)'!$C:$FB,93)</f>
        <v>13</v>
      </c>
      <c r="J124" s="92">
        <f>VLOOKUP($A124,'Data Vlaue (Cr)'!$C:$FB,94)</f>
        <v>5.7299999999999997E-2</v>
      </c>
      <c r="K124" s="91">
        <f>VLOOKUP($A124,'Data Vlaue (Cr)'!$C:$FB,95)</f>
        <v>270</v>
      </c>
      <c r="L124" s="91">
        <f>VLOOKUP($A124,'Data Vlaue (Cr)'!$C:$FB,97)</f>
        <v>-6</v>
      </c>
      <c r="M124" s="92">
        <f>VLOOKUP($A124,'Data Vlaue (Cr)'!$C:$FB,98)</f>
        <v>-2.3300000000000001E-2</v>
      </c>
      <c r="N124" s="91">
        <f>VLOOKUP($A124,'Data Vlaue (Cr)'!$C:$FB,79)</f>
        <v>1756</v>
      </c>
      <c r="O124" s="92">
        <f>VLOOKUP($A124,'Data Vlaue (Cr)'!$C:$FB,82)</f>
        <v>-4.8999999999999998E-3</v>
      </c>
    </row>
    <row r="125" spans="1:15" x14ac:dyDescent="0.25">
      <c r="A125" s="97" t="str">
        <f>'Data Vlaue (Cr)'!C120</f>
        <v>LICI</v>
      </c>
      <c r="B125" s="142">
        <f>VLOOKUP(A125,'Data Vlaue (Cr)'!C120:CW338,99,0)</f>
        <v>1300</v>
      </c>
      <c r="C125" s="90">
        <f>VLOOKUP(A125,'Data Vlaue (Cr)'!C120:CY338,101,0)</f>
        <v>49</v>
      </c>
      <c r="D125" s="139">
        <f>VLOOKUP(A125,'Data Vlaue (Cr)'!C120:CZ338,102,0)</f>
        <v>3.8899999999999997E-2</v>
      </c>
      <c r="E125" s="91">
        <f>VLOOKUP($A125,'Data Vlaue (Cr)'!$C:$FB,75)</f>
        <v>729</v>
      </c>
      <c r="F125" s="91">
        <f>VLOOKUP($A125,'Data Vlaue (Cr)'!$C:$FB,77)</f>
        <v>24</v>
      </c>
      <c r="G125" s="92">
        <f>VLOOKUP(A125,'Data Vlaue (Cr)'!C120:CB338,78,0)</f>
        <v>3.4000000000000002E-2</v>
      </c>
      <c r="H125" s="91">
        <f>VLOOKUP($A125,'Data Vlaue (Cr)'!$C:$FB,91)</f>
        <v>347</v>
      </c>
      <c r="I125" s="91">
        <f>VLOOKUP($A125,'Data Vlaue (Cr)'!$C:$FB,93)</f>
        <v>8</v>
      </c>
      <c r="J125" s="92">
        <f>VLOOKUP($A125,'Data Vlaue (Cr)'!$C:$FB,94)</f>
        <v>2.3599999999999999E-2</v>
      </c>
      <c r="K125" s="91">
        <f>VLOOKUP($A125,'Data Vlaue (Cr)'!$C:$FB,95)</f>
        <v>224</v>
      </c>
      <c r="L125" s="91">
        <f>VLOOKUP($A125,'Data Vlaue (Cr)'!$C:$FB,97)</f>
        <v>17</v>
      </c>
      <c r="M125" s="92">
        <f>VLOOKUP($A125,'Data Vlaue (Cr)'!$C:$FB,98)</f>
        <v>8.0600000000000005E-2</v>
      </c>
      <c r="N125" s="91">
        <f>VLOOKUP($A125,'Data Vlaue (Cr)'!$C:$FB,79)</f>
        <v>666</v>
      </c>
      <c r="O125" s="92">
        <f>VLOOKUP($A125,'Data Vlaue (Cr)'!$C:$FB,82)</f>
        <v>2.4299999999999999E-2</v>
      </c>
    </row>
    <row r="126" spans="1:15" x14ac:dyDescent="0.25">
      <c r="A126" s="97" t="str">
        <f>'Data Vlaue (Cr)'!C121</f>
        <v>LODHA</v>
      </c>
      <c r="B126" s="142">
        <f>VLOOKUP(A126,'Data Vlaue (Cr)'!C121:CW339,99,0)</f>
        <v>2683</v>
      </c>
      <c r="C126" s="90">
        <f>VLOOKUP(A126,'Data Vlaue (Cr)'!C121:CY339,101,0)</f>
        <v>-7</v>
      </c>
      <c r="D126" s="139">
        <f>VLOOKUP(A126,'Data Vlaue (Cr)'!C121:CZ339,102,0)</f>
        <v>-2.5000000000000001E-3</v>
      </c>
      <c r="E126" s="91">
        <f>VLOOKUP($A126,'Data Vlaue (Cr)'!$C:$FB,75)</f>
        <v>1866</v>
      </c>
      <c r="F126" s="91">
        <f>VLOOKUP($A126,'Data Vlaue (Cr)'!$C:$FB,77)</f>
        <v>-30</v>
      </c>
      <c r="G126" s="92">
        <f>VLOOKUP(A126,'Data Vlaue (Cr)'!C121:CB339,78,0)</f>
        <v>-1.5699999999999999E-2</v>
      </c>
      <c r="H126" s="91">
        <f>VLOOKUP($A126,'Data Vlaue (Cr)'!$C:$FB,91)</f>
        <v>466</v>
      </c>
      <c r="I126" s="91">
        <f>VLOOKUP($A126,'Data Vlaue (Cr)'!$C:$FB,93)</f>
        <v>-4</v>
      </c>
      <c r="J126" s="92">
        <f>VLOOKUP($A126,'Data Vlaue (Cr)'!$C:$FB,94)</f>
        <v>-7.6E-3</v>
      </c>
      <c r="K126" s="91">
        <f>VLOOKUP($A126,'Data Vlaue (Cr)'!$C:$FB,95)</f>
        <v>351</v>
      </c>
      <c r="L126" s="91">
        <f>VLOOKUP($A126,'Data Vlaue (Cr)'!$C:$FB,97)</f>
        <v>26</v>
      </c>
      <c r="M126" s="92">
        <f>VLOOKUP($A126,'Data Vlaue (Cr)'!$C:$FB,98)</f>
        <v>8.1600000000000006E-2</v>
      </c>
      <c r="N126" s="91">
        <f>VLOOKUP($A126,'Data Vlaue (Cr)'!$C:$FB,79)</f>
        <v>1775</v>
      </c>
      <c r="O126" s="92">
        <f>VLOOKUP($A126,'Data Vlaue (Cr)'!$C:$FB,82)</f>
        <v>-1.6799999999999999E-2</v>
      </c>
    </row>
    <row r="127" spans="1:15" x14ac:dyDescent="0.25">
      <c r="A127" s="97" t="str">
        <f>'Data Vlaue (Cr)'!C122</f>
        <v>LT</v>
      </c>
      <c r="B127" s="142">
        <f>VLOOKUP(A127,'Data Vlaue (Cr)'!C122:CW340,99,0)</f>
        <v>11769</v>
      </c>
      <c r="C127" s="90">
        <f>VLOOKUP(A127,'Data Vlaue (Cr)'!C122:CY340,101,0)</f>
        <v>755</v>
      </c>
      <c r="D127" s="139">
        <f>VLOOKUP(A127,'Data Vlaue (Cr)'!C122:CZ340,102,0)</f>
        <v>6.8599999999999994E-2</v>
      </c>
      <c r="E127" s="91">
        <f>VLOOKUP($A127,'Data Vlaue (Cr)'!$C:$FB,75)</f>
        <v>6135</v>
      </c>
      <c r="F127" s="91">
        <f>VLOOKUP($A127,'Data Vlaue (Cr)'!$C:$FB,77)</f>
        <v>190</v>
      </c>
      <c r="G127" s="92">
        <f>VLOOKUP(A127,'Data Vlaue (Cr)'!C122:CB340,78,0)</f>
        <v>3.2000000000000001E-2</v>
      </c>
      <c r="H127" s="91">
        <f>VLOOKUP($A127,'Data Vlaue (Cr)'!$C:$FB,91)</f>
        <v>3240</v>
      </c>
      <c r="I127" s="91">
        <f>VLOOKUP($A127,'Data Vlaue (Cr)'!$C:$FB,93)</f>
        <v>501</v>
      </c>
      <c r="J127" s="92">
        <f>VLOOKUP($A127,'Data Vlaue (Cr)'!$C:$FB,94)</f>
        <v>0.18310000000000001</v>
      </c>
      <c r="K127" s="91">
        <f>VLOOKUP($A127,'Data Vlaue (Cr)'!$C:$FB,95)</f>
        <v>2394</v>
      </c>
      <c r="L127" s="91">
        <f>VLOOKUP($A127,'Data Vlaue (Cr)'!$C:$FB,97)</f>
        <v>63</v>
      </c>
      <c r="M127" s="92">
        <f>VLOOKUP($A127,'Data Vlaue (Cr)'!$C:$FB,98)</f>
        <v>2.7199999999999998E-2</v>
      </c>
      <c r="N127" s="91">
        <f>VLOOKUP($A127,'Data Vlaue (Cr)'!$C:$FB,79)</f>
        <v>5231</v>
      </c>
      <c r="O127" s="92">
        <f>VLOOKUP($A127,'Data Vlaue (Cr)'!$C:$FB,82)</f>
        <v>2.64E-2</v>
      </c>
    </row>
    <row r="128" spans="1:15" x14ac:dyDescent="0.25">
      <c r="A128" s="97" t="str">
        <f>'Data Vlaue (Cr)'!C123</f>
        <v>LTF</v>
      </c>
      <c r="B128" s="142">
        <f>VLOOKUP(A128,'Data Vlaue (Cr)'!C123:CW341,99,0)</f>
        <v>2388</v>
      </c>
      <c r="C128" s="90">
        <f>VLOOKUP(A128,'Data Vlaue (Cr)'!C123:CY341,101,0)</f>
        <v>62</v>
      </c>
      <c r="D128" s="139">
        <f>VLOOKUP(A128,'Data Vlaue (Cr)'!C123:CZ341,102,0)</f>
        <v>2.6700000000000002E-2</v>
      </c>
      <c r="E128" s="91">
        <f>VLOOKUP($A128,'Data Vlaue (Cr)'!$C:$FB,75)</f>
        <v>1479</v>
      </c>
      <c r="F128" s="91">
        <f>VLOOKUP($A128,'Data Vlaue (Cr)'!$C:$FB,77)</f>
        <v>34</v>
      </c>
      <c r="G128" s="92">
        <f>VLOOKUP(A128,'Data Vlaue (Cr)'!C123:CB341,78,0)</f>
        <v>2.3800000000000002E-2</v>
      </c>
      <c r="H128" s="91">
        <f>VLOOKUP($A128,'Data Vlaue (Cr)'!$C:$FB,91)</f>
        <v>506</v>
      </c>
      <c r="I128" s="91">
        <f>VLOOKUP($A128,'Data Vlaue (Cr)'!$C:$FB,93)</f>
        <v>7</v>
      </c>
      <c r="J128" s="92">
        <f>VLOOKUP($A128,'Data Vlaue (Cr)'!$C:$FB,94)</f>
        <v>1.49E-2</v>
      </c>
      <c r="K128" s="91">
        <f>VLOOKUP($A128,'Data Vlaue (Cr)'!$C:$FB,95)</f>
        <v>403</v>
      </c>
      <c r="L128" s="91">
        <f>VLOOKUP($A128,'Data Vlaue (Cr)'!$C:$FB,97)</f>
        <v>20</v>
      </c>
      <c r="M128" s="92">
        <f>VLOOKUP($A128,'Data Vlaue (Cr)'!$C:$FB,98)</f>
        <v>5.3199999999999997E-2</v>
      </c>
      <c r="N128" s="91">
        <f>VLOOKUP($A128,'Data Vlaue (Cr)'!$C:$FB,79)</f>
        <v>1434</v>
      </c>
      <c r="O128" s="92">
        <f>VLOOKUP($A128,'Data Vlaue (Cr)'!$C:$FB,82)</f>
        <v>1.34E-2</v>
      </c>
    </row>
    <row r="129" spans="1:15" x14ac:dyDescent="0.25">
      <c r="A129" s="97" t="str">
        <f>'Data Vlaue (Cr)'!C124</f>
        <v>LTM</v>
      </c>
      <c r="B129" s="142">
        <f>VLOOKUP(A129,'Data Vlaue (Cr)'!C124:CW342,99,0)</f>
        <v>2563</v>
      </c>
      <c r="C129" s="90">
        <f>VLOOKUP(A129,'Data Vlaue (Cr)'!C124:CY342,101,0)</f>
        <v>67</v>
      </c>
      <c r="D129" s="139">
        <f>VLOOKUP(A129,'Data Vlaue (Cr)'!C124:CZ342,102,0)</f>
        <v>2.69E-2</v>
      </c>
      <c r="E129" s="91">
        <f>VLOOKUP($A129,'Data Vlaue (Cr)'!$C:$FB,75)</f>
        <v>1804</v>
      </c>
      <c r="F129" s="91">
        <f>VLOOKUP($A129,'Data Vlaue (Cr)'!$C:$FB,77)</f>
        <v>32</v>
      </c>
      <c r="G129" s="92">
        <f>VLOOKUP(A129,'Data Vlaue (Cr)'!C124:CB342,78,0)</f>
        <v>1.8100000000000002E-2</v>
      </c>
      <c r="H129" s="91">
        <f>VLOOKUP($A129,'Data Vlaue (Cr)'!$C:$FB,91)</f>
        <v>395</v>
      </c>
      <c r="I129" s="91">
        <f>VLOOKUP($A129,'Data Vlaue (Cr)'!$C:$FB,93)</f>
        <v>16</v>
      </c>
      <c r="J129" s="92">
        <f>VLOOKUP($A129,'Data Vlaue (Cr)'!$C:$FB,94)</f>
        <v>4.1500000000000002E-2</v>
      </c>
      <c r="K129" s="91">
        <f>VLOOKUP($A129,'Data Vlaue (Cr)'!$C:$FB,95)</f>
        <v>364</v>
      </c>
      <c r="L129" s="91">
        <f>VLOOKUP($A129,'Data Vlaue (Cr)'!$C:$FB,97)</f>
        <v>20</v>
      </c>
      <c r="M129" s="92">
        <f>VLOOKUP($A129,'Data Vlaue (Cr)'!$C:$FB,98)</f>
        <v>5.67E-2</v>
      </c>
      <c r="N129" s="91">
        <f>VLOOKUP($A129,'Data Vlaue (Cr)'!$C:$FB,79)</f>
        <v>1727</v>
      </c>
      <c r="O129" s="92">
        <f>VLOOKUP($A129,'Data Vlaue (Cr)'!$C:$FB,82)</f>
        <v>1.2200000000000001E-2</v>
      </c>
    </row>
    <row r="130" spans="1:15" x14ac:dyDescent="0.25">
      <c r="A130" s="97" t="str">
        <f>'Data Vlaue (Cr)'!C125</f>
        <v>LUPIN</v>
      </c>
      <c r="B130" s="142">
        <f>VLOOKUP(A130,'Data Vlaue (Cr)'!C125:CW343,99,0)</f>
        <v>2329</v>
      </c>
      <c r="C130" s="90">
        <f>VLOOKUP(A130,'Data Vlaue (Cr)'!C125:CY343,101,0)</f>
        <v>58</v>
      </c>
      <c r="D130" s="139">
        <f>VLOOKUP(A130,'Data Vlaue (Cr)'!C125:CZ343,102,0)</f>
        <v>2.5600000000000001E-2</v>
      </c>
      <c r="E130" s="91">
        <f>VLOOKUP($A130,'Data Vlaue (Cr)'!$C:$FB,75)</f>
        <v>1513</v>
      </c>
      <c r="F130" s="91">
        <f>VLOOKUP($A130,'Data Vlaue (Cr)'!$C:$FB,77)</f>
        <v>50</v>
      </c>
      <c r="G130" s="92">
        <f>VLOOKUP(A130,'Data Vlaue (Cr)'!C125:CB343,78,0)</f>
        <v>3.3799999999999997E-2</v>
      </c>
      <c r="H130" s="91">
        <f>VLOOKUP($A130,'Data Vlaue (Cr)'!$C:$FB,91)</f>
        <v>459</v>
      </c>
      <c r="I130" s="91">
        <f>VLOOKUP($A130,'Data Vlaue (Cr)'!$C:$FB,93)</f>
        <v>7</v>
      </c>
      <c r="J130" s="92">
        <f>VLOOKUP($A130,'Data Vlaue (Cr)'!$C:$FB,94)</f>
        <v>1.47E-2</v>
      </c>
      <c r="K130" s="91">
        <f>VLOOKUP($A130,'Data Vlaue (Cr)'!$C:$FB,95)</f>
        <v>357</v>
      </c>
      <c r="L130" s="91">
        <f>VLOOKUP($A130,'Data Vlaue (Cr)'!$C:$FB,97)</f>
        <v>2</v>
      </c>
      <c r="M130" s="92">
        <f>VLOOKUP($A130,'Data Vlaue (Cr)'!$C:$FB,98)</f>
        <v>5.1999999999999998E-3</v>
      </c>
      <c r="N130" s="91">
        <f>VLOOKUP($A130,'Data Vlaue (Cr)'!$C:$FB,79)</f>
        <v>1475</v>
      </c>
      <c r="O130" s="92">
        <f>VLOOKUP($A130,'Data Vlaue (Cr)'!$C:$FB,82)</f>
        <v>3.2899999999999999E-2</v>
      </c>
    </row>
    <row r="131" spans="1:15" x14ac:dyDescent="0.25">
      <c r="A131" s="97" t="str">
        <f>'Data Vlaue (Cr)'!C126</f>
        <v>M&amp;M</v>
      </c>
      <c r="B131" s="142">
        <f>VLOOKUP(A131,'Data Vlaue (Cr)'!C126:CW344,99,0)</f>
        <v>8620</v>
      </c>
      <c r="C131" s="90">
        <f>VLOOKUP(A131,'Data Vlaue (Cr)'!C126:CY344,101,0)</f>
        <v>102</v>
      </c>
      <c r="D131" s="139">
        <f>VLOOKUP(A131,'Data Vlaue (Cr)'!C126:CZ344,102,0)</f>
        <v>1.2E-2</v>
      </c>
      <c r="E131" s="91">
        <f>VLOOKUP($A131,'Data Vlaue (Cr)'!$C:$FB,75)</f>
        <v>6356</v>
      </c>
      <c r="F131" s="91">
        <f>VLOOKUP($A131,'Data Vlaue (Cr)'!$C:$FB,77)</f>
        <v>-3</v>
      </c>
      <c r="G131" s="92">
        <f>VLOOKUP(A131,'Data Vlaue (Cr)'!C126:CB344,78,0)</f>
        <v>-5.0000000000000001E-4</v>
      </c>
      <c r="H131" s="91">
        <f>VLOOKUP($A131,'Data Vlaue (Cr)'!$C:$FB,91)</f>
        <v>1258</v>
      </c>
      <c r="I131" s="91">
        <f>VLOOKUP($A131,'Data Vlaue (Cr)'!$C:$FB,93)</f>
        <v>120</v>
      </c>
      <c r="J131" s="92">
        <f>VLOOKUP($A131,'Data Vlaue (Cr)'!$C:$FB,94)</f>
        <v>0.1052</v>
      </c>
      <c r="K131" s="91">
        <f>VLOOKUP($A131,'Data Vlaue (Cr)'!$C:$FB,95)</f>
        <v>1006</v>
      </c>
      <c r="L131" s="91">
        <f>VLOOKUP($A131,'Data Vlaue (Cr)'!$C:$FB,97)</f>
        <v>-14</v>
      </c>
      <c r="M131" s="92">
        <f>VLOOKUP($A131,'Data Vlaue (Cr)'!$C:$FB,98)</f>
        <v>-1.4E-2</v>
      </c>
      <c r="N131" s="91">
        <f>VLOOKUP($A131,'Data Vlaue (Cr)'!$C:$FB,79)</f>
        <v>5432</v>
      </c>
      <c r="O131" s="92">
        <f>VLOOKUP($A131,'Data Vlaue (Cr)'!$C:$FB,82)</f>
        <v>-4.1999999999999997E-3</v>
      </c>
    </row>
    <row r="132" spans="1:15" x14ac:dyDescent="0.25">
      <c r="A132" s="97" t="str">
        <f>'Data Vlaue (Cr)'!C127</f>
        <v>MANAPPURAM</v>
      </c>
      <c r="B132" s="142">
        <f>VLOOKUP(A132,'Data Vlaue (Cr)'!C127:CW345,99,0)</f>
        <v>1963</v>
      </c>
      <c r="C132" s="90">
        <f>VLOOKUP(A132,'Data Vlaue (Cr)'!C127:CY345,101,0)</f>
        <v>34</v>
      </c>
      <c r="D132" s="139">
        <f>VLOOKUP(A132,'Data Vlaue (Cr)'!C127:CZ345,102,0)</f>
        <v>1.7399999999999999E-2</v>
      </c>
      <c r="E132" s="91">
        <f>VLOOKUP($A132,'Data Vlaue (Cr)'!$C:$FB,75)</f>
        <v>1370</v>
      </c>
      <c r="F132" s="91">
        <f>VLOOKUP($A132,'Data Vlaue (Cr)'!$C:$FB,77)</f>
        <v>16</v>
      </c>
      <c r="G132" s="92">
        <f>VLOOKUP(A132,'Data Vlaue (Cr)'!C127:CB345,78,0)</f>
        <v>1.2E-2</v>
      </c>
      <c r="H132" s="91">
        <f>VLOOKUP($A132,'Data Vlaue (Cr)'!$C:$FB,91)</f>
        <v>354</v>
      </c>
      <c r="I132" s="91">
        <f>VLOOKUP($A132,'Data Vlaue (Cr)'!$C:$FB,93)</f>
        <v>11</v>
      </c>
      <c r="J132" s="92">
        <f>VLOOKUP($A132,'Data Vlaue (Cr)'!$C:$FB,94)</f>
        <v>3.1399999999999997E-2</v>
      </c>
      <c r="K132" s="91">
        <f>VLOOKUP($A132,'Data Vlaue (Cr)'!$C:$FB,95)</f>
        <v>238</v>
      </c>
      <c r="L132" s="91">
        <f>VLOOKUP($A132,'Data Vlaue (Cr)'!$C:$FB,97)</f>
        <v>7</v>
      </c>
      <c r="M132" s="92">
        <f>VLOOKUP($A132,'Data Vlaue (Cr)'!$C:$FB,98)</f>
        <v>2.8400000000000002E-2</v>
      </c>
      <c r="N132" s="91">
        <f>VLOOKUP($A132,'Data Vlaue (Cr)'!$C:$FB,79)</f>
        <v>1350</v>
      </c>
      <c r="O132" s="92">
        <f>VLOOKUP($A132,'Data Vlaue (Cr)'!$C:$FB,82)</f>
        <v>8.8000000000000005E-3</v>
      </c>
    </row>
    <row r="133" spans="1:15" x14ac:dyDescent="0.25">
      <c r="A133" s="97" t="str">
        <f>'Data Vlaue (Cr)'!C128</f>
        <v>MANKIND</v>
      </c>
      <c r="B133" s="142">
        <f>VLOOKUP(A133,'Data Vlaue (Cr)'!C128:CW346,99,0)</f>
        <v>721</v>
      </c>
      <c r="C133" s="90">
        <f>VLOOKUP(A133,'Data Vlaue (Cr)'!C128:CY346,101,0)</f>
        <v>6</v>
      </c>
      <c r="D133" s="139">
        <f>VLOOKUP(A133,'Data Vlaue (Cr)'!C128:CZ346,102,0)</f>
        <v>8.0000000000000002E-3</v>
      </c>
      <c r="E133" s="91">
        <f>VLOOKUP($A133,'Data Vlaue (Cr)'!$C:$FB,75)</f>
        <v>579</v>
      </c>
      <c r="F133" s="91">
        <f>VLOOKUP($A133,'Data Vlaue (Cr)'!$C:$FB,77)</f>
        <v>10</v>
      </c>
      <c r="G133" s="92">
        <f>VLOOKUP(A133,'Data Vlaue (Cr)'!C128:CB346,78,0)</f>
        <v>1.7999999999999999E-2</v>
      </c>
      <c r="H133" s="91">
        <f>VLOOKUP($A133,'Data Vlaue (Cr)'!$C:$FB,91)</f>
        <v>91</v>
      </c>
      <c r="I133" s="91">
        <f>VLOOKUP($A133,'Data Vlaue (Cr)'!$C:$FB,93)</f>
        <v>-4</v>
      </c>
      <c r="J133" s="92">
        <f>VLOOKUP($A133,'Data Vlaue (Cr)'!$C:$FB,94)</f>
        <v>-4.3200000000000002E-2</v>
      </c>
      <c r="K133" s="91">
        <f>VLOOKUP($A133,'Data Vlaue (Cr)'!$C:$FB,95)</f>
        <v>51</v>
      </c>
      <c r="L133" s="91">
        <f>VLOOKUP($A133,'Data Vlaue (Cr)'!$C:$FB,97)</f>
        <v>0</v>
      </c>
      <c r="M133" s="92">
        <f>VLOOKUP($A133,'Data Vlaue (Cr)'!$C:$FB,98)</f>
        <v>-7.1999999999999998E-3</v>
      </c>
      <c r="N133" s="91">
        <f>VLOOKUP($A133,'Data Vlaue (Cr)'!$C:$FB,79)</f>
        <v>549</v>
      </c>
      <c r="O133" s="92">
        <f>VLOOKUP($A133,'Data Vlaue (Cr)'!$C:$FB,82)</f>
        <v>1.89E-2</v>
      </c>
    </row>
    <row r="134" spans="1:15" x14ac:dyDescent="0.25">
      <c r="A134" s="97" t="str">
        <f>'Data Vlaue (Cr)'!C129</f>
        <v>MARICO</v>
      </c>
      <c r="B134" s="142">
        <f>VLOOKUP(A134,'Data Vlaue (Cr)'!C129:CW347,99,0)</f>
        <v>2606</v>
      </c>
      <c r="C134" s="90">
        <f>VLOOKUP(A134,'Data Vlaue (Cr)'!C129:CY347,101,0)</f>
        <v>43</v>
      </c>
      <c r="D134" s="139">
        <f>VLOOKUP(A134,'Data Vlaue (Cr)'!C129:CZ347,102,0)</f>
        <v>1.66E-2</v>
      </c>
      <c r="E134" s="91">
        <f>VLOOKUP($A134,'Data Vlaue (Cr)'!$C:$FB,75)</f>
        <v>1986</v>
      </c>
      <c r="F134" s="91">
        <f>VLOOKUP($A134,'Data Vlaue (Cr)'!$C:$FB,77)</f>
        <v>18</v>
      </c>
      <c r="G134" s="92">
        <f>VLOOKUP(A134,'Data Vlaue (Cr)'!C129:CB347,78,0)</f>
        <v>9.1000000000000004E-3</v>
      </c>
      <c r="H134" s="91">
        <f>VLOOKUP($A134,'Data Vlaue (Cr)'!$C:$FB,91)</f>
        <v>301</v>
      </c>
      <c r="I134" s="91">
        <f>VLOOKUP($A134,'Data Vlaue (Cr)'!$C:$FB,93)</f>
        <v>5</v>
      </c>
      <c r="J134" s="92">
        <f>VLOOKUP($A134,'Data Vlaue (Cr)'!$C:$FB,94)</f>
        <v>1.8599999999999998E-2</v>
      </c>
      <c r="K134" s="91">
        <f>VLOOKUP($A134,'Data Vlaue (Cr)'!$C:$FB,95)</f>
        <v>319</v>
      </c>
      <c r="L134" s="91">
        <f>VLOOKUP($A134,'Data Vlaue (Cr)'!$C:$FB,97)</f>
        <v>19</v>
      </c>
      <c r="M134" s="92">
        <f>VLOOKUP($A134,'Data Vlaue (Cr)'!$C:$FB,98)</f>
        <v>6.4000000000000001E-2</v>
      </c>
      <c r="N134" s="91">
        <f>VLOOKUP($A134,'Data Vlaue (Cr)'!$C:$FB,79)</f>
        <v>1976</v>
      </c>
      <c r="O134" s="92">
        <f>VLOOKUP($A134,'Data Vlaue (Cr)'!$C:$FB,82)</f>
        <v>8.6E-3</v>
      </c>
    </row>
    <row r="135" spans="1:15" x14ac:dyDescent="0.25">
      <c r="A135" s="97" t="str">
        <f>'Data Vlaue (Cr)'!C130</f>
        <v>MARUTI</v>
      </c>
      <c r="B135" s="142">
        <f>VLOOKUP(A135,'Data Vlaue (Cr)'!C130:CW348,99,0)</f>
        <v>7845</v>
      </c>
      <c r="C135" s="90">
        <f>VLOOKUP(A135,'Data Vlaue (Cr)'!C130:CY348,101,0)</f>
        <v>233</v>
      </c>
      <c r="D135" s="139">
        <f>VLOOKUP(A135,'Data Vlaue (Cr)'!C130:CZ348,102,0)</f>
        <v>3.0599999999999999E-2</v>
      </c>
      <c r="E135" s="91">
        <f>VLOOKUP($A135,'Data Vlaue (Cr)'!$C:$FB,75)</f>
        <v>4558</v>
      </c>
      <c r="F135" s="91">
        <f>VLOOKUP($A135,'Data Vlaue (Cr)'!$C:$FB,77)</f>
        <v>-69</v>
      </c>
      <c r="G135" s="92">
        <f>VLOOKUP(A135,'Data Vlaue (Cr)'!C130:CB348,78,0)</f>
        <v>-1.4800000000000001E-2</v>
      </c>
      <c r="H135" s="91">
        <f>VLOOKUP($A135,'Data Vlaue (Cr)'!$C:$FB,91)</f>
        <v>2014</v>
      </c>
      <c r="I135" s="91">
        <f>VLOOKUP($A135,'Data Vlaue (Cr)'!$C:$FB,93)</f>
        <v>246</v>
      </c>
      <c r="J135" s="92">
        <f>VLOOKUP($A135,'Data Vlaue (Cr)'!$C:$FB,94)</f>
        <v>0.1394</v>
      </c>
      <c r="K135" s="91">
        <f>VLOOKUP($A135,'Data Vlaue (Cr)'!$C:$FB,95)</f>
        <v>1274</v>
      </c>
      <c r="L135" s="91">
        <f>VLOOKUP($A135,'Data Vlaue (Cr)'!$C:$FB,97)</f>
        <v>55</v>
      </c>
      <c r="M135" s="92">
        <f>VLOOKUP($A135,'Data Vlaue (Cr)'!$C:$FB,98)</f>
        <v>4.4900000000000002E-2</v>
      </c>
      <c r="N135" s="91">
        <f>VLOOKUP($A135,'Data Vlaue (Cr)'!$C:$FB,79)</f>
        <v>4150</v>
      </c>
      <c r="O135" s="92">
        <f>VLOOKUP($A135,'Data Vlaue (Cr)'!$C:$FB,82)</f>
        <v>-1.7999999999999999E-2</v>
      </c>
    </row>
    <row r="136" spans="1:15" x14ac:dyDescent="0.25">
      <c r="A136" s="97" t="str">
        <f>'Data Vlaue (Cr)'!C131</f>
        <v>MAXHEALTH</v>
      </c>
      <c r="B136" s="142">
        <f>VLOOKUP(A136,'Data Vlaue (Cr)'!C131:CW349,99,0)</f>
        <v>1782</v>
      </c>
      <c r="C136" s="90">
        <f>VLOOKUP(A136,'Data Vlaue (Cr)'!C131:CY349,101,0)</f>
        <v>2</v>
      </c>
      <c r="D136" s="139">
        <f>VLOOKUP(A136,'Data Vlaue (Cr)'!C131:CZ349,102,0)</f>
        <v>1E-3</v>
      </c>
      <c r="E136" s="91">
        <f>VLOOKUP($A136,'Data Vlaue (Cr)'!$C:$FB,75)</f>
        <v>1383</v>
      </c>
      <c r="F136" s="91">
        <f>VLOOKUP($A136,'Data Vlaue (Cr)'!$C:$FB,77)</f>
        <v>-6</v>
      </c>
      <c r="G136" s="92">
        <f>VLOOKUP(A136,'Data Vlaue (Cr)'!C131:CB349,78,0)</f>
        <v>-4.0000000000000001E-3</v>
      </c>
      <c r="H136" s="91">
        <f>VLOOKUP($A136,'Data Vlaue (Cr)'!$C:$FB,91)</f>
        <v>242</v>
      </c>
      <c r="I136" s="91">
        <f>VLOOKUP($A136,'Data Vlaue (Cr)'!$C:$FB,93)</f>
        <v>-4</v>
      </c>
      <c r="J136" s="92">
        <f>VLOOKUP($A136,'Data Vlaue (Cr)'!$C:$FB,94)</f>
        <v>-1.5599999999999999E-2</v>
      </c>
      <c r="K136" s="91">
        <f>VLOOKUP($A136,'Data Vlaue (Cr)'!$C:$FB,95)</f>
        <v>157</v>
      </c>
      <c r="L136" s="91">
        <f>VLOOKUP($A136,'Data Vlaue (Cr)'!$C:$FB,97)</f>
        <v>11</v>
      </c>
      <c r="M136" s="92">
        <f>VLOOKUP($A136,'Data Vlaue (Cr)'!$C:$FB,98)</f>
        <v>7.6300000000000007E-2</v>
      </c>
      <c r="N136" s="91">
        <f>VLOOKUP($A136,'Data Vlaue (Cr)'!$C:$FB,79)</f>
        <v>1317</v>
      </c>
      <c r="O136" s="92">
        <f>VLOOKUP($A136,'Data Vlaue (Cr)'!$C:$FB,82)</f>
        <v>-6.8999999999999999E-3</v>
      </c>
    </row>
    <row r="137" spans="1:15" x14ac:dyDescent="0.25">
      <c r="A137" s="97" t="str">
        <f>'Data Vlaue (Cr)'!C132</f>
        <v>MAZDOCK</v>
      </c>
      <c r="B137" s="142">
        <f>VLOOKUP(A137,'Data Vlaue (Cr)'!C132:CW350,99,0)</f>
        <v>2262</v>
      </c>
      <c r="C137" s="90">
        <f>VLOOKUP(A137,'Data Vlaue (Cr)'!C132:CY350,101,0)</f>
        <v>116</v>
      </c>
      <c r="D137" s="139">
        <f>VLOOKUP(A137,'Data Vlaue (Cr)'!C132:CZ350,102,0)</f>
        <v>5.4199999999999998E-2</v>
      </c>
      <c r="E137" s="91">
        <f>VLOOKUP($A137,'Data Vlaue (Cr)'!$C:$FB,75)</f>
        <v>1106</v>
      </c>
      <c r="F137" s="91">
        <f>VLOOKUP($A137,'Data Vlaue (Cr)'!$C:$FB,77)</f>
        <v>19</v>
      </c>
      <c r="G137" s="92">
        <f>VLOOKUP(A137,'Data Vlaue (Cr)'!C132:CB350,78,0)</f>
        <v>1.7500000000000002E-2</v>
      </c>
      <c r="H137" s="91">
        <f>VLOOKUP($A137,'Data Vlaue (Cr)'!$C:$FB,91)</f>
        <v>635</v>
      </c>
      <c r="I137" s="91">
        <f>VLOOKUP($A137,'Data Vlaue (Cr)'!$C:$FB,93)</f>
        <v>44</v>
      </c>
      <c r="J137" s="92">
        <f>VLOOKUP($A137,'Data Vlaue (Cr)'!$C:$FB,94)</f>
        <v>7.5300000000000006E-2</v>
      </c>
      <c r="K137" s="91">
        <f>VLOOKUP($A137,'Data Vlaue (Cr)'!$C:$FB,95)</f>
        <v>522</v>
      </c>
      <c r="L137" s="91">
        <f>VLOOKUP($A137,'Data Vlaue (Cr)'!$C:$FB,97)</f>
        <v>53</v>
      </c>
      <c r="M137" s="92">
        <f>VLOOKUP($A137,'Data Vlaue (Cr)'!$C:$FB,98)</f>
        <v>0.1128</v>
      </c>
      <c r="N137" s="91">
        <f>VLOOKUP($A137,'Data Vlaue (Cr)'!$C:$FB,79)</f>
        <v>1062</v>
      </c>
      <c r="O137" s="92">
        <f>VLOOKUP($A137,'Data Vlaue (Cr)'!$C:$FB,82)</f>
        <v>1.5299999999999999E-2</v>
      </c>
    </row>
    <row r="138" spans="1:15" x14ac:dyDescent="0.25">
      <c r="A138" s="97" t="str">
        <f>'Data Vlaue (Cr)'!C133</f>
        <v>MCX</v>
      </c>
      <c r="B138" s="142">
        <f>VLOOKUP(A138,'Data Vlaue (Cr)'!C133:CW351,99,0)</f>
        <v>6406</v>
      </c>
      <c r="C138" s="90">
        <f>VLOOKUP(A138,'Data Vlaue (Cr)'!C133:CY351,101,0)</f>
        <v>345</v>
      </c>
      <c r="D138" s="139">
        <f>VLOOKUP(A138,'Data Vlaue (Cr)'!C133:CZ351,102,0)</f>
        <v>5.7000000000000002E-2</v>
      </c>
      <c r="E138" s="91">
        <f>VLOOKUP($A138,'Data Vlaue (Cr)'!$C:$FB,75)</f>
        <v>3450</v>
      </c>
      <c r="F138" s="91">
        <f>VLOOKUP($A138,'Data Vlaue (Cr)'!$C:$FB,77)</f>
        <v>35</v>
      </c>
      <c r="G138" s="92">
        <f>VLOOKUP(A138,'Data Vlaue (Cr)'!C133:CB351,78,0)</f>
        <v>1.03E-2</v>
      </c>
      <c r="H138" s="91">
        <f>VLOOKUP($A138,'Data Vlaue (Cr)'!$C:$FB,91)</f>
        <v>1542</v>
      </c>
      <c r="I138" s="91">
        <f>VLOOKUP($A138,'Data Vlaue (Cr)'!$C:$FB,93)</f>
        <v>103</v>
      </c>
      <c r="J138" s="92">
        <f>VLOOKUP($A138,'Data Vlaue (Cr)'!$C:$FB,94)</f>
        <v>7.1599999999999997E-2</v>
      </c>
      <c r="K138" s="91">
        <f>VLOOKUP($A138,'Data Vlaue (Cr)'!$C:$FB,95)</f>
        <v>1414</v>
      </c>
      <c r="L138" s="91">
        <f>VLOOKUP($A138,'Data Vlaue (Cr)'!$C:$FB,97)</f>
        <v>207</v>
      </c>
      <c r="M138" s="92">
        <f>VLOOKUP($A138,'Data Vlaue (Cr)'!$C:$FB,98)</f>
        <v>0.17169999999999999</v>
      </c>
      <c r="N138" s="91">
        <f>VLOOKUP($A138,'Data Vlaue (Cr)'!$C:$FB,79)</f>
        <v>3355</v>
      </c>
      <c r="O138" s="92">
        <f>VLOOKUP($A138,'Data Vlaue (Cr)'!$C:$FB,82)</f>
        <v>9.1000000000000004E-3</v>
      </c>
    </row>
    <row r="139" spans="1:15" x14ac:dyDescent="0.25">
      <c r="A139" s="97" t="str">
        <f>'Data Vlaue (Cr)'!C134</f>
        <v>MFSL</v>
      </c>
      <c r="B139" s="142">
        <f>VLOOKUP(A139,'Data Vlaue (Cr)'!C134:CW352,99,0)</f>
        <v>1843</v>
      </c>
      <c r="C139" s="90">
        <f>VLOOKUP(A139,'Data Vlaue (Cr)'!C134:CY352,101,0)</f>
        <v>-35</v>
      </c>
      <c r="D139" s="139">
        <f>VLOOKUP(A139,'Data Vlaue (Cr)'!C134:CZ352,102,0)</f>
        <v>-1.8499999999999999E-2</v>
      </c>
      <c r="E139" s="91">
        <f>VLOOKUP($A139,'Data Vlaue (Cr)'!$C:$FB,75)</f>
        <v>1680</v>
      </c>
      <c r="F139" s="91">
        <f>VLOOKUP($A139,'Data Vlaue (Cr)'!$C:$FB,77)</f>
        <v>-46</v>
      </c>
      <c r="G139" s="92">
        <f>VLOOKUP(A139,'Data Vlaue (Cr)'!C134:CB352,78,0)</f>
        <v>-2.6599999999999999E-2</v>
      </c>
      <c r="H139" s="91">
        <f>VLOOKUP($A139,'Data Vlaue (Cr)'!$C:$FB,91)</f>
        <v>92</v>
      </c>
      <c r="I139" s="91">
        <f>VLOOKUP($A139,'Data Vlaue (Cr)'!$C:$FB,93)</f>
        <v>1</v>
      </c>
      <c r="J139" s="92">
        <f>VLOOKUP($A139,'Data Vlaue (Cr)'!$C:$FB,94)</f>
        <v>1.6400000000000001E-2</v>
      </c>
      <c r="K139" s="91">
        <f>VLOOKUP($A139,'Data Vlaue (Cr)'!$C:$FB,95)</f>
        <v>71</v>
      </c>
      <c r="L139" s="91">
        <f>VLOOKUP($A139,'Data Vlaue (Cr)'!$C:$FB,97)</f>
        <v>10</v>
      </c>
      <c r="M139" s="92">
        <f>VLOOKUP($A139,'Data Vlaue (Cr)'!$C:$FB,98)</f>
        <v>0.1578</v>
      </c>
      <c r="N139" s="91">
        <f>VLOOKUP($A139,'Data Vlaue (Cr)'!$C:$FB,79)</f>
        <v>1678</v>
      </c>
      <c r="O139" s="92">
        <f>VLOOKUP($A139,'Data Vlaue (Cr)'!$C:$FB,82)</f>
        <v>-2.6700000000000002E-2</v>
      </c>
    </row>
    <row r="140" spans="1:15" x14ac:dyDescent="0.25">
      <c r="A140" s="97" t="str">
        <f>'Data Vlaue (Cr)'!C135</f>
        <v>MIDCPNIFTY</v>
      </c>
      <c r="B140" s="142">
        <f>VLOOKUP(A140,'Data Vlaue (Cr)'!C135:CW353,99,0)</f>
        <v>13734</v>
      </c>
      <c r="C140" s="90">
        <f>VLOOKUP(A140,'Data Vlaue (Cr)'!C135:CY353,101,0)</f>
        <v>1164</v>
      </c>
      <c r="D140" s="139">
        <f>VLOOKUP(A140,'Data Vlaue (Cr)'!C135:CZ353,102,0)</f>
        <v>9.2600000000000002E-2</v>
      </c>
      <c r="E140" s="91">
        <f>VLOOKUP($A140,'Data Vlaue (Cr)'!$C:$FB,75)</f>
        <v>3505</v>
      </c>
      <c r="F140" s="91">
        <f>VLOOKUP($A140,'Data Vlaue (Cr)'!$C:$FB,77)</f>
        <v>65</v>
      </c>
      <c r="G140" s="92">
        <f>VLOOKUP(A140,'Data Vlaue (Cr)'!C135:CB353,78,0)</f>
        <v>1.89E-2</v>
      </c>
      <c r="H140" s="91">
        <f>VLOOKUP($A140,'Data Vlaue (Cr)'!$C:$FB,91)</f>
        <v>4891</v>
      </c>
      <c r="I140" s="91">
        <f>VLOOKUP($A140,'Data Vlaue (Cr)'!$C:$FB,93)</f>
        <v>266</v>
      </c>
      <c r="J140" s="92">
        <f>VLOOKUP($A140,'Data Vlaue (Cr)'!$C:$FB,94)</f>
        <v>5.7599999999999998E-2</v>
      </c>
      <c r="K140" s="91">
        <f>VLOOKUP($A140,'Data Vlaue (Cr)'!$C:$FB,95)</f>
        <v>5338</v>
      </c>
      <c r="L140" s="91">
        <f>VLOOKUP($A140,'Data Vlaue (Cr)'!$C:$FB,97)</f>
        <v>833</v>
      </c>
      <c r="M140" s="92">
        <f>VLOOKUP($A140,'Data Vlaue (Cr)'!$C:$FB,98)</f>
        <v>0.18490000000000001</v>
      </c>
      <c r="N140" s="91">
        <f>VLOOKUP($A140,'Data Vlaue (Cr)'!$C:$FB,79)</f>
        <v>3379</v>
      </c>
      <c r="O140" s="92">
        <f>VLOOKUP($A140,'Data Vlaue (Cr)'!$C:$FB,82)</f>
        <v>1.9199999999999998E-2</v>
      </c>
    </row>
    <row r="141" spans="1:15" x14ac:dyDescent="0.25">
      <c r="A141" s="97" t="str">
        <f>'Data Vlaue (Cr)'!C136</f>
        <v>MOTHERSON</v>
      </c>
      <c r="B141" s="142">
        <f>VLOOKUP(A141,'Data Vlaue (Cr)'!C136:CW354,99,0)</f>
        <v>2343</v>
      </c>
      <c r="C141" s="90">
        <f>VLOOKUP(A141,'Data Vlaue (Cr)'!C136:CY354,101,0)</f>
        <v>4</v>
      </c>
      <c r="D141" s="139">
        <f>VLOOKUP(A141,'Data Vlaue (Cr)'!C136:CZ354,102,0)</f>
        <v>1.6999999999999999E-3</v>
      </c>
      <c r="E141" s="91">
        <f>VLOOKUP($A141,'Data Vlaue (Cr)'!$C:$FB,75)</f>
        <v>1712</v>
      </c>
      <c r="F141" s="91">
        <f>VLOOKUP($A141,'Data Vlaue (Cr)'!$C:$FB,77)</f>
        <v>16</v>
      </c>
      <c r="G141" s="92">
        <f>VLOOKUP(A141,'Data Vlaue (Cr)'!C136:CB354,78,0)</f>
        <v>9.4000000000000004E-3</v>
      </c>
      <c r="H141" s="91">
        <f>VLOOKUP($A141,'Data Vlaue (Cr)'!$C:$FB,91)</f>
        <v>351</v>
      </c>
      <c r="I141" s="91">
        <f>VLOOKUP($A141,'Data Vlaue (Cr)'!$C:$FB,93)</f>
        <v>-3</v>
      </c>
      <c r="J141" s="92">
        <f>VLOOKUP($A141,'Data Vlaue (Cr)'!$C:$FB,94)</f>
        <v>-8.0000000000000002E-3</v>
      </c>
      <c r="K141" s="91">
        <f>VLOOKUP($A141,'Data Vlaue (Cr)'!$C:$FB,95)</f>
        <v>280</v>
      </c>
      <c r="L141" s="91">
        <f>VLOOKUP($A141,'Data Vlaue (Cr)'!$C:$FB,97)</f>
        <v>-9</v>
      </c>
      <c r="M141" s="92">
        <f>VLOOKUP($A141,'Data Vlaue (Cr)'!$C:$FB,98)</f>
        <v>-3.2199999999999999E-2</v>
      </c>
      <c r="N141" s="91">
        <f>VLOOKUP($A141,'Data Vlaue (Cr)'!$C:$FB,79)</f>
        <v>1672</v>
      </c>
      <c r="O141" s="92">
        <f>VLOOKUP($A141,'Data Vlaue (Cr)'!$C:$FB,82)</f>
        <v>7.7999999999999996E-3</v>
      </c>
    </row>
    <row r="142" spans="1:15" x14ac:dyDescent="0.25">
      <c r="A142" s="97" t="str">
        <f>'Data Vlaue (Cr)'!C137</f>
        <v>MOTILALOFS</v>
      </c>
      <c r="B142" s="142">
        <f>VLOOKUP(A142,'Data Vlaue (Cr)'!C137:CW355,99,0)</f>
        <v>219</v>
      </c>
      <c r="C142" s="90">
        <f>VLOOKUP(A142,'Data Vlaue (Cr)'!C137:CY355,101,0)</f>
        <v>39</v>
      </c>
      <c r="D142" s="139">
        <f>VLOOKUP(A142,'Data Vlaue (Cr)'!C137:CZ355,102,0)</f>
        <v>0.21920000000000001</v>
      </c>
      <c r="E142" s="91">
        <f>VLOOKUP($A142,'Data Vlaue (Cr)'!$C:$FB,75)</f>
        <v>79</v>
      </c>
      <c r="F142" s="91">
        <f>VLOOKUP($A142,'Data Vlaue (Cr)'!$C:$FB,77)</f>
        <v>12</v>
      </c>
      <c r="G142" s="92">
        <f>VLOOKUP(A142,'Data Vlaue (Cr)'!C137:CB355,78,0)</f>
        <v>0.18329999999999999</v>
      </c>
      <c r="H142" s="91">
        <f>VLOOKUP($A142,'Data Vlaue (Cr)'!$C:$FB,91)</f>
        <v>75</v>
      </c>
      <c r="I142" s="91">
        <f>VLOOKUP($A142,'Data Vlaue (Cr)'!$C:$FB,93)</f>
        <v>17</v>
      </c>
      <c r="J142" s="92">
        <f>VLOOKUP($A142,'Data Vlaue (Cr)'!$C:$FB,94)</f>
        <v>0.28760000000000002</v>
      </c>
      <c r="K142" s="91">
        <f>VLOOKUP($A142,'Data Vlaue (Cr)'!$C:$FB,95)</f>
        <v>65</v>
      </c>
      <c r="L142" s="91">
        <f>VLOOKUP($A142,'Data Vlaue (Cr)'!$C:$FB,97)</f>
        <v>10</v>
      </c>
      <c r="M142" s="92">
        <f>VLOOKUP($A142,'Data Vlaue (Cr)'!$C:$FB,98)</f>
        <v>0.19</v>
      </c>
      <c r="N142" s="91">
        <f>VLOOKUP($A142,'Data Vlaue (Cr)'!$C:$FB,79)</f>
        <v>76</v>
      </c>
      <c r="O142" s="92">
        <f>VLOOKUP($A142,'Data Vlaue (Cr)'!$C:$FB,82)</f>
        <v>0.1827</v>
      </c>
    </row>
    <row r="143" spans="1:15" x14ac:dyDescent="0.25">
      <c r="A143" s="97" t="str">
        <f>'Data Vlaue (Cr)'!C138</f>
        <v>MPHASIS</v>
      </c>
      <c r="B143" s="142">
        <f>VLOOKUP(A143,'Data Vlaue (Cr)'!C138:CW356,99,0)</f>
        <v>1580</v>
      </c>
      <c r="C143" s="90">
        <f>VLOOKUP(A143,'Data Vlaue (Cr)'!C138:CY356,101,0)</f>
        <v>50</v>
      </c>
      <c r="D143" s="139">
        <f>VLOOKUP(A143,'Data Vlaue (Cr)'!C138:CZ356,102,0)</f>
        <v>3.2899999999999999E-2</v>
      </c>
      <c r="E143" s="91">
        <f>VLOOKUP($A143,'Data Vlaue (Cr)'!$C:$FB,75)</f>
        <v>1165</v>
      </c>
      <c r="F143" s="91">
        <f>VLOOKUP($A143,'Data Vlaue (Cr)'!$C:$FB,77)</f>
        <v>-12</v>
      </c>
      <c r="G143" s="92">
        <f>VLOOKUP(A143,'Data Vlaue (Cr)'!C138:CB356,78,0)</f>
        <v>-1.0200000000000001E-2</v>
      </c>
      <c r="H143" s="91">
        <f>VLOOKUP($A143,'Data Vlaue (Cr)'!$C:$FB,91)</f>
        <v>217</v>
      </c>
      <c r="I143" s="91">
        <f>VLOOKUP($A143,'Data Vlaue (Cr)'!$C:$FB,93)</f>
        <v>20</v>
      </c>
      <c r="J143" s="92">
        <f>VLOOKUP($A143,'Data Vlaue (Cr)'!$C:$FB,94)</f>
        <v>9.98E-2</v>
      </c>
      <c r="K143" s="91">
        <f>VLOOKUP($A143,'Data Vlaue (Cr)'!$C:$FB,95)</f>
        <v>197</v>
      </c>
      <c r="L143" s="91">
        <f>VLOOKUP($A143,'Data Vlaue (Cr)'!$C:$FB,97)</f>
        <v>43</v>
      </c>
      <c r="M143" s="92">
        <f>VLOOKUP($A143,'Data Vlaue (Cr)'!$C:$FB,98)</f>
        <v>0.27529999999999999</v>
      </c>
      <c r="N143" s="91">
        <f>VLOOKUP($A143,'Data Vlaue (Cr)'!$C:$FB,79)</f>
        <v>1152</v>
      </c>
      <c r="O143" s="92">
        <f>VLOOKUP($A143,'Data Vlaue (Cr)'!$C:$FB,82)</f>
        <v>-1.0500000000000001E-2</v>
      </c>
    </row>
    <row r="144" spans="1:15" x14ac:dyDescent="0.25">
      <c r="A144" s="97" t="str">
        <f>'Data Vlaue (Cr)'!C139</f>
        <v>MUTHOOTFIN</v>
      </c>
      <c r="B144" s="142">
        <f>VLOOKUP(A144,'Data Vlaue (Cr)'!C139:CW357,99,0)</f>
        <v>2303</v>
      </c>
      <c r="C144" s="90">
        <f>VLOOKUP(A144,'Data Vlaue (Cr)'!C139:CY357,101,0)</f>
        <v>-11</v>
      </c>
      <c r="D144" s="139">
        <f>VLOOKUP(A144,'Data Vlaue (Cr)'!C139:CZ357,102,0)</f>
        <v>-4.7000000000000002E-3</v>
      </c>
      <c r="E144" s="91">
        <f>VLOOKUP($A144,'Data Vlaue (Cr)'!$C:$FB,75)</f>
        <v>1227</v>
      </c>
      <c r="F144" s="91">
        <f>VLOOKUP($A144,'Data Vlaue (Cr)'!$C:$FB,77)</f>
        <v>-1</v>
      </c>
      <c r="G144" s="92">
        <f>VLOOKUP(A144,'Data Vlaue (Cr)'!C139:CB357,78,0)</f>
        <v>-6.9999999999999999E-4</v>
      </c>
      <c r="H144" s="91">
        <f>VLOOKUP($A144,'Data Vlaue (Cr)'!$C:$FB,91)</f>
        <v>637</v>
      </c>
      <c r="I144" s="91">
        <f>VLOOKUP($A144,'Data Vlaue (Cr)'!$C:$FB,93)</f>
        <v>-16</v>
      </c>
      <c r="J144" s="92">
        <f>VLOOKUP($A144,'Data Vlaue (Cr)'!$C:$FB,94)</f>
        <v>-2.4899999999999999E-2</v>
      </c>
      <c r="K144" s="91">
        <f>VLOOKUP($A144,'Data Vlaue (Cr)'!$C:$FB,95)</f>
        <v>439</v>
      </c>
      <c r="L144" s="91">
        <f>VLOOKUP($A144,'Data Vlaue (Cr)'!$C:$FB,97)</f>
        <v>6</v>
      </c>
      <c r="M144" s="92">
        <f>VLOOKUP($A144,'Data Vlaue (Cr)'!$C:$FB,98)</f>
        <v>1.4500000000000001E-2</v>
      </c>
      <c r="N144" s="91">
        <f>VLOOKUP($A144,'Data Vlaue (Cr)'!$C:$FB,79)</f>
        <v>1194</v>
      </c>
      <c r="O144" s="92">
        <f>VLOOKUP($A144,'Data Vlaue (Cr)'!$C:$FB,82)</f>
        <v>-1.2999999999999999E-3</v>
      </c>
    </row>
    <row r="145" spans="1:15" x14ac:dyDescent="0.25">
      <c r="A145" s="97" t="str">
        <f>'Data Vlaue (Cr)'!C140</f>
        <v>NAM-INDIA</v>
      </c>
      <c r="B145" s="142">
        <f>VLOOKUP(A145,'Data Vlaue (Cr)'!C140:CW358,99,0)</f>
        <v>201</v>
      </c>
      <c r="C145" s="90">
        <f>VLOOKUP(A145,'Data Vlaue (Cr)'!C140:CY358,101,0)</f>
        <v>27</v>
      </c>
      <c r="D145" s="139">
        <f>VLOOKUP(A145,'Data Vlaue (Cr)'!C140:CZ358,102,0)</f>
        <v>0.15870000000000001</v>
      </c>
      <c r="E145" s="91">
        <f>VLOOKUP($A145,'Data Vlaue (Cr)'!$C:$FB,75)</f>
        <v>164</v>
      </c>
      <c r="F145" s="91">
        <f>VLOOKUP($A145,'Data Vlaue (Cr)'!$C:$FB,77)</f>
        <v>27</v>
      </c>
      <c r="G145" s="92">
        <f>VLOOKUP(A145,'Data Vlaue (Cr)'!C140:CB358,78,0)</f>
        <v>0.19670000000000001</v>
      </c>
      <c r="H145" s="91">
        <f>VLOOKUP($A145,'Data Vlaue (Cr)'!$C:$FB,91)</f>
        <v>24</v>
      </c>
      <c r="I145" s="91">
        <f>VLOOKUP($A145,'Data Vlaue (Cr)'!$C:$FB,93)</f>
        <v>-4</v>
      </c>
      <c r="J145" s="92">
        <f>VLOOKUP($A145,'Data Vlaue (Cr)'!$C:$FB,94)</f>
        <v>-0.13039999999999999</v>
      </c>
      <c r="K145" s="91">
        <f>VLOOKUP($A145,'Data Vlaue (Cr)'!$C:$FB,95)</f>
        <v>12</v>
      </c>
      <c r="L145" s="91">
        <f>VLOOKUP($A145,'Data Vlaue (Cr)'!$C:$FB,97)</f>
        <v>4</v>
      </c>
      <c r="M145" s="92">
        <f>VLOOKUP($A145,'Data Vlaue (Cr)'!$C:$FB,98)</f>
        <v>0.47970000000000002</v>
      </c>
      <c r="N145" s="91">
        <f>VLOOKUP($A145,'Data Vlaue (Cr)'!$C:$FB,79)</f>
        <v>157</v>
      </c>
      <c r="O145" s="92">
        <f>VLOOKUP($A145,'Data Vlaue (Cr)'!$C:$FB,82)</f>
        <v>0.16389999999999999</v>
      </c>
    </row>
    <row r="146" spans="1:15" x14ac:dyDescent="0.25">
      <c r="A146" s="97" t="str">
        <f>'Data Vlaue (Cr)'!C141</f>
        <v>NATIONALUM</v>
      </c>
      <c r="B146" s="142">
        <f>VLOOKUP(A146,'Data Vlaue (Cr)'!C141:CW359,99,0)</f>
        <v>4777</v>
      </c>
      <c r="C146" s="90">
        <f>VLOOKUP(A146,'Data Vlaue (Cr)'!C141:CY359,101,0)</f>
        <v>306</v>
      </c>
      <c r="D146" s="139">
        <f>VLOOKUP(A146,'Data Vlaue (Cr)'!C141:CZ359,102,0)</f>
        <v>6.8500000000000005E-2</v>
      </c>
      <c r="E146" s="91">
        <f>VLOOKUP($A146,'Data Vlaue (Cr)'!$C:$FB,75)</f>
        <v>2127</v>
      </c>
      <c r="F146" s="91">
        <f>VLOOKUP($A146,'Data Vlaue (Cr)'!$C:$FB,77)</f>
        <v>3</v>
      </c>
      <c r="G146" s="92">
        <f>VLOOKUP(A146,'Data Vlaue (Cr)'!C141:CB359,78,0)</f>
        <v>1.1999999999999999E-3</v>
      </c>
      <c r="H146" s="91">
        <f>VLOOKUP($A146,'Data Vlaue (Cr)'!$C:$FB,91)</f>
        <v>1458</v>
      </c>
      <c r="I146" s="91">
        <f>VLOOKUP($A146,'Data Vlaue (Cr)'!$C:$FB,93)</f>
        <v>263</v>
      </c>
      <c r="J146" s="92">
        <f>VLOOKUP($A146,'Data Vlaue (Cr)'!$C:$FB,94)</f>
        <v>0.22059999999999999</v>
      </c>
      <c r="K146" s="91">
        <f>VLOOKUP($A146,'Data Vlaue (Cr)'!$C:$FB,95)</f>
        <v>1192</v>
      </c>
      <c r="L146" s="91">
        <f>VLOOKUP($A146,'Data Vlaue (Cr)'!$C:$FB,97)</f>
        <v>40</v>
      </c>
      <c r="M146" s="92">
        <f>VLOOKUP($A146,'Data Vlaue (Cr)'!$C:$FB,98)</f>
        <v>3.4700000000000002E-2</v>
      </c>
      <c r="N146" s="91">
        <f>VLOOKUP($A146,'Data Vlaue (Cr)'!$C:$FB,79)</f>
        <v>2065</v>
      </c>
      <c r="O146" s="92">
        <f>VLOOKUP($A146,'Data Vlaue (Cr)'!$C:$FB,82)</f>
        <v>5.7999999999999996E-3</v>
      </c>
    </row>
    <row r="147" spans="1:15" x14ac:dyDescent="0.25">
      <c r="A147" s="97" t="str">
        <f>'Data Vlaue (Cr)'!C142</f>
        <v>NAUKRI</v>
      </c>
      <c r="B147" s="142">
        <f>VLOOKUP(A147,'Data Vlaue (Cr)'!C142:CW360,99,0)</f>
        <v>1341</v>
      </c>
      <c r="C147" s="90">
        <f>VLOOKUP(A147,'Data Vlaue (Cr)'!C142:CY360,101,0)</f>
        <v>98</v>
      </c>
      <c r="D147" s="139">
        <f>VLOOKUP(A147,'Data Vlaue (Cr)'!C142:CZ360,102,0)</f>
        <v>7.9100000000000004E-2</v>
      </c>
      <c r="E147" s="91">
        <f>VLOOKUP($A147,'Data Vlaue (Cr)'!$C:$FB,75)</f>
        <v>1010</v>
      </c>
      <c r="F147" s="91">
        <f>VLOOKUP($A147,'Data Vlaue (Cr)'!$C:$FB,77)</f>
        <v>54</v>
      </c>
      <c r="G147" s="92">
        <f>VLOOKUP(A147,'Data Vlaue (Cr)'!C142:CB360,78,0)</f>
        <v>5.6300000000000003E-2</v>
      </c>
      <c r="H147" s="91">
        <f>VLOOKUP($A147,'Data Vlaue (Cr)'!$C:$FB,91)</f>
        <v>220</v>
      </c>
      <c r="I147" s="91">
        <f>VLOOKUP($A147,'Data Vlaue (Cr)'!$C:$FB,93)</f>
        <v>23</v>
      </c>
      <c r="J147" s="92">
        <f>VLOOKUP($A147,'Data Vlaue (Cr)'!$C:$FB,94)</f>
        <v>0.1192</v>
      </c>
      <c r="K147" s="91">
        <f>VLOOKUP($A147,'Data Vlaue (Cr)'!$C:$FB,95)</f>
        <v>111</v>
      </c>
      <c r="L147" s="91">
        <f>VLOOKUP($A147,'Data Vlaue (Cr)'!$C:$FB,97)</f>
        <v>21</v>
      </c>
      <c r="M147" s="92">
        <f>VLOOKUP($A147,'Data Vlaue (Cr)'!$C:$FB,98)</f>
        <v>0.23430000000000001</v>
      </c>
      <c r="N147" s="91">
        <f>VLOOKUP($A147,'Data Vlaue (Cr)'!$C:$FB,79)</f>
        <v>992</v>
      </c>
      <c r="O147" s="92">
        <f>VLOOKUP($A147,'Data Vlaue (Cr)'!$C:$FB,82)</f>
        <v>5.1299999999999998E-2</v>
      </c>
    </row>
    <row r="148" spans="1:15" x14ac:dyDescent="0.25">
      <c r="A148" s="97" t="str">
        <f>'Data Vlaue (Cr)'!C143</f>
        <v>NBCC</v>
      </c>
      <c r="B148" s="142">
        <f>VLOOKUP(A148,'Data Vlaue (Cr)'!C143:CW361,99,0)</f>
        <v>939</v>
      </c>
      <c r="C148" s="90">
        <f>VLOOKUP(A148,'Data Vlaue (Cr)'!C143:CY361,101,0)</f>
        <v>15</v>
      </c>
      <c r="D148" s="139">
        <f>VLOOKUP(A148,'Data Vlaue (Cr)'!C143:CZ361,102,0)</f>
        <v>1.6299999999999999E-2</v>
      </c>
      <c r="E148" s="91">
        <f>VLOOKUP($A148,'Data Vlaue (Cr)'!$C:$FB,75)</f>
        <v>691</v>
      </c>
      <c r="F148" s="91">
        <f>VLOOKUP($A148,'Data Vlaue (Cr)'!$C:$FB,77)</f>
        <v>-1</v>
      </c>
      <c r="G148" s="92">
        <f>VLOOKUP(A148,'Data Vlaue (Cr)'!C143:CB361,78,0)</f>
        <v>-1.9E-3</v>
      </c>
      <c r="H148" s="91">
        <f>VLOOKUP($A148,'Data Vlaue (Cr)'!$C:$FB,91)</f>
        <v>135</v>
      </c>
      <c r="I148" s="91">
        <f>VLOOKUP($A148,'Data Vlaue (Cr)'!$C:$FB,93)</f>
        <v>13</v>
      </c>
      <c r="J148" s="92">
        <f>VLOOKUP($A148,'Data Vlaue (Cr)'!$C:$FB,94)</f>
        <v>0.1041</v>
      </c>
      <c r="K148" s="91">
        <f>VLOOKUP($A148,'Data Vlaue (Cr)'!$C:$FB,95)</f>
        <v>112</v>
      </c>
      <c r="L148" s="91">
        <f>VLOOKUP($A148,'Data Vlaue (Cr)'!$C:$FB,97)</f>
        <v>4</v>
      </c>
      <c r="M148" s="92">
        <f>VLOOKUP($A148,'Data Vlaue (Cr)'!$C:$FB,98)</f>
        <v>3.3799999999999997E-2</v>
      </c>
      <c r="N148" s="91">
        <f>VLOOKUP($A148,'Data Vlaue (Cr)'!$C:$FB,79)</f>
        <v>667</v>
      </c>
      <c r="O148" s="92">
        <f>VLOOKUP($A148,'Data Vlaue (Cr)'!$C:$FB,82)</f>
        <v>-1.6000000000000001E-3</v>
      </c>
    </row>
    <row r="149" spans="1:15" x14ac:dyDescent="0.25">
      <c r="A149" s="97" t="str">
        <f>'Data Vlaue (Cr)'!C144</f>
        <v>NESTLEIND</v>
      </c>
      <c r="B149" s="142">
        <f>VLOOKUP(A149,'Data Vlaue (Cr)'!C144:CW362,99,0)</f>
        <v>2729</v>
      </c>
      <c r="C149" s="90">
        <f>VLOOKUP(A149,'Data Vlaue (Cr)'!C144:CY362,101,0)</f>
        <v>-30</v>
      </c>
      <c r="D149" s="139">
        <f>VLOOKUP(A149,'Data Vlaue (Cr)'!C144:CZ362,102,0)</f>
        <v>-1.0999999999999999E-2</v>
      </c>
      <c r="E149" s="91">
        <f>VLOOKUP($A149,'Data Vlaue (Cr)'!$C:$FB,75)</f>
        <v>2242</v>
      </c>
      <c r="F149" s="91">
        <f>VLOOKUP($A149,'Data Vlaue (Cr)'!$C:$FB,77)</f>
        <v>-24</v>
      </c>
      <c r="G149" s="92">
        <f>VLOOKUP(A149,'Data Vlaue (Cr)'!C144:CB362,78,0)</f>
        <v>-1.0500000000000001E-2</v>
      </c>
      <c r="H149" s="91">
        <f>VLOOKUP($A149,'Data Vlaue (Cr)'!$C:$FB,91)</f>
        <v>282</v>
      </c>
      <c r="I149" s="91">
        <f>VLOOKUP($A149,'Data Vlaue (Cr)'!$C:$FB,93)</f>
        <v>-7</v>
      </c>
      <c r="J149" s="92">
        <f>VLOOKUP($A149,'Data Vlaue (Cr)'!$C:$FB,94)</f>
        <v>-2.4299999999999999E-2</v>
      </c>
      <c r="K149" s="91">
        <f>VLOOKUP($A149,'Data Vlaue (Cr)'!$C:$FB,95)</f>
        <v>205</v>
      </c>
      <c r="L149" s="91">
        <f>VLOOKUP($A149,'Data Vlaue (Cr)'!$C:$FB,97)</f>
        <v>0</v>
      </c>
      <c r="M149" s="92">
        <f>VLOOKUP($A149,'Data Vlaue (Cr)'!$C:$FB,98)</f>
        <v>2.0999999999999999E-3</v>
      </c>
      <c r="N149" s="91">
        <f>VLOOKUP($A149,'Data Vlaue (Cr)'!$C:$FB,79)</f>
        <v>2178</v>
      </c>
      <c r="O149" s="92">
        <f>VLOOKUP($A149,'Data Vlaue (Cr)'!$C:$FB,82)</f>
        <v>-1.12E-2</v>
      </c>
    </row>
    <row r="150" spans="1:15" x14ac:dyDescent="0.25">
      <c r="A150" s="97" t="str">
        <f>'Data Vlaue (Cr)'!C145</f>
        <v>NHPC</v>
      </c>
      <c r="B150" s="142">
        <f>VLOOKUP(A150,'Data Vlaue (Cr)'!C145:CW363,99,0)</f>
        <v>1074</v>
      </c>
      <c r="C150" s="90">
        <f>VLOOKUP(A150,'Data Vlaue (Cr)'!C145:CY363,101,0)</f>
        <v>160</v>
      </c>
      <c r="D150" s="139">
        <f>VLOOKUP(A150,'Data Vlaue (Cr)'!C145:CZ363,102,0)</f>
        <v>0.17560000000000001</v>
      </c>
      <c r="E150" s="91">
        <f>VLOOKUP($A150,'Data Vlaue (Cr)'!$C:$FB,75)</f>
        <v>555</v>
      </c>
      <c r="F150" s="91">
        <f>VLOOKUP($A150,'Data Vlaue (Cr)'!$C:$FB,77)</f>
        <v>20</v>
      </c>
      <c r="G150" s="92">
        <f>VLOOKUP(A150,'Data Vlaue (Cr)'!C145:CB363,78,0)</f>
        <v>3.78E-2</v>
      </c>
      <c r="H150" s="91">
        <f>VLOOKUP($A150,'Data Vlaue (Cr)'!$C:$FB,91)</f>
        <v>327</v>
      </c>
      <c r="I150" s="91">
        <f>VLOOKUP($A150,'Data Vlaue (Cr)'!$C:$FB,93)</f>
        <v>101</v>
      </c>
      <c r="J150" s="92">
        <f>VLOOKUP($A150,'Data Vlaue (Cr)'!$C:$FB,94)</f>
        <v>0.44579999999999997</v>
      </c>
      <c r="K150" s="91">
        <f>VLOOKUP($A150,'Data Vlaue (Cr)'!$C:$FB,95)</f>
        <v>192</v>
      </c>
      <c r="L150" s="91">
        <f>VLOOKUP($A150,'Data Vlaue (Cr)'!$C:$FB,97)</f>
        <v>39</v>
      </c>
      <c r="M150" s="92">
        <f>VLOOKUP($A150,'Data Vlaue (Cr)'!$C:$FB,98)</f>
        <v>0.25800000000000001</v>
      </c>
      <c r="N150" s="91">
        <f>VLOOKUP($A150,'Data Vlaue (Cr)'!$C:$FB,79)</f>
        <v>532</v>
      </c>
      <c r="O150" s="92">
        <f>VLOOKUP($A150,'Data Vlaue (Cr)'!$C:$FB,82)</f>
        <v>2.92E-2</v>
      </c>
    </row>
    <row r="151" spans="1:15" x14ac:dyDescent="0.25">
      <c r="A151" s="97" t="str">
        <f>'Data Vlaue (Cr)'!C146</f>
        <v>NIFTY</v>
      </c>
      <c r="B151" s="142">
        <f>VLOOKUP(A151,'Data Vlaue (Cr)'!C146:CW364,99,0)</f>
        <v>1060068</v>
      </c>
      <c r="C151" s="90">
        <f>VLOOKUP(A151,'Data Vlaue (Cr)'!C146:CY364,101,0)</f>
        <v>139226</v>
      </c>
      <c r="D151" s="139">
        <f>VLOOKUP(A151,'Data Vlaue (Cr)'!C146:CZ364,102,0)</f>
        <v>0.1512</v>
      </c>
      <c r="E151" s="91">
        <f>VLOOKUP($A151,'Data Vlaue (Cr)'!$C:$FB,75)</f>
        <v>54213</v>
      </c>
      <c r="F151" s="91">
        <f>VLOOKUP($A151,'Data Vlaue (Cr)'!$C:$FB,77)</f>
        <v>-670</v>
      </c>
      <c r="G151" s="92">
        <f>VLOOKUP(A151,'Data Vlaue (Cr)'!C146:CB364,78,0)</f>
        <v>-1.2200000000000001E-2</v>
      </c>
      <c r="H151" s="91">
        <f>VLOOKUP($A151,'Data Vlaue (Cr)'!$C:$FB,91)</f>
        <v>509801</v>
      </c>
      <c r="I151" s="91">
        <f>VLOOKUP($A151,'Data Vlaue (Cr)'!$C:$FB,93)</f>
        <v>102652</v>
      </c>
      <c r="J151" s="92">
        <f>VLOOKUP($A151,'Data Vlaue (Cr)'!$C:$FB,94)</f>
        <v>0.25209999999999999</v>
      </c>
      <c r="K151" s="91">
        <f>VLOOKUP($A151,'Data Vlaue (Cr)'!$C:$FB,95)</f>
        <v>496054</v>
      </c>
      <c r="L151" s="91">
        <f>VLOOKUP($A151,'Data Vlaue (Cr)'!$C:$FB,97)</f>
        <v>37244</v>
      </c>
      <c r="M151" s="92">
        <f>VLOOKUP($A151,'Data Vlaue (Cr)'!$C:$FB,98)</f>
        <v>8.1199999999999994E-2</v>
      </c>
      <c r="N151" s="91">
        <f>VLOOKUP($A151,'Data Vlaue (Cr)'!$C:$FB,79)</f>
        <v>47185</v>
      </c>
      <c r="O151" s="92">
        <f>VLOOKUP($A151,'Data Vlaue (Cr)'!$C:$FB,82)</f>
        <v>-1.83E-2</v>
      </c>
    </row>
    <row r="152" spans="1:15" x14ac:dyDescent="0.25">
      <c r="A152" s="97" t="str">
        <f>'Data Vlaue (Cr)'!C147</f>
        <v>NIFTYNXT50</v>
      </c>
      <c r="B152" s="142">
        <f>VLOOKUP(A152,'Data Vlaue (Cr)'!C147:CW365,99,0)</f>
        <v>158</v>
      </c>
      <c r="C152" s="90">
        <f>VLOOKUP(A152,'Data Vlaue (Cr)'!C147:CY365,101,0)</f>
        <v>4</v>
      </c>
      <c r="D152" s="139">
        <f>VLOOKUP(A152,'Data Vlaue (Cr)'!C147:CZ365,102,0)</f>
        <v>2.93E-2</v>
      </c>
      <c r="E152" s="91">
        <f>VLOOKUP($A152,'Data Vlaue (Cr)'!$C:$FB,75)</f>
        <v>123</v>
      </c>
      <c r="F152" s="91">
        <f>VLOOKUP($A152,'Data Vlaue (Cr)'!$C:$FB,77)</f>
        <v>1</v>
      </c>
      <c r="G152" s="92">
        <f>VLOOKUP(A152,'Data Vlaue (Cr)'!C147:CB365,78,0)</f>
        <v>5.4000000000000003E-3</v>
      </c>
      <c r="H152" s="91">
        <f>VLOOKUP($A152,'Data Vlaue (Cr)'!$C:$FB,91)</f>
        <v>16</v>
      </c>
      <c r="I152" s="91">
        <f>VLOOKUP($A152,'Data Vlaue (Cr)'!$C:$FB,93)</f>
        <v>1</v>
      </c>
      <c r="J152" s="92">
        <f>VLOOKUP($A152,'Data Vlaue (Cr)'!$C:$FB,94)</f>
        <v>8.9899999999999994E-2</v>
      </c>
      <c r="K152" s="91">
        <f>VLOOKUP($A152,'Data Vlaue (Cr)'!$C:$FB,95)</f>
        <v>19</v>
      </c>
      <c r="L152" s="91">
        <f>VLOOKUP($A152,'Data Vlaue (Cr)'!$C:$FB,97)</f>
        <v>2</v>
      </c>
      <c r="M152" s="92">
        <f>VLOOKUP($A152,'Data Vlaue (Cr)'!$C:$FB,98)</f>
        <v>0.15459999999999999</v>
      </c>
      <c r="N152" s="91">
        <f>VLOOKUP($A152,'Data Vlaue (Cr)'!$C:$FB,79)</f>
        <v>113</v>
      </c>
      <c r="O152" s="92">
        <f>VLOOKUP($A152,'Data Vlaue (Cr)'!$C:$FB,82)</f>
        <v>1.04E-2</v>
      </c>
    </row>
    <row r="153" spans="1:15" x14ac:dyDescent="0.25">
      <c r="A153" s="97" t="str">
        <f>'Data Vlaue (Cr)'!C148</f>
        <v>NMDC</v>
      </c>
      <c r="B153" s="142">
        <f>VLOOKUP(A153,'Data Vlaue (Cr)'!C148:CW366,99,0)</f>
        <v>3737</v>
      </c>
      <c r="C153" s="90">
        <f>VLOOKUP(A153,'Data Vlaue (Cr)'!C148:CY366,101,0)</f>
        <v>96</v>
      </c>
      <c r="D153" s="139">
        <f>VLOOKUP(A153,'Data Vlaue (Cr)'!C148:CZ366,102,0)</f>
        <v>2.63E-2</v>
      </c>
      <c r="E153" s="91">
        <f>VLOOKUP($A153,'Data Vlaue (Cr)'!$C:$FB,75)</f>
        <v>2816</v>
      </c>
      <c r="F153" s="91">
        <f>VLOOKUP($A153,'Data Vlaue (Cr)'!$C:$FB,77)</f>
        <v>24</v>
      </c>
      <c r="G153" s="92">
        <f>VLOOKUP(A153,'Data Vlaue (Cr)'!C148:CB366,78,0)</f>
        <v>8.6E-3</v>
      </c>
      <c r="H153" s="91">
        <f>VLOOKUP($A153,'Data Vlaue (Cr)'!$C:$FB,91)</f>
        <v>570</v>
      </c>
      <c r="I153" s="91">
        <f>VLOOKUP($A153,'Data Vlaue (Cr)'!$C:$FB,93)</f>
        <v>40</v>
      </c>
      <c r="J153" s="92">
        <f>VLOOKUP($A153,'Data Vlaue (Cr)'!$C:$FB,94)</f>
        <v>7.5999999999999998E-2</v>
      </c>
      <c r="K153" s="91">
        <f>VLOOKUP($A153,'Data Vlaue (Cr)'!$C:$FB,95)</f>
        <v>350</v>
      </c>
      <c r="L153" s="91">
        <f>VLOOKUP($A153,'Data Vlaue (Cr)'!$C:$FB,97)</f>
        <v>32</v>
      </c>
      <c r="M153" s="92">
        <f>VLOOKUP($A153,'Data Vlaue (Cr)'!$C:$FB,98)</f>
        <v>9.9199999999999997E-2</v>
      </c>
      <c r="N153" s="91">
        <f>VLOOKUP($A153,'Data Vlaue (Cr)'!$C:$FB,79)</f>
        <v>2754</v>
      </c>
      <c r="O153" s="92">
        <f>VLOOKUP($A153,'Data Vlaue (Cr)'!$C:$FB,82)</f>
        <v>4.5999999999999999E-3</v>
      </c>
    </row>
    <row r="154" spans="1:15" x14ac:dyDescent="0.25">
      <c r="A154" s="97" t="str">
        <f>'Data Vlaue (Cr)'!C149</f>
        <v>NTPC</v>
      </c>
      <c r="B154" s="142">
        <f>VLOOKUP(A154,'Data Vlaue (Cr)'!C149:CW367,99,0)</f>
        <v>5366</v>
      </c>
      <c r="C154" s="90">
        <f>VLOOKUP(A154,'Data Vlaue (Cr)'!C149:CY367,101,0)</f>
        <v>341</v>
      </c>
      <c r="D154" s="139">
        <f>VLOOKUP(A154,'Data Vlaue (Cr)'!C149:CZ367,102,0)</f>
        <v>6.7799999999999999E-2</v>
      </c>
      <c r="E154" s="91">
        <f>VLOOKUP($A154,'Data Vlaue (Cr)'!$C:$FB,75)</f>
        <v>3328</v>
      </c>
      <c r="F154" s="91">
        <f>VLOOKUP($A154,'Data Vlaue (Cr)'!$C:$FB,77)</f>
        <v>51</v>
      </c>
      <c r="G154" s="92">
        <f>VLOOKUP(A154,'Data Vlaue (Cr)'!C149:CB367,78,0)</f>
        <v>1.55E-2</v>
      </c>
      <c r="H154" s="91">
        <f>VLOOKUP($A154,'Data Vlaue (Cr)'!$C:$FB,91)</f>
        <v>1371</v>
      </c>
      <c r="I154" s="91">
        <f>VLOOKUP($A154,'Data Vlaue (Cr)'!$C:$FB,93)</f>
        <v>227</v>
      </c>
      <c r="J154" s="92">
        <f>VLOOKUP($A154,'Data Vlaue (Cr)'!$C:$FB,94)</f>
        <v>0.19800000000000001</v>
      </c>
      <c r="K154" s="91">
        <f>VLOOKUP($A154,'Data Vlaue (Cr)'!$C:$FB,95)</f>
        <v>667</v>
      </c>
      <c r="L154" s="91">
        <f>VLOOKUP($A154,'Data Vlaue (Cr)'!$C:$FB,97)</f>
        <v>63</v>
      </c>
      <c r="M154" s="92">
        <f>VLOOKUP($A154,'Data Vlaue (Cr)'!$C:$FB,98)</f>
        <v>0.1048</v>
      </c>
      <c r="N154" s="91">
        <f>VLOOKUP($A154,'Data Vlaue (Cr)'!$C:$FB,79)</f>
        <v>2952</v>
      </c>
      <c r="O154" s="92">
        <f>VLOOKUP($A154,'Data Vlaue (Cr)'!$C:$FB,82)</f>
        <v>1.5299999999999999E-2</v>
      </c>
    </row>
    <row r="155" spans="1:15" x14ac:dyDescent="0.25">
      <c r="A155" s="97" t="str">
        <f>'Data Vlaue (Cr)'!C150</f>
        <v>NUVAMA</v>
      </c>
      <c r="B155" s="142">
        <f>VLOOKUP(A155,'Data Vlaue (Cr)'!C150:CW368,99,0)</f>
        <v>430</v>
      </c>
      <c r="C155" s="90">
        <f>VLOOKUP(A155,'Data Vlaue (Cr)'!C150:CY368,101,0)</f>
        <v>23</v>
      </c>
      <c r="D155" s="139">
        <f>VLOOKUP(A155,'Data Vlaue (Cr)'!C150:CZ368,102,0)</f>
        <v>5.6099999999999997E-2</v>
      </c>
      <c r="E155" s="91">
        <f>VLOOKUP($A155,'Data Vlaue (Cr)'!$C:$FB,75)</f>
        <v>261</v>
      </c>
      <c r="F155" s="91">
        <f>VLOOKUP($A155,'Data Vlaue (Cr)'!$C:$FB,77)</f>
        <v>0</v>
      </c>
      <c r="G155" s="92">
        <f>VLOOKUP(A155,'Data Vlaue (Cr)'!C150:CB368,78,0)</f>
        <v>-1E-3</v>
      </c>
      <c r="H155" s="91">
        <f>VLOOKUP($A155,'Data Vlaue (Cr)'!$C:$FB,91)</f>
        <v>97</v>
      </c>
      <c r="I155" s="91">
        <f>VLOOKUP($A155,'Data Vlaue (Cr)'!$C:$FB,93)</f>
        <v>17</v>
      </c>
      <c r="J155" s="92">
        <f>VLOOKUP($A155,'Data Vlaue (Cr)'!$C:$FB,94)</f>
        <v>0.21879999999999999</v>
      </c>
      <c r="K155" s="91">
        <f>VLOOKUP($A155,'Data Vlaue (Cr)'!$C:$FB,95)</f>
        <v>72</v>
      </c>
      <c r="L155" s="91">
        <f>VLOOKUP($A155,'Data Vlaue (Cr)'!$C:$FB,97)</f>
        <v>6</v>
      </c>
      <c r="M155" s="92">
        <f>VLOOKUP($A155,'Data Vlaue (Cr)'!$C:$FB,98)</f>
        <v>8.5000000000000006E-2</v>
      </c>
      <c r="N155" s="91">
        <f>VLOOKUP($A155,'Data Vlaue (Cr)'!$C:$FB,79)</f>
        <v>252</v>
      </c>
      <c r="O155" s="92">
        <f>VLOOKUP($A155,'Data Vlaue (Cr)'!$C:$FB,82)</f>
        <v>-4.1000000000000003E-3</v>
      </c>
    </row>
    <row r="156" spans="1:15" x14ac:dyDescent="0.25">
      <c r="A156" s="97" t="str">
        <f>'Data Vlaue (Cr)'!C151</f>
        <v>NYKAA</v>
      </c>
      <c r="B156" s="142">
        <f>VLOOKUP(A156,'Data Vlaue (Cr)'!C151:CW369,99,0)</f>
        <v>1483</v>
      </c>
      <c r="C156" s="90">
        <f>VLOOKUP(A156,'Data Vlaue (Cr)'!C151:CY369,101,0)</f>
        <v>-1</v>
      </c>
      <c r="D156" s="139">
        <f>VLOOKUP(A156,'Data Vlaue (Cr)'!C151:CZ369,102,0)</f>
        <v>-5.0000000000000001E-4</v>
      </c>
      <c r="E156" s="91">
        <f>VLOOKUP($A156,'Data Vlaue (Cr)'!$C:$FB,75)</f>
        <v>1179</v>
      </c>
      <c r="F156" s="91">
        <f>VLOOKUP($A156,'Data Vlaue (Cr)'!$C:$FB,77)</f>
        <v>-20</v>
      </c>
      <c r="G156" s="92">
        <f>VLOOKUP(A156,'Data Vlaue (Cr)'!C151:CB369,78,0)</f>
        <v>-1.67E-2</v>
      </c>
      <c r="H156" s="91">
        <f>VLOOKUP($A156,'Data Vlaue (Cr)'!$C:$FB,91)</f>
        <v>192</v>
      </c>
      <c r="I156" s="91">
        <f>VLOOKUP($A156,'Data Vlaue (Cr)'!$C:$FB,93)</f>
        <v>15</v>
      </c>
      <c r="J156" s="92">
        <f>VLOOKUP($A156,'Data Vlaue (Cr)'!$C:$FB,94)</f>
        <v>8.3699999999999997E-2</v>
      </c>
      <c r="K156" s="91">
        <f>VLOOKUP($A156,'Data Vlaue (Cr)'!$C:$FB,95)</f>
        <v>113</v>
      </c>
      <c r="L156" s="91">
        <f>VLOOKUP($A156,'Data Vlaue (Cr)'!$C:$FB,97)</f>
        <v>4</v>
      </c>
      <c r="M156" s="92">
        <f>VLOOKUP($A156,'Data Vlaue (Cr)'!$C:$FB,98)</f>
        <v>4.1200000000000001E-2</v>
      </c>
      <c r="N156" s="91">
        <f>VLOOKUP($A156,'Data Vlaue (Cr)'!$C:$FB,79)</f>
        <v>1163</v>
      </c>
      <c r="O156" s="92">
        <f>VLOOKUP($A156,'Data Vlaue (Cr)'!$C:$FB,82)</f>
        <v>-1.8200000000000001E-2</v>
      </c>
    </row>
    <row r="157" spans="1:15" x14ac:dyDescent="0.25">
      <c r="A157" s="97" t="str">
        <f>'Data Vlaue (Cr)'!C152</f>
        <v>OBEROIRLTY</v>
      </c>
      <c r="B157" s="142">
        <f>VLOOKUP(A157,'Data Vlaue (Cr)'!C152:CW370,99,0)</f>
        <v>1782</v>
      </c>
      <c r="C157" s="90">
        <f>VLOOKUP(A157,'Data Vlaue (Cr)'!C152:CY370,101,0)</f>
        <v>141</v>
      </c>
      <c r="D157" s="139">
        <f>VLOOKUP(A157,'Data Vlaue (Cr)'!C152:CZ370,102,0)</f>
        <v>8.5900000000000004E-2</v>
      </c>
      <c r="E157" s="91">
        <f>VLOOKUP($A157,'Data Vlaue (Cr)'!$C:$FB,75)</f>
        <v>1493</v>
      </c>
      <c r="F157" s="91">
        <f>VLOOKUP($A157,'Data Vlaue (Cr)'!$C:$FB,77)</f>
        <v>113</v>
      </c>
      <c r="G157" s="92">
        <f>VLOOKUP(A157,'Data Vlaue (Cr)'!C152:CB370,78,0)</f>
        <v>8.1799999999999998E-2</v>
      </c>
      <c r="H157" s="91">
        <f>VLOOKUP($A157,'Data Vlaue (Cr)'!$C:$FB,91)</f>
        <v>153</v>
      </c>
      <c r="I157" s="91">
        <f>VLOOKUP($A157,'Data Vlaue (Cr)'!$C:$FB,93)</f>
        <v>16</v>
      </c>
      <c r="J157" s="92">
        <f>VLOOKUP($A157,'Data Vlaue (Cr)'!$C:$FB,94)</f>
        <v>0.1166</v>
      </c>
      <c r="K157" s="91">
        <f>VLOOKUP($A157,'Data Vlaue (Cr)'!$C:$FB,95)</f>
        <v>137</v>
      </c>
      <c r="L157" s="91">
        <f>VLOOKUP($A157,'Data Vlaue (Cr)'!$C:$FB,97)</f>
        <v>12</v>
      </c>
      <c r="M157" s="92">
        <f>VLOOKUP($A157,'Data Vlaue (Cr)'!$C:$FB,98)</f>
        <v>9.8000000000000004E-2</v>
      </c>
      <c r="N157" s="91">
        <f>VLOOKUP($A157,'Data Vlaue (Cr)'!$C:$FB,79)</f>
        <v>1424</v>
      </c>
      <c r="O157" s="92">
        <f>VLOOKUP($A157,'Data Vlaue (Cr)'!$C:$FB,82)</f>
        <v>4.8899999999999999E-2</v>
      </c>
    </row>
    <row r="158" spans="1:15" x14ac:dyDescent="0.25">
      <c r="A158" s="97" t="str">
        <f>'Data Vlaue (Cr)'!C153</f>
        <v>OFSS</v>
      </c>
      <c r="B158" s="142">
        <f>VLOOKUP(A158,'Data Vlaue (Cr)'!C153:CW371,99,0)</f>
        <v>1663</v>
      </c>
      <c r="C158" s="90">
        <f>VLOOKUP(A158,'Data Vlaue (Cr)'!C153:CY371,101,0)</f>
        <v>24</v>
      </c>
      <c r="D158" s="139">
        <f>VLOOKUP(A158,'Data Vlaue (Cr)'!C153:CZ371,102,0)</f>
        <v>1.44E-2</v>
      </c>
      <c r="E158" s="91">
        <f>VLOOKUP($A158,'Data Vlaue (Cr)'!$C:$FB,75)</f>
        <v>1086</v>
      </c>
      <c r="F158" s="91">
        <f>VLOOKUP($A158,'Data Vlaue (Cr)'!$C:$FB,77)</f>
        <v>-6</v>
      </c>
      <c r="G158" s="92">
        <f>VLOOKUP(A158,'Data Vlaue (Cr)'!C153:CB371,78,0)</f>
        <v>-5.3E-3</v>
      </c>
      <c r="H158" s="91">
        <f>VLOOKUP($A158,'Data Vlaue (Cr)'!$C:$FB,91)</f>
        <v>308</v>
      </c>
      <c r="I158" s="91">
        <f>VLOOKUP($A158,'Data Vlaue (Cr)'!$C:$FB,93)</f>
        <v>-13</v>
      </c>
      <c r="J158" s="92">
        <f>VLOOKUP($A158,'Data Vlaue (Cr)'!$C:$FB,94)</f>
        <v>-4.07E-2</v>
      </c>
      <c r="K158" s="91">
        <f>VLOOKUP($A158,'Data Vlaue (Cr)'!$C:$FB,95)</f>
        <v>270</v>
      </c>
      <c r="L158" s="91">
        <f>VLOOKUP($A158,'Data Vlaue (Cr)'!$C:$FB,97)</f>
        <v>42</v>
      </c>
      <c r="M158" s="92">
        <f>VLOOKUP($A158,'Data Vlaue (Cr)'!$C:$FB,98)</f>
        <v>0.18690000000000001</v>
      </c>
      <c r="N158" s="91">
        <f>VLOOKUP($A158,'Data Vlaue (Cr)'!$C:$FB,79)</f>
        <v>1049</v>
      </c>
      <c r="O158" s="92">
        <f>VLOOKUP($A158,'Data Vlaue (Cr)'!$C:$FB,82)</f>
        <v>-1.2E-2</v>
      </c>
    </row>
    <row r="159" spans="1:15" x14ac:dyDescent="0.25">
      <c r="A159" s="97" t="str">
        <f>'Data Vlaue (Cr)'!C154</f>
        <v>OIL</v>
      </c>
      <c r="B159" s="142">
        <f>VLOOKUP(A159,'Data Vlaue (Cr)'!C154:CW372,99,0)</f>
        <v>1650</v>
      </c>
      <c r="C159" s="90">
        <f>VLOOKUP(A159,'Data Vlaue (Cr)'!C154:CY372,101,0)</f>
        <v>-48</v>
      </c>
      <c r="D159" s="139">
        <f>VLOOKUP(A159,'Data Vlaue (Cr)'!C154:CZ372,102,0)</f>
        <v>-2.8000000000000001E-2</v>
      </c>
      <c r="E159" s="91">
        <f>VLOOKUP($A159,'Data Vlaue (Cr)'!$C:$FB,75)</f>
        <v>986</v>
      </c>
      <c r="F159" s="91">
        <f>VLOOKUP($A159,'Data Vlaue (Cr)'!$C:$FB,77)</f>
        <v>-21</v>
      </c>
      <c r="G159" s="92">
        <f>VLOOKUP(A159,'Data Vlaue (Cr)'!C154:CB372,78,0)</f>
        <v>-2.0799999999999999E-2</v>
      </c>
      <c r="H159" s="91">
        <f>VLOOKUP($A159,'Data Vlaue (Cr)'!$C:$FB,91)</f>
        <v>452</v>
      </c>
      <c r="I159" s="91">
        <f>VLOOKUP($A159,'Data Vlaue (Cr)'!$C:$FB,93)</f>
        <v>-31</v>
      </c>
      <c r="J159" s="92">
        <f>VLOOKUP($A159,'Data Vlaue (Cr)'!$C:$FB,94)</f>
        <v>-6.3899999999999998E-2</v>
      </c>
      <c r="K159" s="91">
        <f>VLOOKUP($A159,'Data Vlaue (Cr)'!$C:$FB,95)</f>
        <v>212</v>
      </c>
      <c r="L159" s="91">
        <f>VLOOKUP($A159,'Data Vlaue (Cr)'!$C:$FB,97)</f>
        <v>4</v>
      </c>
      <c r="M159" s="92">
        <f>VLOOKUP($A159,'Data Vlaue (Cr)'!$C:$FB,98)</f>
        <v>2.0400000000000001E-2</v>
      </c>
      <c r="N159" s="91">
        <f>VLOOKUP($A159,'Data Vlaue (Cr)'!$C:$FB,79)</f>
        <v>961</v>
      </c>
      <c r="O159" s="92">
        <f>VLOOKUP($A159,'Data Vlaue (Cr)'!$C:$FB,82)</f>
        <v>-2.01E-2</v>
      </c>
    </row>
    <row r="160" spans="1:15" x14ac:dyDescent="0.25">
      <c r="A160" s="97" t="str">
        <f>'Data Vlaue (Cr)'!C155</f>
        <v>ONGC</v>
      </c>
      <c r="B160" s="142">
        <f>VLOOKUP(A160,'Data Vlaue (Cr)'!C155:CW373,99,0)</f>
        <v>5785</v>
      </c>
      <c r="C160" s="90">
        <f>VLOOKUP(A160,'Data Vlaue (Cr)'!C155:CY373,101,0)</f>
        <v>28</v>
      </c>
      <c r="D160" s="139">
        <f>VLOOKUP(A160,'Data Vlaue (Cr)'!C155:CZ373,102,0)</f>
        <v>4.7999999999999996E-3</v>
      </c>
      <c r="E160" s="91">
        <f>VLOOKUP($A160,'Data Vlaue (Cr)'!$C:$FB,75)</f>
        <v>2796</v>
      </c>
      <c r="F160" s="91">
        <f>VLOOKUP($A160,'Data Vlaue (Cr)'!$C:$FB,77)</f>
        <v>-1</v>
      </c>
      <c r="G160" s="92">
        <f>VLOOKUP(A160,'Data Vlaue (Cr)'!C155:CB373,78,0)</f>
        <v>-2.9999999999999997E-4</v>
      </c>
      <c r="H160" s="91">
        <f>VLOOKUP($A160,'Data Vlaue (Cr)'!$C:$FB,91)</f>
        <v>1943</v>
      </c>
      <c r="I160" s="91">
        <f>VLOOKUP($A160,'Data Vlaue (Cr)'!$C:$FB,93)</f>
        <v>-17</v>
      </c>
      <c r="J160" s="92">
        <f>VLOOKUP($A160,'Data Vlaue (Cr)'!$C:$FB,94)</f>
        <v>-8.8999999999999999E-3</v>
      </c>
      <c r="K160" s="91">
        <f>VLOOKUP($A160,'Data Vlaue (Cr)'!$C:$FB,95)</f>
        <v>1046</v>
      </c>
      <c r="L160" s="91">
        <f>VLOOKUP($A160,'Data Vlaue (Cr)'!$C:$FB,97)</f>
        <v>46</v>
      </c>
      <c r="M160" s="92">
        <f>VLOOKUP($A160,'Data Vlaue (Cr)'!$C:$FB,98)</f>
        <v>4.6199999999999998E-2</v>
      </c>
      <c r="N160" s="91">
        <f>VLOOKUP($A160,'Data Vlaue (Cr)'!$C:$FB,79)</f>
        <v>2732</v>
      </c>
      <c r="O160" s="92">
        <f>VLOOKUP($A160,'Data Vlaue (Cr)'!$C:$FB,82)</f>
        <v>-1.1999999999999999E-3</v>
      </c>
    </row>
    <row r="161" spans="1:15" x14ac:dyDescent="0.25">
      <c r="A161" s="97" t="str">
        <f>'Data Vlaue (Cr)'!C156</f>
        <v>PAGEIND</v>
      </c>
      <c r="B161" s="142">
        <f>VLOOKUP(A161,'Data Vlaue (Cr)'!C156:CW374,99,0)</f>
        <v>1715</v>
      </c>
      <c r="C161" s="90">
        <f>VLOOKUP(A161,'Data Vlaue (Cr)'!C156:CY374,101,0)</f>
        <v>45</v>
      </c>
      <c r="D161" s="139">
        <f>VLOOKUP(A161,'Data Vlaue (Cr)'!C156:CZ374,102,0)</f>
        <v>2.7E-2</v>
      </c>
      <c r="E161" s="91">
        <f>VLOOKUP($A161,'Data Vlaue (Cr)'!$C:$FB,75)</f>
        <v>1307</v>
      </c>
      <c r="F161" s="91">
        <f>VLOOKUP($A161,'Data Vlaue (Cr)'!$C:$FB,77)</f>
        <v>18</v>
      </c>
      <c r="G161" s="92">
        <f>VLOOKUP(A161,'Data Vlaue (Cr)'!C156:CB374,78,0)</f>
        <v>1.38E-2</v>
      </c>
      <c r="H161" s="91">
        <f>VLOOKUP($A161,'Data Vlaue (Cr)'!$C:$FB,91)</f>
        <v>215</v>
      </c>
      <c r="I161" s="91">
        <f>VLOOKUP($A161,'Data Vlaue (Cr)'!$C:$FB,93)</f>
        <v>6</v>
      </c>
      <c r="J161" s="92">
        <f>VLOOKUP($A161,'Data Vlaue (Cr)'!$C:$FB,94)</f>
        <v>3.1E-2</v>
      </c>
      <c r="K161" s="91">
        <f>VLOOKUP($A161,'Data Vlaue (Cr)'!$C:$FB,95)</f>
        <v>192</v>
      </c>
      <c r="L161" s="91">
        <f>VLOOKUP($A161,'Data Vlaue (Cr)'!$C:$FB,97)</f>
        <v>21</v>
      </c>
      <c r="M161" s="92">
        <f>VLOOKUP($A161,'Data Vlaue (Cr)'!$C:$FB,98)</f>
        <v>0.1222</v>
      </c>
      <c r="N161" s="91">
        <f>VLOOKUP($A161,'Data Vlaue (Cr)'!$C:$FB,79)</f>
        <v>1286</v>
      </c>
      <c r="O161" s="92">
        <f>VLOOKUP($A161,'Data Vlaue (Cr)'!$C:$FB,82)</f>
        <v>1.38E-2</v>
      </c>
    </row>
    <row r="162" spans="1:15" x14ac:dyDescent="0.25">
      <c r="A162" s="97" t="str">
        <f>'Data Vlaue (Cr)'!C157</f>
        <v>PATANJALI</v>
      </c>
      <c r="B162" s="142">
        <f>VLOOKUP(A162,'Data Vlaue (Cr)'!C157:CW375,99,0)</f>
        <v>1812</v>
      </c>
      <c r="C162" s="90">
        <f>VLOOKUP(A162,'Data Vlaue (Cr)'!C157:CY375,101,0)</f>
        <v>23</v>
      </c>
      <c r="D162" s="139">
        <f>VLOOKUP(A162,'Data Vlaue (Cr)'!C157:CZ375,102,0)</f>
        <v>1.2699999999999999E-2</v>
      </c>
      <c r="E162" s="91">
        <f>VLOOKUP($A162,'Data Vlaue (Cr)'!$C:$FB,75)</f>
        <v>1582</v>
      </c>
      <c r="F162" s="91">
        <f>VLOOKUP($A162,'Data Vlaue (Cr)'!$C:$FB,77)</f>
        <v>7</v>
      </c>
      <c r="G162" s="92">
        <f>VLOOKUP(A162,'Data Vlaue (Cr)'!C157:CB375,78,0)</f>
        <v>4.5999999999999999E-3</v>
      </c>
      <c r="H162" s="91">
        <f>VLOOKUP($A162,'Data Vlaue (Cr)'!$C:$FB,91)</f>
        <v>132</v>
      </c>
      <c r="I162" s="91">
        <f>VLOOKUP($A162,'Data Vlaue (Cr)'!$C:$FB,93)</f>
        <v>12</v>
      </c>
      <c r="J162" s="92">
        <f>VLOOKUP($A162,'Data Vlaue (Cr)'!$C:$FB,94)</f>
        <v>0.1037</v>
      </c>
      <c r="K162" s="91">
        <f>VLOOKUP($A162,'Data Vlaue (Cr)'!$C:$FB,95)</f>
        <v>98</v>
      </c>
      <c r="L162" s="91">
        <f>VLOOKUP($A162,'Data Vlaue (Cr)'!$C:$FB,97)</f>
        <v>3</v>
      </c>
      <c r="M162" s="92">
        <f>VLOOKUP($A162,'Data Vlaue (Cr)'!$C:$FB,98)</f>
        <v>3.1E-2</v>
      </c>
      <c r="N162" s="91">
        <f>VLOOKUP($A162,'Data Vlaue (Cr)'!$C:$FB,79)</f>
        <v>1573</v>
      </c>
      <c r="O162" s="92">
        <f>VLOOKUP($A162,'Data Vlaue (Cr)'!$C:$FB,82)</f>
        <v>3.8E-3</v>
      </c>
    </row>
    <row r="163" spans="1:15" x14ac:dyDescent="0.25">
      <c r="A163" s="97" t="str">
        <f>'Data Vlaue (Cr)'!C158</f>
        <v>PAYTM</v>
      </c>
      <c r="B163" s="142">
        <f>VLOOKUP(A163,'Data Vlaue (Cr)'!C158:CW376,99,0)</f>
        <v>3027</v>
      </c>
      <c r="C163" s="90">
        <f>VLOOKUP(A163,'Data Vlaue (Cr)'!C158:CY376,101,0)</f>
        <v>177</v>
      </c>
      <c r="D163" s="139">
        <f>VLOOKUP(A163,'Data Vlaue (Cr)'!C158:CZ376,102,0)</f>
        <v>6.2E-2</v>
      </c>
      <c r="E163" s="91">
        <f>VLOOKUP($A163,'Data Vlaue (Cr)'!$C:$FB,75)</f>
        <v>1877</v>
      </c>
      <c r="F163" s="91">
        <f>VLOOKUP($A163,'Data Vlaue (Cr)'!$C:$FB,77)</f>
        <v>-74</v>
      </c>
      <c r="G163" s="92">
        <f>VLOOKUP(A163,'Data Vlaue (Cr)'!C158:CB376,78,0)</f>
        <v>-3.8100000000000002E-2</v>
      </c>
      <c r="H163" s="91">
        <f>VLOOKUP($A163,'Data Vlaue (Cr)'!$C:$FB,91)</f>
        <v>638</v>
      </c>
      <c r="I163" s="91">
        <f>VLOOKUP($A163,'Data Vlaue (Cr)'!$C:$FB,93)</f>
        <v>155</v>
      </c>
      <c r="J163" s="92">
        <f>VLOOKUP($A163,'Data Vlaue (Cr)'!$C:$FB,94)</f>
        <v>0.3221</v>
      </c>
      <c r="K163" s="91">
        <f>VLOOKUP($A163,'Data Vlaue (Cr)'!$C:$FB,95)</f>
        <v>512</v>
      </c>
      <c r="L163" s="91">
        <f>VLOOKUP($A163,'Data Vlaue (Cr)'!$C:$FB,97)</f>
        <v>96</v>
      </c>
      <c r="M163" s="92">
        <f>VLOOKUP($A163,'Data Vlaue (Cr)'!$C:$FB,98)</f>
        <v>0.2296</v>
      </c>
      <c r="N163" s="91">
        <f>VLOOKUP($A163,'Data Vlaue (Cr)'!$C:$FB,79)</f>
        <v>1805</v>
      </c>
      <c r="O163" s="92">
        <f>VLOOKUP($A163,'Data Vlaue (Cr)'!$C:$FB,82)</f>
        <v>-4.2000000000000003E-2</v>
      </c>
    </row>
    <row r="164" spans="1:15" x14ac:dyDescent="0.25">
      <c r="A164" s="97" t="str">
        <f>'Data Vlaue (Cr)'!C159</f>
        <v>PERSISTENT</v>
      </c>
      <c r="B164" s="142">
        <f>VLOOKUP(A164,'Data Vlaue (Cr)'!C159:CW377,99,0)</f>
        <v>4006</v>
      </c>
      <c r="C164" s="90">
        <f>VLOOKUP(A164,'Data Vlaue (Cr)'!C159:CY377,101,0)</f>
        <v>60</v>
      </c>
      <c r="D164" s="139">
        <f>VLOOKUP(A164,'Data Vlaue (Cr)'!C159:CZ377,102,0)</f>
        <v>1.5299999999999999E-2</v>
      </c>
      <c r="E164" s="91">
        <f>VLOOKUP($A164,'Data Vlaue (Cr)'!$C:$FB,75)</f>
        <v>3068</v>
      </c>
      <c r="F164" s="91">
        <f>VLOOKUP($A164,'Data Vlaue (Cr)'!$C:$FB,77)</f>
        <v>-6</v>
      </c>
      <c r="G164" s="92">
        <f>VLOOKUP(A164,'Data Vlaue (Cr)'!C159:CB377,78,0)</f>
        <v>-1.9E-3</v>
      </c>
      <c r="H164" s="91">
        <f>VLOOKUP($A164,'Data Vlaue (Cr)'!$C:$FB,91)</f>
        <v>480</v>
      </c>
      <c r="I164" s="91">
        <f>VLOOKUP($A164,'Data Vlaue (Cr)'!$C:$FB,93)</f>
        <v>23</v>
      </c>
      <c r="J164" s="92">
        <f>VLOOKUP($A164,'Data Vlaue (Cr)'!$C:$FB,94)</f>
        <v>5.0299999999999997E-2</v>
      </c>
      <c r="K164" s="91">
        <f>VLOOKUP($A164,'Data Vlaue (Cr)'!$C:$FB,95)</f>
        <v>458</v>
      </c>
      <c r="L164" s="91">
        <f>VLOOKUP($A164,'Data Vlaue (Cr)'!$C:$FB,97)</f>
        <v>43</v>
      </c>
      <c r="M164" s="92">
        <f>VLOOKUP($A164,'Data Vlaue (Cr)'!$C:$FB,98)</f>
        <v>0.104</v>
      </c>
      <c r="N164" s="91">
        <f>VLOOKUP($A164,'Data Vlaue (Cr)'!$C:$FB,79)</f>
        <v>2944</v>
      </c>
      <c r="O164" s="92">
        <f>VLOOKUP($A164,'Data Vlaue (Cr)'!$C:$FB,82)</f>
        <v>-9.2999999999999992E-3</v>
      </c>
    </row>
    <row r="165" spans="1:15" x14ac:dyDescent="0.25">
      <c r="A165" s="97" t="str">
        <f>'Data Vlaue (Cr)'!C160</f>
        <v>PETRONET</v>
      </c>
      <c r="B165" s="142">
        <f>VLOOKUP(A165,'Data Vlaue (Cr)'!C160:CW378,99,0)</f>
        <v>1627</v>
      </c>
      <c r="C165" s="90">
        <f>VLOOKUP(A165,'Data Vlaue (Cr)'!C160:CY378,101,0)</f>
        <v>138</v>
      </c>
      <c r="D165" s="139">
        <f>VLOOKUP(A165,'Data Vlaue (Cr)'!C160:CZ378,102,0)</f>
        <v>9.2899999999999996E-2</v>
      </c>
      <c r="E165" s="91">
        <f>VLOOKUP($A165,'Data Vlaue (Cr)'!$C:$FB,75)</f>
        <v>999</v>
      </c>
      <c r="F165" s="91">
        <f>VLOOKUP($A165,'Data Vlaue (Cr)'!$C:$FB,77)</f>
        <v>25</v>
      </c>
      <c r="G165" s="92">
        <f>VLOOKUP(A165,'Data Vlaue (Cr)'!C160:CB378,78,0)</f>
        <v>2.5700000000000001E-2</v>
      </c>
      <c r="H165" s="91">
        <f>VLOOKUP($A165,'Data Vlaue (Cr)'!$C:$FB,91)</f>
        <v>389</v>
      </c>
      <c r="I165" s="91">
        <f>VLOOKUP($A165,'Data Vlaue (Cr)'!$C:$FB,93)</f>
        <v>93</v>
      </c>
      <c r="J165" s="92">
        <f>VLOOKUP($A165,'Data Vlaue (Cr)'!$C:$FB,94)</f>
        <v>0.31630000000000003</v>
      </c>
      <c r="K165" s="91">
        <f>VLOOKUP($A165,'Data Vlaue (Cr)'!$C:$FB,95)</f>
        <v>240</v>
      </c>
      <c r="L165" s="91">
        <f>VLOOKUP($A165,'Data Vlaue (Cr)'!$C:$FB,97)</f>
        <v>20</v>
      </c>
      <c r="M165" s="92">
        <f>VLOOKUP($A165,'Data Vlaue (Cr)'!$C:$FB,98)</f>
        <v>9.0399999999999994E-2</v>
      </c>
      <c r="N165" s="91">
        <f>VLOOKUP($A165,'Data Vlaue (Cr)'!$C:$FB,79)</f>
        <v>971</v>
      </c>
      <c r="O165" s="92">
        <f>VLOOKUP($A165,'Data Vlaue (Cr)'!$C:$FB,82)</f>
        <v>2.4500000000000001E-2</v>
      </c>
    </row>
    <row r="166" spans="1:15" x14ac:dyDescent="0.25">
      <c r="A166" s="97" t="str">
        <f>'Data Vlaue (Cr)'!C161</f>
        <v>PFC</v>
      </c>
      <c r="B166" s="142">
        <f>VLOOKUP(A166,'Data Vlaue (Cr)'!C161:CW379,99,0)</f>
        <v>3847</v>
      </c>
      <c r="C166" s="90">
        <f>VLOOKUP(A166,'Data Vlaue (Cr)'!C161:CY379,101,0)</f>
        <v>307</v>
      </c>
      <c r="D166" s="139">
        <f>VLOOKUP(A166,'Data Vlaue (Cr)'!C161:CZ379,102,0)</f>
        <v>8.6699999999999999E-2</v>
      </c>
      <c r="E166" s="91">
        <f>VLOOKUP($A166,'Data Vlaue (Cr)'!$C:$FB,75)</f>
        <v>2422</v>
      </c>
      <c r="F166" s="91">
        <f>VLOOKUP($A166,'Data Vlaue (Cr)'!$C:$FB,77)</f>
        <v>70</v>
      </c>
      <c r="G166" s="92">
        <f>VLOOKUP(A166,'Data Vlaue (Cr)'!C161:CB379,78,0)</f>
        <v>2.9600000000000001E-2</v>
      </c>
      <c r="H166" s="91">
        <f>VLOOKUP($A166,'Data Vlaue (Cr)'!$C:$FB,91)</f>
        <v>816</v>
      </c>
      <c r="I166" s="91">
        <f>VLOOKUP($A166,'Data Vlaue (Cr)'!$C:$FB,93)</f>
        <v>139</v>
      </c>
      <c r="J166" s="92">
        <f>VLOOKUP($A166,'Data Vlaue (Cr)'!$C:$FB,94)</f>
        <v>0.20499999999999999</v>
      </c>
      <c r="K166" s="91">
        <f>VLOOKUP($A166,'Data Vlaue (Cr)'!$C:$FB,95)</f>
        <v>609</v>
      </c>
      <c r="L166" s="91">
        <f>VLOOKUP($A166,'Data Vlaue (Cr)'!$C:$FB,97)</f>
        <v>99</v>
      </c>
      <c r="M166" s="92">
        <f>VLOOKUP($A166,'Data Vlaue (Cr)'!$C:$FB,98)</f>
        <v>0.1933</v>
      </c>
      <c r="N166" s="91">
        <f>VLOOKUP($A166,'Data Vlaue (Cr)'!$C:$FB,79)</f>
        <v>2165</v>
      </c>
      <c r="O166" s="92">
        <f>VLOOKUP($A166,'Data Vlaue (Cr)'!$C:$FB,82)</f>
        <v>2.4400000000000002E-2</v>
      </c>
    </row>
    <row r="167" spans="1:15" x14ac:dyDescent="0.25">
      <c r="A167" s="97" t="str">
        <f>'Data Vlaue (Cr)'!C162</f>
        <v>PGEL</v>
      </c>
      <c r="B167" s="142">
        <f>VLOOKUP(A167,'Data Vlaue (Cr)'!C162:CW380,99,0)</f>
        <v>1554</v>
      </c>
      <c r="C167" s="90">
        <f>VLOOKUP(A167,'Data Vlaue (Cr)'!C162:CY380,101,0)</f>
        <v>-4</v>
      </c>
      <c r="D167" s="139">
        <f>VLOOKUP(A167,'Data Vlaue (Cr)'!C162:CZ380,102,0)</f>
        <v>-2.8E-3</v>
      </c>
      <c r="E167" s="91">
        <f>VLOOKUP($A167,'Data Vlaue (Cr)'!$C:$FB,75)</f>
        <v>845</v>
      </c>
      <c r="F167" s="91">
        <f>VLOOKUP($A167,'Data Vlaue (Cr)'!$C:$FB,77)</f>
        <v>4</v>
      </c>
      <c r="G167" s="92">
        <f>VLOOKUP(A167,'Data Vlaue (Cr)'!C162:CB380,78,0)</f>
        <v>5.3E-3</v>
      </c>
      <c r="H167" s="91">
        <f>VLOOKUP($A167,'Data Vlaue (Cr)'!$C:$FB,91)</f>
        <v>437</v>
      </c>
      <c r="I167" s="91">
        <f>VLOOKUP($A167,'Data Vlaue (Cr)'!$C:$FB,93)</f>
        <v>-21</v>
      </c>
      <c r="J167" s="92">
        <f>VLOOKUP($A167,'Data Vlaue (Cr)'!$C:$FB,94)</f>
        <v>-4.5900000000000003E-2</v>
      </c>
      <c r="K167" s="91">
        <f>VLOOKUP($A167,'Data Vlaue (Cr)'!$C:$FB,95)</f>
        <v>271</v>
      </c>
      <c r="L167" s="91">
        <f>VLOOKUP($A167,'Data Vlaue (Cr)'!$C:$FB,97)</f>
        <v>12</v>
      </c>
      <c r="M167" s="92">
        <f>VLOOKUP($A167,'Data Vlaue (Cr)'!$C:$FB,98)</f>
        <v>4.7199999999999999E-2</v>
      </c>
      <c r="N167" s="91">
        <f>VLOOKUP($A167,'Data Vlaue (Cr)'!$C:$FB,79)</f>
        <v>759</v>
      </c>
      <c r="O167" s="92">
        <f>VLOOKUP($A167,'Data Vlaue (Cr)'!$C:$FB,82)</f>
        <v>-5.7000000000000002E-3</v>
      </c>
    </row>
    <row r="168" spans="1:15" x14ac:dyDescent="0.25">
      <c r="A168" s="97" t="str">
        <f>'Data Vlaue (Cr)'!C163</f>
        <v>PHOENIXLTD</v>
      </c>
      <c r="B168" s="142">
        <f>VLOOKUP(A168,'Data Vlaue (Cr)'!C163:CW381,99,0)</f>
        <v>823</v>
      </c>
      <c r="C168" s="90">
        <f>VLOOKUP(A168,'Data Vlaue (Cr)'!C163:CY381,101,0)</f>
        <v>-11</v>
      </c>
      <c r="D168" s="139">
        <f>VLOOKUP(A168,'Data Vlaue (Cr)'!C163:CZ381,102,0)</f>
        <v>-1.3100000000000001E-2</v>
      </c>
      <c r="E168" s="91">
        <f>VLOOKUP($A168,'Data Vlaue (Cr)'!$C:$FB,75)</f>
        <v>655</v>
      </c>
      <c r="F168" s="91">
        <f>VLOOKUP($A168,'Data Vlaue (Cr)'!$C:$FB,77)</f>
        <v>-10</v>
      </c>
      <c r="G168" s="92">
        <f>VLOOKUP(A168,'Data Vlaue (Cr)'!C163:CB381,78,0)</f>
        <v>-1.4999999999999999E-2</v>
      </c>
      <c r="H168" s="91">
        <f>VLOOKUP($A168,'Data Vlaue (Cr)'!$C:$FB,91)</f>
        <v>73</v>
      </c>
      <c r="I168" s="91">
        <f>VLOOKUP($A168,'Data Vlaue (Cr)'!$C:$FB,93)</f>
        <v>1</v>
      </c>
      <c r="J168" s="92">
        <f>VLOOKUP($A168,'Data Vlaue (Cr)'!$C:$FB,94)</f>
        <v>1.1599999999999999E-2</v>
      </c>
      <c r="K168" s="91">
        <f>VLOOKUP($A168,'Data Vlaue (Cr)'!$C:$FB,95)</f>
        <v>95</v>
      </c>
      <c r="L168" s="91">
        <f>VLOOKUP($A168,'Data Vlaue (Cr)'!$C:$FB,97)</f>
        <v>-2</v>
      </c>
      <c r="M168" s="92">
        <f>VLOOKUP($A168,'Data Vlaue (Cr)'!$C:$FB,98)</f>
        <v>-1.8599999999999998E-2</v>
      </c>
      <c r="N168" s="91">
        <f>VLOOKUP($A168,'Data Vlaue (Cr)'!$C:$FB,79)</f>
        <v>652</v>
      </c>
      <c r="O168" s="92">
        <f>VLOOKUP($A168,'Data Vlaue (Cr)'!$C:$FB,82)</f>
        <v>-1.55E-2</v>
      </c>
    </row>
    <row r="169" spans="1:15" x14ac:dyDescent="0.25">
      <c r="A169" s="97" t="str">
        <f>'Data Vlaue (Cr)'!C164</f>
        <v>PIDILITIND</v>
      </c>
      <c r="B169" s="142">
        <f>VLOOKUP(A169,'Data Vlaue (Cr)'!C164:CW382,99,0)</f>
        <v>1297</v>
      </c>
      <c r="C169" s="90">
        <f>VLOOKUP(A169,'Data Vlaue (Cr)'!C164:CY382,101,0)</f>
        <v>1</v>
      </c>
      <c r="D169" s="139">
        <f>VLOOKUP(A169,'Data Vlaue (Cr)'!C164:CZ382,102,0)</f>
        <v>5.9999999999999995E-4</v>
      </c>
      <c r="E169" s="91">
        <f>VLOOKUP($A169,'Data Vlaue (Cr)'!$C:$FB,75)</f>
        <v>1058</v>
      </c>
      <c r="F169" s="91">
        <f>VLOOKUP($A169,'Data Vlaue (Cr)'!$C:$FB,77)</f>
        <v>0</v>
      </c>
      <c r="G169" s="92">
        <f>VLOOKUP(A169,'Data Vlaue (Cr)'!C164:CB382,78,0)</f>
        <v>4.0000000000000002E-4</v>
      </c>
      <c r="H169" s="91">
        <f>VLOOKUP($A169,'Data Vlaue (Cr)'!$C:$FB,91)</f>
        <v>130</v>
      </c>
      <c r="I169" s="91">
        <f>VLOOKUP($A169,'Data Vlaue (Cr)'!$C:$FB,93)</f>
        <v>1</v>
      </c>
      <c r="J169" s="92">
        <f>VLOOKUP($A169,'Data Vlaue (Cr)'!$C:$FB,94)</f>
        <v>1.11E-2</v>
      </c>
      <c r="K169" s="91">
        <f>VLOOKUP($A169,'Data Vlaue (Cr)'!$C:$FB,95)</f>
        <v>109</v>
      </c>
      <c r="L169" s="91">
        <f>VLOOKUP($A169,'Data Vlaue (Cr)'!$C:$FB,97)</f>
        <v>-1</v>
      </c>
      <c r="M169" s="92">
        <f>VLOOKUP($A169,'Data Vlaue (Cr)'!$C:$FB,98)</f>
        <v>-9.7999999999999997E-3</v>
      </c>
      <c r="N169" s="91">
        <f>VLOOKUP($A169,'Data Vlaue (Cr)'!$C:$FB,79)</f>
        <v>1046</v>
      </c>
      <c r="O169" s="92">
        <f>VLOOKUP($A169,'Data Vlaue (Cr)'!$C:$FB,82)</f>
        <v>-4.0000000000000002E-4</v>
      </c>
    </row>
    <row r="170" spans="1:15" x14ac:dyDescent="0.25">
      <c r="A170" s="97" t="str">
        <f>'Data Vlaue (Cr)'!C165</f>
        <v>PIIND</v>
      </c>
      <c r="B170" s="142">
        <f>VLOOKUP(A170,'Data Vlaue (Cr)'!C165:CW383,99,0)</f>
        <v>1036</v>
      </c>
      <c r="C170" s="90">
        <f>VLOOKUP(A170,'Data Vlaue (Cr)'!C165:CY383,101,0)</f>
        <v>30</v>
      </c>
      <c r="D170" s="139">
        <f>VLOOKUP(A170,'Data Vlaue (Cr)'!C165:CZ383,102,0)</f>
        <v>3.0099999999999998E-2</v>
      </c>
      <c r="E170" s="91">
        <f>VLOOKUP($A170,'Data Vlaue (Cr)'!$C:$FB,75)</f>
        <v>754</v>
      </c>
      <c r="F170" s="91">
        <f>VLOOKUP($A170,'Data Vlaue (Cr)'!$C:$FB,77)</f>
        <v>-19</v>
      </c>
      <c r="G170" s="92">
        <f>VLOOKUP(A170,'Data Vlaue (Cr)'!C165:CB383,78,0)</f>
        <v>-2.4400000000000002E-2</v>
      </c>
      <c r="H170" s="91">
        <f>VLOOKUP($A170,'Data Vlaue (Cr)'!$C:$FB,91)</f>
        <v>143</v>
      </c>
      <c r="I170" s="91">
        <f>VLOOKUP($A170,'Data Vlaue (Cr)'!$C:$FB,93)</f>
        <v>20</v>
      </c>
      <c r="J170" s="92">
        <f>VLOOKUP($A170,'Data Vlaue (Cr)'!$C:$FB,94)</f>
        <v>0.1648</v>
      </c>
      <c r="K170" s="91">
        <f>VLOOKUP($A170,'Data Vlaue (Cr)'!$C:$FB,95)</f>
        <v>139</v>
      </c>
      <c r="L170" s="91">
        <f>VLOOKUP($A170,'Data Vlaue (Cr)'!$C:$FB,97)</f>
        <v>29</v>
      </c>
      <c r="M170" s="92">
        <f>VLOOKUP($A170,'Data Vlaue (Cr)'!$C:$FB,98)</f>
        <v>0.2626</v>
      </c>
      <c r="N170" s="91">
        <f>VLOOKUP($A170,'Data Vlaue (Cr)'!$C:$FB,79)</f>
        <v>731</v>
      </c>
      <c r="O170" s="92">
        <f>VLOOKUP($A170,'Data Vlaue (Cr)'!$C:$FB,82)</f>
        <v>-2.7799999999999998E-2</v>
      </c>
    </row>
    <row r="171" spans="1:15" x14ac:dyDescent="0.25">
      <c r="A171" s="97" t="str">
        <f>'Data Vlaue (Cr)'!C166</f>
        <v>PNB</v>
      </c>
      <c r="B171" s="142">
        <f>VLOOKUP(A171,'Data Vlaue (Cr)'!C166:CW384,99,0)</f>
        <v>4744</v>
      </c>
      <c r="C171" s="90">
        <f>VLOOKUP(A171,'Data Vlaue (Cr)'!C166:CY384,101,0)</f>
        <v>172</v>
      </c>
      <c r="D171" s="139">
        <f>VLOOKUP(A171,'Data Vlaue (Cr)'!C166:CZ384,102,0)</f>
        <v>3.7600000000000001E-2</v>
      </c>
      <c r="E171" s="91">
        <f>VLOOKUP($A171,'Data Vlaue (Cr)'!$C:$FB,75)</f>
        <v>3137</v>
      </c>
      <c r="F171" s="91">
        <f>VLOOKUP($A171,'Data Vlaue (Cr)'!$C:$FB,77)</f>
        <v>65</v>
      </c>
      <c r="G171" s="92">
        <f>VLOOKUP(A171,'Data Vlaue (Cr)'!C166:CB384,78,0)</f>
        <v>2.12E-2</v>
      </c>
      <c r="H171" s="91">
        <f>VLOOKUP($A171,'Data Vlaue (Cr)'!$C:$FB,91)</f>
        <v>911</v>
      </c>
      <c r="I171" s="91">
        <f>VLOOKUP($A171,'Data Vlaue (Cr)'!$C:$FB,93)</f>
        <v>73</v>
      </c>
      <c r="J171" s="92">
        <f>VLOOKUP($A171,'Data Vlaue (Cr)'!$C:$FB,94)</f>
        <v>8.7300000000000003E-2</v>
      </c>
      <c r="K171" s="91">
        <f>VLOOKUP($A171,'Data Vlaue (Cr)'!$C:$FB,95)</f>
        <v>696</v>
      </c>
      <c r="L171" s="91">
        <f>VLOOKUP($A171,'Data Vlaue (Cr)'!$C:$FB,97)</f>
        <v>34</v>
      </c>
      <c r="M171" s="92">
        <f>VLOOKUP($A171,'Data Vlaue (Cr)'!$C:$FB,98)</f>
        <v>5.0999999999999997E-2</v>
      </c>
      <c r="N171" s="91">
        <f>VLOOKUP($A171,'Data Vlaue (Cr)'!$C:$FB,79)</f>
        <v>2956</v>
      </c>
      <c r="O171" s="92">
        <f>VLOOKUP($A171,'Data Vlaue (Cr)'!$C:$FB,82)</f>
        <v>1.44E-2</v>
      </c>
    </row>
    <row r="172" spans="1:15" x14ac:dyDescent="0.25">
      <c r="A172" s="97" t="str">
        <f>'Data Vlaue (Cr)'!C167</f>
        <v>PNBHOUSING</v>
      </c>
      <c r="B172" s="142">
        <f>VLOOKUP(A172,'Data Vlaue (Cr)'!C167:CW385,99,0)</f>
        <v>1370</v>
      </c>
      <c r="C172" s="90">
        <f>VLOOKUP(A172,'Data Vlaue (Cr)'!C167:CY385,101,0)</f>
        <v>-5</v>
      </c>
      <c r="D172" s="139">
        <f>VLOOKUP(A172,'Data Vlaue (Cr)'!C167:CZ385,102,0)</f>
        <v>-3.3E-3</v>
      </c>
      <c r="E172" s="91">
        <f>VLOOKUP($A172,'Data Vlaue (Cr)'!$C:$FB,75)</f>
        <v>1171</v>
      </c>
      <c r="F172" s="91">
        <f>VLOOKUP($A172,'Data Vlaue (Cr)'!$C:$FB,77)</f>
        <v>-7</v>
      </c>
      <c r="G172" s="92">
        <f>VLOOKUP(A172,'Data Vlaue (Cr)'!C167:CB385,78,0)</f>
        <v>-6.0000000000000001E-3</v>
      </c>
      <c r="H172" s="91">
        <f>VLOOKUP($A172,'Data Vlaue (Cr)'!$C:$FB,91)</f>
        <v>107</v>
      </c>
      <c r="I172" s="91">
        <f>VLOOKUP($A172,'Data Vlaue (Cr)'!$C:$FB,93)</f>
        <v>-4</v>
      </c>
      <c r="J172" s="92">
        <f>VLOOKUP($A172,'Data Vlaue (Cr)'!$C:$FB,94)</f>
        <v>-3.2199999999999999E-2</v>
      </c>
      <c r="K172" s="91">
        <f>VLOOKUP($A172,'Data Vlaue (Cr)'!$C:$FB,95)</f>
        <v>92</v>
      </c>
      <c r="L172" s="91">
        <f>VLOOKUP($A172,'Data Vlaue (Cr)'!$C:$FB,97)</f>
        <v>6</v>
      </c>
      <c r="M172" s="92">
        <f>VLOOKUP($A172,'Data Vlaue (Cr)'!$C:$FB,98)</f>
        <v>6.9900000000000004E-2</v>
      </c>
      <c r="N172" s="91">
        <f>VLOOKUP($A172,'Data Vlaue (Cr)'!$C:$FB,79)</f>
        <v>1151</v>
      </c>
      <c r="O172" s="92">
        <f>VLOOKUP($A172,'Data Vlaue (Cr)'!$C:$FB,82)</f>
        <v>-6.6E-3</v>
      </c>
    </row>
    <row r="173" spans="1:15" x14ac:dyDescent="0.25">
      <c r="A173" s="97" t="str">
        <f>'Data Vlaue (Cr)'!C168</f>
        <v>POLICYBZR</v>
      </c>
      <c r="B173" s="142">
        <f>VLOOKUP(A173,'Data Vlaue (Cr)'!C168:CW386,99,0)</f>
        <v>1468</v>
      </c>
      <c r="C173" s="90">
        <f>VLOOKUP(A173,'Data Vlaue (Cr)'!C168:CY386,101,0)</f>
        <v>36</v>
      </c>
      <c r="D173" s="139">
        <f>VLOOKUP(A173,'Data Vlaue (Cr)'!C168:CZ386,102,0)</f>
        <v>2.5100000000000001E-2</v>
      </c>
      <c r="E173" s="91">
        <f>VLOOKUP($A173,'Data Vlaue (Cr)'!$C:$FB,75)</f>
        <v>1180</v>
      </c>
      <c r="F173" s="91">
        <f>VLOOKUP($A173,'Data Vlaue (Cr)'!$C:$FB,77)</f>
        <v>26</v>
      </c>
      <c r="G173" s="92">
        <f>VLOOKUP(A173,'Data Vlaue (Cr)'!C168:CB386,78,0)</f>
        <v>2.2200000000000001E-2</v>
      </c>
      <c r="H173" s="91">
        <f>VLOOKUP($A173,'Data Vlaue (Cr)'!$C:$FB,91)</f>
        <v>151</v>
      </c>
      <c r="I173" s="91">
        <f>VLOOKUP($A173,'Data Vlaue (Cr)'!$C:$FB,93)</f>
        <v>5</v>
      </c>
      <c r="J173" s="92">
        <f>VLOOKUP($A173,'Data Vlaue (Cr)'!$C:$FB,94)</f>
        <v>3.3799999999999997E-2</v>
      </c>
      <c r="K173" s="91">
        <f>VLOOKUP($A173,'Data Vlaue (Cr)'!$C:$FB,95)</f>
        <v>137</v>
      </c>
      <c r="L173" s="91">
        <f>VLOOKUP($A173,'Data Vlaue (Cr)'!$C:$FB,97)</f>
        <v>5</v>
      </c>
      <c r="M173" s="92">
        <f>VLOOKUP($A173,'Data Vlaue (Cr)'!$C:$FB,98)</f>
        <v>4.07E-2</v>
      </c>
      <c r="N173" s="91">
        <f>VLOOKUP($A173,'Data Vlaue (Cr)'!$C:$FB,79)</f>
        <v>1172</v>
      </c>
      <c r="O173" s="92">
        <f>VLOOKUP($A173,'Data Vlaue (Cr)'!$C:$FB,82)</f>
        <v>2.1999999999999999E-2</v>
      </c>
    </row>
    <row r="174" spans="1:15" x14ac:dyDescent="0.25">
      <c r="A174" s="97" t="str">
        <f>'Data Vlaue (Cr)'!C169</f>
        <v>POLYCAB</v>
      </c>
      <c r="B174" s="142">
        <f>VLOOKUP(A174,'Data Vlaue (Cr)'!C169:CW387,99,0)</f>
        <v>2769</v>
      </c>
      <c r="C174" s="90">
        <f>VLOOKUP(A174,'Data Vlaue (Cr)'!C169:CY387,101,0)</f>
        <v>84</v>
      </c>
      <c r="D174" s="139">
        <f>VLOOKUP(A174,'Data Vlaue (Cr)'!C169:CZ387,102,0)</f>
        <v>3.1099999999999999E-2</v>
      </c>
      <c r="E174" s="91">
        <f>VLOOKUP($A174,'Data Vlaue (Cr)'!$C:$FB,75)</f>
        <v>1539</v>
      </c>
      <c r="F174" s="91">
        <f>VLOOKUP($A174,'Data Vlaue (Cr)'!$C:$FB,77)</f>
        <v>-14</v>
      </c>
      <c r="G174" s="92">
        <f>VLOOKUP(A174,'Data Vlaue (Cr)'!C169:CB387,78,0)</f>
        <v>-8.8999999999999999E-3</v>
      </c>
      <c r="H174" s="91">
        <f>VLOOKUP($A174,'Data Vlaue (Cr)'!$C:$FB,91)</f>
        <v>626</v>
      </c>
      <c r="I174" s="91">
        <f>VLOOKUP($A174,'Data Vlaue (Cr)'!$C:$FB,93)</f>
        <v>56</v>
      </c>
      <c r="J174" s="92">
        <f>VLOOKUP($A174,'Data Vlaue (Cr)'!$C:$FB,94)</f>
        <v>9.7600000000000006E-2</v>
      </c>
      <c r="K174" s="91">
        <f>VLOOKUP($A174,'Data Vlaue (Cr)'!$C:$FB,95)</f>
        <v>604</v>
      </c>
      <c r="L174" s="91">
        <f>VLOOKUP($A174,'Data Vlaue (Cr)'!$C:$FB,97)</f>
        <v>42</v>
      </c>
      <c r="M174" s="92">
        <f>VLOOKUP($A174,'Data Vlaue (Cr)'!$C:$FB,98)</f>
        <v>7.4499999999999997E-2</v>
      </c>
      <c r="N174" s="91">
        <f>VLOOKUP($A174,'Data Vlaue (Cr)'!$C:$FB,79)</f>
        <v>1502</v>
      </c>
      <c r="O174" s="92">
        <f>VLOOKUP($A174,'Data Vlaue (Cr)'!$C:$FB,82)</f>
        <v>-1.11E-2</v>
      </c>
    </row>
    <row r="175" spans="1:15" x14ac:dyDescent="0.25">
      <c r="A175" s="97" t="str">
        <f>'Data Vlaue (Cr)'!C170</f>
        <v>POWERGRID</v>
      </c>
      <c r="B175" s="142">
        <f>VLOOKUP(A175,'Data Vlaue (Cr)'!C170:CW388,99,0)</f>
        <v>3721</v>
      </c>
      <c r="C175" s="90">
        <f>VLOOKUP(A175,'Data Vlaue (Cr)'!C170:CY388,101,0)</f>
        <v>-24</v>
      </c>
      <c r="D175" s="139">
        <f>VLOOKUP(A175,'Data Vlaue (Cr)'!C170:CZ388,102,0)</f>
        <v>-6.4000000000000003E-3</v>
      </c>
      <c r="E175" s="91">
        <f>VLOOKUP($A175,'Data Vlaue (Cr)'!$C:$FB,75)</f>
        <v>2375</v>
      </c>
      <c r="F175" s="91">
        <f>VLOOKUP($A175,'Data Vlaue (Cr)'!$C:$FB,77)</f>
        <v>11</v>
      </c>
      <c r="G175" s="92">
        <f>VLOOKUP(A175,'Data Vlaue (Cr)'!C170:CB388,78,0)</f>
        <v>4.5999999999999999E-3</v>
      </c>
      <c r="H175" s="91">
        <f>VLOOKUP($A175,'Data Vlaue (Cr)'!$C:$FB,91)</f>
        <v>893</v>
      </c>
      <c r="I175" s="91">
        <f>VLOOKUP($A175,'Data Vlaue (Cr)'!$C:$FB,93)</f>
        <v>-48</v>
      </c>
      <c r="J175" s="92">
        <f>VLOOKUP($A175,'Data Vlaue (Cr)'!$C:$FB,94)</f>
        <v>-5.0700000000000002E-2</v>
      </c>
      <c r="K175" s="91">
        <f>VLOOKUP($A175,'Data Vlaue (Cr)'!$C:$FB,95)</f>
        <v>452</v>
      </c>
      <c r="L175" s="91">
        <f>VLOOKUP($A175,'Data Vlaue (Cr)'!$C:$FB,97)</f>
        <v>13</v>
      </c>
      <c r="M175" s="92">
        <f>VLOOKUP($A175,'Data Vlaue (Cr)'!$C:$FB,98)</f>
        <v>2.9600000000000001E-2</v>
      </c>
      <c r="N175" s="91">
        <f>VLOOKUP($A175,'Data Vlaue (Cr)'!$C:$FB,79)</f>
        <v>2230</v>
      </c>
      <c r="O175" s="92">
        <f>VLOOKUP($A175,'Data Vlaue (Cr)'!$C:$FB,82)</f>
        <v>-2E-3</v>
      </c>
    </row>
    <row r="176" spans="1:15" x14ac:dyDescent="0.25">
      <c r="A176" s="97" t="str">
        <f>'Data Vlaue (Cr)'!C171</f>
        <v>POWERINDIA</v>
      </c>
      <c r="B176" s="142">
        <f>VLOOKUP(A176,'Data Vlaue (Cr)'!C171:CW389,99,0)</f>
        <v>1853</v>
      </c>
      <c r="C176" s="90">
        <f>VLOOKUP(A176,'Data Vlaue (Cr)'!C171:CY389,101,0)</f>
        <v>385</v>
      </c>
      <c r="D176" s="139">
        <f>VLOOKUP(A176,'Data Vlaue (Cr)'!C171:CZ389,102,0)</f>
        <v>0.26229999999999998</v>
      </c>
      <c r="E176" s="91">
        <f>VLOOKUP($A176,'Data Vlaue (Cr)'!$C:$FB,75)</f>
        <v>993</v>
      </c>
      <c r="F176" s="91">
        <f>VLOOKUP($A176,'Data Vlaue (Cr)'!$C:$FB,77)</f>
        <v>119</v>
      </c>
      <c r="G176" s="92">
        <f>VLOOKUP(A176,'Data Vlaue (Cr)'!C171:CB389,78,0)</f>
        <v>0.1368</v>
      </c>
      <c r="H176" s="91">
        <f>VLOOKUP($A176,'Data Vlaue (Cr)'!$C:$FB,91)</f>
        <v>438</v>
      </c>
      <c r="I176" s="91">
        <f>VLOOKUP($A176,'Data Vlaue (Cr)'!$C:$FB,93)</f>
        <v>117</v>
      </c>
      <c r="J176" s="92">
        <f>VLOOKUP($A176,'Data Vlaue (Cr)'!$C:$FB,94)</f>
        <v>0.36320000000000002</v>
      </c>
      <c r="K176" s="91">
        <f>VLOOKUP($A176,'Data Vlaue (Cr)'!$C:$FB,95)</f>
        <v>421</v>
      </c>
      <c r="L176" s="91">
        <f>VLOOKUP($A176,'Data Vlaue (Cr)'!$C:$FB,97)</f>
        <v>149</v>
      </c>
      <c r="M176" s="92">
        <f>VLOOKUP($A176,'Data Vlaue (Cr)'!$C:$FB,98)</f>
        <v>0.54530000000000001</v>
      </c>
      <c r="N176" s="91">
        <f>VLOOKUP($A176,'Data Vlaue (Cr)'!$C:$FB,79)</f>
        <v>938</v>
      </c>
      <c r="O176" s="92">
        <f>VLOOKUP($A176,'Data Vlaue (Cr)'!$C:$FB,82)</f>
        <v>0.12970000000000001</v>
      </c>
    </row>
    <row r="177" spans="1:15" x14ac:dyDescent="0.25">
      <c r="A177" s="97" t="str">
        <f>'Data Vlaue (Cr)'!C172</f>
        <v>PPLPHARMA</v>
      </c>
      <c r="B177" s="142">
        <f>VLOOKUP(A177,'Data Vlaue (Cr)'!C172:CW390,99,0)</f>
        <v>284</v>
      </c>
      <c r="C177" s="90">
        <f>VLOOKUP(A177,'Data Vlaue (Cr)'!C172:CY390,101,0)</f>
        <v>18</v>
      </c>
      <c r="D177" s="139">
        <f>VLOOKUP(A177,'Data Vlaue (Cr)'!C172:CZ390,102,0)</f>
        <v>6.93E-2</v>
      </c>
      <c r="E177" s="91">
        <f>VLOOKUP($A177,'Data Vlaue (Cr)'!$C:$FB,75)</f>
        <v>189</v>
      </c>
      <c r="F177" s="91">
        <f>VLOOKUP($A177,'Data Vlaue (Cr)'!$C:$FB,77)</f>
        <v>4</v>
      </c>
      <c r="G177" s="92">
        <f>VLOOKUP(A177,'Data Vlaue (Cr)'!C172:CB390,78,0)</f>
        <v>2.2599999999999999E-2</v>
      </c>
      <c r="H177" s="91">
        <f>VLOOKUP($A177,'Data Vlaue (Cr)'!$C:$FB,91)</f>
        <v>59</v>
      </c>
      <c r="I177" s="91">
        <f>VLOOKUP($A177,'Data Vlaue (Cr)'!$C:$FB,93)</f>
        <v>12</v>
      </c>
      <c r="J177" s="92">
        <f>VLOOKUP($A177,'Data Vlaue (Cr)'!$C:$FB,94)</f>
        <v>0.25</v>
      </c>
      <c r="K177" s="91">
        <f>VLOOKUP($A177,'Data Vlaue (Cr)'!$C:$FB,95)</f>
        <v>35</v>
      </c>
      <c r="L177" s="91">
        <f>VLOOKUP($A177,'Data Vlaue (Cr)'!$C:$FB,97)</f>
        <v>2</v>
      </c>
      <c r="M177" s="92">
        <f>VLOOKUP($A177,'Data Vlaue (Cr)'!$C:$FB,98)</f>
        <v>7.1099999999999997E-2</v>
      </c>
      <c r="N177" s="91">
        <f>VLOOKUP($A177,'Data Vlaue (Cr)'!$C:$FB,79)</f>
        <v>189</v>
      </c>
      <c r="O177" s="92">
        <f>VLOOKUP($A177,'Data Vlaue (Cr)'!$C:$FB,82)</f>
        <v>2.2599999999999999E-2</v>
      </c>
    </row>
    <row r="178" spans="1:15" x14ac:dyDescent="0.25">
      <c r="A178" s="97" t="str">
        <f>'Data Vlaue (Cr)'!C173</f>
        <v>PREMIERENE</v>
      </c>
      <c r="B178" s="142">
        <f>VLOOKUP(A178,'Data Vlaue (Cr)'!C173:CW391,99,0)</f>
        <v>1383</v>
      </c>
      <c r="C178" s="90">
        <f>VLOOKUP(A178,'Data Vlaue (Cr)'!C173:CY391,101,0)</f>
        <v>50</v>
      </c>
      <c r="D178" s="139">
        <f>VLOOKUP(A178,'Data Vlaue (Cr)'!C173:CZ391,102,0)</f>
        <v>3.7400000000000003E-2</v>
      </c>
      <c r="E178" s="91">
        <f>VLOOKUP($A178,'Data Vlaue (Cr)'!$C:$FB,75)</f>
        <v>1015</v>
      </c>
      <c r="F178" s="91">
        <f>VLOOKUP($A178,'Data Vlaue (Cr)'!$C:$FB,77)</f>
        <v>20</v>
      </c>
      <c r="G178" s="92">
        <f>VLOOKUP(A178,'Data Vlaue (Cr)'!C173:CB391,78,0)</f>
        <v>0.02</v>
      </c>
      <c r="H178" s="91">
        <f>VLOOKUP($A178,'Data Vlaue (Cr)'!$C:$FB,91)</f>
        <v>199</v>
      </c>
      <c r="I178" s="91">
        <f>VLOOKUP($A178,'Data Vlaue (Cr)'!$C:$FB,93)</f>
        <v>21</v>
      </c>
      <c r="J178" s="92">
        <f>VLOOKUP($A178,'Data Vlaue (Cr)'!$C:$FB,94)</f>
        <v>0.1195</v>
      </c>
      <c r="K178" s="91">
        <f>VLOOKUP($A178,'Data Vlaue (Cr)'!$C:$FB,95)</f>
        <v>168</v>
      </c>
      <c r="L178" s="91">
        <f>VLOOKUP($A178,'Data Vlaue (Cr)'!$C:$FB,97)</f>
        <v>9</v>
      </c>
      <c r="M178" s="92">
        <f>VLOOKUP($A178,'Data Vlaue (Cr)'!$C:$FB,98)</f>
        <v>5.4300000000000001E-2</v>
      </c>
      <c r="N178" s="91">
        <f>VLOOKUP($A178,'Data Vlaue (Cr)'!$C:$FB,79)</f>
        <v>1009</v>
      </c>
      <c r="O178" s="92">
        <f>VLOOKUP($A178,'Data Vlaue (Cr)'!$C:$FB,82)</f>
        <v>2.0299999999999999E-2</v>
      </c>
    </row>
    <row r="179" spans="1:15" x14ac:dyDescent="0.25">
      <c r="A179" s="97" t="str">
        <f>'Data Vlaue (Cr)'!C174</f>
        <v>PRESTIGE</v>
      </c>
      <c r="B179" s="142">
        <f>VLOOKUP(A179,'Data Vlaue (Cr)'!C174:CW392,99,0)</f>
        <v>1272</v>
      </c>
      <c r="C179" s="90">
        <f>VLOOKUP(A179,'Data Vlaue (Cr)'!C174:CY392,101,0)</f>
        <v>57</v>
      </c>
      <c r="D179" s="139">
        <f>VLOOKUP(A179,'Data Vlaue (Cr)'!C174:CZ392,102,0)</f>
        <v>4.6899999999999997E-2</v>
      </c>
      <c r="E179" s="91">
        <f>VLOOKUP($A179,'Data Vlaue (Cr)'!$C:$FB,75)</f>
        <v>915</v>
      </c>
      <c r="F179" s="91">
        <f>VLOOKUP($A179,'Data Vlaue (Cr)'!$C:$FB,77)</f>
        <v>20</v>
      </c>
      <c r="G179" s="92">
        <f>VLOOKUP(A179,'Data Vlaue (Cr)'!C174:CB392,78,0)</f>
        <v>2.1899999999999999E-2</v>
      </c>
      <c r="H179" s="91">
        <f>VLOOKUP($A179,'Data Vlaue (Cr)'!$C:$FB,91)</f>
        <v>222</v>
      </c>
      <c r="I179" s="91">
        <f>VLOOKUP($A179,'Data Vlaue (Cr)'!$C:$FB,93)</f>
        <v>28</v>
      </c>
      <c r="J179" s="92">
        <f>VLOOKUP($A179,'Data Vlaue (Cr)'!$C:$FB,94)</f>
        <v>0.1467</v>
      </c>
      <c r="K179" s="91">
        <f>VLOOKUP($A179,'Data Vlaue (Cr)'!$C:$FB,95)</f>
        <v>135</v>
      </c>
      <c r="L179" s="91">
        <f>VLOOKUP($A179,'Data Vlaue (Cr)'!$C:$FB,97)</f>
        <v>9</v>
      </c>
      <c r="M179" s="92">
        <f>VLOOKUP($A179,'Data Vlaue (Cr)'!$C:$FB,98)</f>
        <v>7.1300000000000002E-2</v>
      </c>
      <c r="N179" s="91">
        <f>VLOOKUP($A179,'Data Vlaue (Cr)'!$C:$FB,79)</f>
        <v>905</v>
      </c>
      <c r="O179" s="92">
        <f>VLOOKUP($A179,'Data Vlaue (Cr)'!$C:$FB,82)</f>
        <v>2.24E-2</v>
      </c>
    </row>
    <row r="180" spans="1:15" x14ac:dyDescent="0.25">
      <c r="A180" s="97" t="str">
        <f>'Data Vlaue (Cr)'!C175</f>
        <v>RBLBANK</v>
      </c>
      <c r="B180" s="142">
        <f>VLOOKUP(A180,'Data Vlaue (Cr)'!C175:CW393,99,0)</f>
        <v>3861</v>
      </c>
      <c r="C180" s="90">
        <f>VLOOKUP(A180,'Data Vlaue (Cr)'!C175:CY393,101,0)</f>
        <v>-21</v>
      </c>
      <c r="D180" s="139">
        <f>VLOOKUP(A180,'Data Vlaue (Cr)'!C175:CZ393,102,0)</f>
        <v>-5.3E-3</v>
      </c>
      <c r="E180" s="91">
        <f>VLOOKUP($A180,'Data Vlaue (Cr)'!$C:$FB,75)</f>
        <v>2056</v>
      </c>
      <c r="F180" s="91">
        <f>VLOOKUP($A180,'Data Vlaue (Cr)'!$C:$FB,77)</f>
        <v>-31</v>
      </c>
      <c r="G180" s="92">
        <f>VLOOKUP(A180,'Data Vlaue (Cr)'!C175:CB393,78,0)</f>
        <v>-1.4800000000000001E-2</v>
      </c>
      <c r="H180" s="91">
        <f>VLOOKUP($A180,'Data Vlaue (Cr)'!$C:$FB,91)</f>
        <v>881</v>
      </c>
      <c r="I180" s="91">
        <f>VLOOKUP($A180,'Data Vlaue (Cr)'!$C:$FB,93)</f>
        <v>13</v>
      </c>
      <c r="J180" s="92">
        <f>VLOOKUP($A180,'Data Vlaue (Cr)'!$C:$FB,94)</f>
        <v>1.4800000000000001E-2</v>
      </c>
      <c r="K180" s="91">
        <f>VLOOKUP($A180,'Data Vlaue (Cr)'!$C:$FB,95)</f>
        <v>924</v>
      </c>
      <c r="L180" s="91">
        <f>VLOOKUP($A180,'Data Vlaue (Cr)'!$C:$FB,97)</f>
        <v>-3</v>
      </c>
      <c r="M180" s="92">
        <f>VLOOKUP($A180,'Data Vlaue (Cr)'!$C:$FB,98)</f>
        <v>-2.8E-3</v>
      </c>
      <c r="N180" s="91">
        <f>VLOOKUP($A180,'Data Vlaue (Cr)'!$C:$FB,79)</f>
        <v>2038</v>
      </c>
      <c r="O180" s="92">
        <f>VLOOKUP($A180,'Data Vlaue (Cr)'!$C:$FB,82)</f>
        <v>-1.55E-2</v>
      </c>
    </row>
    <row r="181" spans="1:15" x14ac:dyDescent="0.25">
      <c r="A181" s="97" t="str">
        <f>'Data Vlaue (Cr)'!C176</f>
        <v>RECLTD</v>
      </c>
      <c r="B181" s="142">
        <f>VLOOKUP(A181,'Data Vlaue (Cr)'!C176:CW394,99,0)</f>
        <v>3805</v>
      </c>
      <c r="C181" s="90">
        <f>VLOOKUP(A181,'Data Vlaue (Cr)'!C176:CY394,101,0)</f>
        <v>70</v>
      </c>
      <c r="D181" s="139">
        <f>VLOOKUP(A181,'Data Vlaue (Cr)'!C176:CZ394,102,0)</f>
        <v>1.8599999999999998E-2</v>
      </c>
      <c r="E181" s="91">
        <f>VLOOKUP($A181,'Data Vlaue (Cr)'!$C:$FB,75)</f>
        <v>2432</v>
      </c>
      <c r="F181" s="91">
        <f>VLOOKUP($A181,'Data Vlaue (Cr)'!$C:$FB,77)</f>
        <v>9</v>
      </c>
      <c r="G181" s="92">
        <f>VLOOKUP(A181,'Data Vlaue (Cr)'!C176:CB394,78,0)</f>
        <v>3.8E-3</v>
      </c>
      <c r="H181" s="91">
        <f>VLOOKUP($A181,'Data Vlaue (Cr)'!$C:$FB,91)</f>
        <v>727</v>
      </c>
      <c r="I181" s="91">
        <f>VLOOKUP($A181,'Data Vlaue (Cr)'!$C:$FB,93)</f>
        <v>37</v>
      </c>
      <c r="J181" s="92">
        <f>VLOOKUP($A181,'Data Vlaue (Cr)'!$C:$FB,94)</f>
        <v>5.3999999999999999E-2</v>
      </c>
      <c r="K181" s="91">
        <f>VLOOKUP($A181,'Data Vlaue (Cr)'!$C:$FB,95)</f>
        <v>646</v>
      </c>
      <c r="L181" s="91">
        <f>VLOOKUP($A181,'Data Vlaue (Cr)'!$C:$FB,97)</f>
        <v>23</v>
      </c>
      <c r="M181" s="92">
        <f>VLOOKUP($A181,'Data Vlaue (Cr)'!$C:$FB,98)</f>
        <v>3.7199999999999997E-2</v>
      </c>
      <c r="N181" s="91">
        <f>VLOOKUP($A181,'Data Vlaue (Cr)'!$C:$FB,79)</f>
        <v>2262</v>
      </c>
      <c r="O181" s="92">
        <f>VLOOKUP($A181,'Data Vlaue (Cr)'!$C:$FB,82)</f>
        <v>1.6999999999999999E-3</v>
      </c>
    </row>
    <row r="182" spans="1:15" x14ac:dyDescent="0.25">
      <c r="A182" s="97" t="str">
        <f>'Data Vlaue (Cr)'!C177</f>
        <v>RELIANCE</v>
      </c>
      <c r="B182" s="142">
        <f>VLOOKUP(A182,'Data Vlaue (Cr)'!C177:CW395,99,0)</f>
        <v>27913</v>
      </c>
      <c r="C182" s="90">
        <f>VLOOKUP(A182,'Data Vlaue (Cr)'!C177:CY395,101,0)</f>
        <v>340</v>
      </c>
      <c r="D182" s="139">
        <f>VLOOKUP(A182,'Data Vlaue (Cr)'!C177:CZ395,102,0)</f>
        <v>1.23E-2</v>
      </c>
      <c r="E182" s="91">
        <f>VLOOKUP($A182,'Data Vlaue (Cr)'!$C:$FB,75)</f>
        <v>12494</v>
      </c>
      <c r="F182" s="91">
        <f>VLOOKUP($A182,'Data Vlaue (Cr)'!$C:$FB,77)</f>
        <v>221</v>
      </c>
      <c r="G182" s="92">
        <f>VLOOKUP(A182,'Data Vlaue (Cr)'!C177:CB395,78,0)</f>
        <v>1.7999999999999999E-2</v>
      </c>
      <c r="H182" s="91">
        <f>VLOOKUP($A182,'Data Vlaue (Cr)'!$C:$FB,91)</f>
        <v>10743</v>
      </c>
      <c r="I182" s="91">
        <f>VLOOKUP($A182,'Data Vlaue (Cr)'!$C:$FB,93)</f>
        <v>72</v>
      </c>
      <c r="J182" s="92">
        <f>VLOOKUP($A182,'Data Vlaue (Cr)'!$C:$FB,94)</f>
        <v>6.7999999999999996E-3</v>
      </c>
      <c r="K182" s="91">
        <f>VLOOKUP($A182,'Data Vlaue (Cr)'!$C:$FB,95)</f>
        <v>4676</v>
      </c>
      <c r="L182" s="91">
        <f>VLOOKUP($A182,'Data Vlaue (Cr)'!$C:$FB,97)</f>
        <v>47</v>
      </c>
      <c r="M182" s="92">
        <f>VLOOKUP($A182,'Data Vlaue (Cr)'!$C:$FB,98)</f>
        <v>1.0200000000000001E-2</v>
      </c>
      <c r="N182" s="91">
        <f>VLOOKUP($A182,'Data Vlaue (Cr)'!$C:$FB,79)</f>
        <v>10577</v>
      </c>
      <c r="O182" s="92">
        <f>VLOOKUP($A182,'Data Vlaue (Cr)'!$C:$FB,82)</f>
        <v>8.2000000000000007E-3</v>
      </c>
    </row>
    <row r="183" spans="1:15" x14ac:dyDescent="0.25">
      <c r="A183" s="97" t="str">
        <f>'Data Vlaue (Cr)'!C178</f>
        <v>RVNL</v>
      </c>
      <c r="B183" s="142">
        <f>VLOOKUP(A183,'Data Vlaue (Cr)'!C178:CW396,99,0)</f>
        <v>2070</v>
      </c>
      <c r="C183" s="90">
        <f>VLOOKUP(A183,'Data Vlaue (Cr)'!C178:CY396,101,0)</f>
        <v>40</v>
      </c>
      <c r="D183" s="139">
        <f>VLOOKUP(A183,'Data Vlaue (Cr)'!C178:CZ396,102,0)</f>
        <v>1.9900000000000001E-2</v>
      </c>
      <c r="E183" s="91">
        <f>VLOOKUP($A183,'Data Vlaue (Cr)'!$C:$FB,75)</f>
        <v>1367</v>
      </c>
      <c r="F183" s="91">
        <f>VLOOKUP($A183,'Data Vlaue (Cr)'!$C:$FB,77)</f>
        <v>13</v>
      </c>
      <c r="G183" s="92">
        <f>VLOOKUP(A183,'Data Vlaue (Cr)'!C178:CB396,78,0)</f>
        <v>9.2999999999999992E-3</v>
      </c>
      <c r="H183" s="91">
        <f>VLOOKUP($A183,'Data Vlaue (Cr)'!$C:$FB,91)</f>
        <v>410</v>
      </c>
      <c r="I183" s="91">
        <f>VLOOKUP($A183,'Data Vlaue (Cr)'!$C:$FB,93)</f>
        <v>20</v>
      </c>
      <c r="J183" s="92">
        <f>VLOOKUP($A183,'Data Vlaue (Cr)'!$C:$FB,94)</f>
        <v>5.2499999999999998E-2</v>
      </c>
      <c r="K183" s="91">
        <f>VLOOKUP($A183,'Data Vlaue (Cr)'!$C:$FB,95)</f>
        <v>293</v>
      </c>
      <c r="L183" s="91">
        <f>VLOOKUP($A183,'Data Vlaue (Cr)'!$C:$FB,97)</f>
        <v>7</v>
      </c>
      <c r="M183" s="92">
        <f>VLOOKUP($A183,'Data Vlaue (Cr)'!$C:$FB,98)</f>
        <v>2.5999999999999999E-2</v>
      </c>
      <c r="N183" s="91">
        <f>VLOOKUP($A183,'Data Vlaue (Cr)'!$C:$FB,79)</f>
        <v>1199</v>
      </c>
      <c r="O183" s="92">
        <f>VLOOKUP($A183,'Data Vlaue (Cr)'!$C:$FB,82)</f>
        <v>-1.6500000000000001E-2</v>
      </c>
    </row>
    <row r="184" spans="1:15" x14ac:dyDescent="0.25">
      <c r="A184" s="97" t="str">
        <f>'Data Vlaue (Cr)'!C179</f>
        <v>SAIL</v>
      </c>
      <c r="B184" s="142">
        <f>VLOOKUP(A184,'Data Vlaue (Cr)'!C179:CW397,99,0)</f>
        <v>3814</v>
      </c>
      <c r="C184" s="90">
        <f>VLOOKUP(A184,'Data Vlaue (Cr)'!C179:CY397,101,0)</f>
        <v>-80</v>
      </c>
      <c r="D184" s="139">
        <f>VLOOKUP(A184,'Data Vlaue (Cr)'!C179:CZ397,102,0)</f>
        <v>-2.0500000000000001E-2</v>
      </c>
      <c r="E184" s="91">
        <f>VLOOKUP($A184,'Data Vlaue (Cr)'!$C:$FB,75)</f>
        <v>3470</v>
      </c>
      <c r="F184" s="91">
        <f>VLOOKUP($A184,'Data Vlaue (Cr)'!$C:$FB,77)</f>
        <v>-61</v>
      </c>
      <c r="G184" s="92">
        <f>VLOOKUP(A184,'Data Vlaue (Cr)'!C179:CB397,78,0)</f>
        <v>-1.7299999999999999E-2</v>
      </c>
      <c r="H184" s="91">
        <f>VLOOKUP($A184,'Data Vlaue (Cr)'!$C:$FB,91)</f>
        <v>201</v>
      </c>
      <c r="I184" s="91">
        <f>VLOOKUP($A184,'Data Vlaue (Cr)'!$C:$FB,93)</f>
        <v>-15</v>
      </c>
      <c r="J184" s="92">
        <f>VLOOKUP($A184,'Data Vlaue (Cr)'!$C:$FB,94)</f>
        <v>-6.8099999999999994E-2</v>
      </c>
      <c r="K184" s="91">
        <f>VLOOKUP($A184,'Data Vlaue (Cr)'!$C:$FB,95)</f>
        <v>143</v>
      </c>
      <c r="L184" s="91">
        <f>VLOOKUP($A184,'Data Vlaue (Cr)'!$C:$FB,97)</f>
        <v>-4</v>
      </c>
      <c r="M184" s="92">
        <f>VLOOKUP($A184,'Data Vlaue (Cr)'!$C:$FB,98)</f>
        <v>-2.8199999999999999E-2</v>
      </c>
      <c r="N184" s="91">
        <f>VLOOKUP($A184,'Data Vlaue (Cr)'!$C:$FB,79)</f>
        <v>2863</v>
      </c>
      <c r="O184" s="92">
        <f>VLOOKUP($A184,'Data Vlaue (Cr)'!$C:$FB,82)</f>
        <v>-2.0500000000000001E-2</v>
      </c>
    </row>
    <row r="185" spans="1:15" x14ac:dyDescent="0.25">
      <c r="A185" s="97" t="str">
        <f>'Data Vlaue (Cr)'!C180</f>
        <v>SAMMAANCAP</v>
      </c>
      <c r="B185" s="142">
        <f>VLOOKUP(A185,'Data Vlaue (Cr)'!C180:CW398,99,0)</f>
        <v>2271</v>
      </c>
      <c r="C185" s="90">
        <f>VLOOKUP(A185,'Data Vlaue (Cr)'!C180:CY398,101,0)</f>
        <v>-28</v>
      </c>
      <c r="D185" s="139">
        <f>VLOOKUP(A185,'Data Vlaue (Cr)'!C180:CZ398,102,0)</f>
        <v>-1.23E-2</v>
      </c>
      <c r="E185" s="91">
        <f>VLOOKUP($A185,'Data Vlaue (Cr)'!$C:$FB,75)</f>
        <v>1645</v>
      </c>
      <c r="F185" s="91">
        <f>VLOOKUP($A185,'Data Vlaue (Cr)'!$C:$FB,77)</f>
        <v>-17</v>
      </c>
      <c r="G185" s="92">
        <f>VLOOKUP(A185,'Data Vlaue (Cr)'!C180:CB398,78,0)</f>
        <v>-0.01</v>
      </c>
      <c r="H185" s="91">
        <f>VLOOKUP($A185,'Data Vlaue (Cr)'!$C:$FB,91)</f>
        <v>306</v>
      </c>
      <c r="I185" s="91">
        <f>VLOOKUP($A185,'Data Vlaue (Cr)'!$C:$FB,93)</f>
        <v>-8</v>
      </c>
      <c r="J185" s="92">
        <f>VLOOKUP($A185,'Data Vlaue (Cr)'!$C:$FB,94)</f>
        <v>-2.47E-2</v>
      </c>
      <c r="K185" s="91">
        <f>VLOOKUP($A185,'Data Vlaue (Cr)'!$C:$FB,95)</f>
        <v>320</v>
      </c>
      <c r="L185" s="91">
        <f>VLOOKUP($A185,'Data Vlaue (Cr)'!$C:$FB,97)</f>
        <v>-4</v>
      </c>
      <c r="M185" s="92">
        <f>VLOOKUP($A185,'Data Vlaue (Cr)'!$C:$FB,98)</f>
        <v>-1.21E-2</v>
      </c>
      <c r="N185" s="91">
        <f>VLOOKUP($A185,'Data Vlaue (Cr)'!$C:$FB,79)</f>
        <v>1578</v>
      </c>
      <c r="O185" s="92">
        <f>VLOOKUP($A185,'Data Vlaue (Cr)'!$C:$FB,82)</f>
        <v>-9.5999999999999992E-3</v>
      </c>
    </row>
    <row r="186" spans="1:15" x14ac:dyDescent="0.25">
      <c r="A186" s="97" t="str">
        <f>'Data Vlaue (Cr)'!C181</f>
        <v>SBICARD</v>
      </c>
      <c r="B186" s="142">
        <f>VLOOKUP(A186,'Data Vlaue (Cr)'!C181:CW399,99,0)</f>
        <v>2370</v>
      </c>
      <c r="C186" s="90">
        <f>VLOOKUP(A186,'Data Vlaue (Cr)'!C181:CY399,101,0)</f>
        <v>27</v>
      </c>
      <c r="D186" s="139">
        <f>VLOOKUP(A186,'Data Vlaue (Cr)'!C181:CZ399,102,0)</f>
        <v>1.17E-2</v>
      </c>
      <c r="E186" s="91">
        <f>VLOOKUP($A186,'Data Vlaue (Cr)'!$C:$FB,75)</f>
        <v>1662</v>
      </c>
      <c r="F186" s="91">
        <f>VLOOKUP($A186,'Data Vlaue (Cr)'!$C:$FB,77)</f>
        <v>13</v>
      </c>
      <c r="G186" s="92">
        <f>VLOOKUP(A186,'Data Vlaue (Cr)'!C181:CB399,78,0)</f>
        <v>7.7999999999999996E-3</v>
      </c>
      <c r="H186" s="91">
        <f>VLOOKUP($A186,'Data Vlaue (Cr)'!$C:$FB,91)</f>
        <v>403</v>
      </c>
      <c r="I186" s="91">
        <f>VLOOKUP($A186,'Data Vlaue (Cr)'!$C:$FB,93)</f>
        <v>27</v>
      </c>
      <c r="J186" s="92">
        <f>VLOOKUP($A186,'Data Vlaue (Cr)'!$C:$FB,94)</f>
        <v>7.0300000000000001E-2</v>
      </c>
      <c r="K186" s="91">
        <f>VLOOKUP($A186,'Data Vlaue (Cr)'!$C:$FB,95)</f>
        <v>305</v>
      </c>
      <c r="L186" s="91">
        <f>VLOOKUP($A186,'Data Vlaue (Cr)'!$C:$FB,97)</f>
        <v>-12</v>
      </c>
      <c r="M186" s="92">
        <f>VLOOKUP($A186,'Data Vlaue (Cr)'!$C:$FB,98)</f>
        <v>-3.7499999999999999E-2</v>
      </c>
      <c r="N186" s="91">
        <f>VLOOKUP($A186,'Data Vlaue (Cr)'!$C:$FB,79)</f>
        <v>1532</v>
      </c>
      <c r="O186" s="92">
        <f>VLOOKUP($A186,'Data Vlaue (Cr)'!$C:$FB,82)</f>
        <v>-3.7000000000000002E-3</v>
      </c>
    </row>
    <row r="187" spans="1:15" x14ac:dyDescent="0.25">
      <c r="A187" s="97" t="str">
        <f>'Data Vlaue (Cr)'!C182</f>
        <v>SBILIFE</v>
      </c>
      <c r="B187" s="142">
        <f>VLOOKUP(A187,'Data Vlaue (Cr)'!C182:CW400,99,0)</f>
        <v>2432</v>
      </c>
      <c r="C187" s="90">
        <f>VLOOKUP(A187,'Data Vlaue (Cr)'!C182:CY400,101,0)</f>
        <v>2</v>
      </c>
      <c r="D187" s="139">
        <f>VLOOKUP(A187,'Data Vlaue (Cr)'!C182:CZ400,102,0)</f>
        <v>6.9999999999999999E-4</v>
      </c>
      <c r="E187" s="91">
        <f>VLOOKUP($A187,'Data Vlaue (Cr)'!$C:$FB,75)</f>
        <v>2049</v>
      </c>
      <c r="F187" s="91">
        <f>VLOOKUP($A187,'Data Vlaue (Cr)'!$C:$FB,77)</f>
        <v>-17</v>
      </c>
      <c r="G187" s="92">
        <f>VLOOKUP(A187,'Data Vlaue (Cr)'!C182:CB400,78,0)</f>
        <v>-8.3000000000000001E-3</v>
      </c>
      <c r="H187" s="91">
        <f>VLOOKUP($A187,'Data Vlaue (Cr)'!$C:$FB,91)</f>
        <v>153</v>
      </c>
      <c r="I187" s="91">
        <f>VLOOKUP($A187,'Data Vlaue (Cr)'!$C:$FB,93)</f>
        <v>22</v>
      </c>
      <c r="J187" s="92">
        <f>VLOOKUP($A187,'Data Vlaue (Cr)'!$C:$FB,94)</f>
        <v>0.1636</v>
      </c>
      <c r="K187" s="91">
        <f>VLOOKUP($A187,'Data Vlaue (Cr)'!$C:$FB,95)</f>
        <v>230</v>
      </c>
      <c r="L187" s="91">
        <f>VLOOKUP($A187,'Data Vlaue (Cr)'!$C:$FB,97)</f>
        <v>-3</v>
      </c>
      <c r="M187" s="92">
        <f>VLOOKUP($A187,'Data Vlaue (Cr)'!$C:$FB,98)</f>
        <v>-1.0800000000000001E-2</v>
      </c>
      <c r="N187" s="91">
        <f>VLOOKUP($A187,'Data Vlaue (Cr)'!$C:$FB,79)</f>
        <v>1999</v>
      </c>
      <c r="O187" s="92">
        <f>VLOOKUP($A187,'Data Vlaue (Cr)'!$C:$FB,82)</f>
        <v>-1.0200000000000001E-2</v>
      </c>
    </row>
    <row r="188" spans="1:15" x14ac:dyDescent="0.25">
      <c r="A188" s="97" t="str">
        <f>'Data Vlaue (Cr)'!C183</f>
        <v>SBIN</v>
      </c>
      <c r="B188" s="142">
        <f>VLOOKUP(A188,'Data Vlaue (Cr)'!C183:CW401,99,0)</f>
        <v>15868</v>
      </c>
      <c r="C188" s="90">
        <f>VLOOKUP(A188,'Data Vlaue (Cr)'!C183:CY401,101,0)</f>
        <v>849</v>
      </c>
      <c r="D188" s="139">
        <f>VLOOKUP(A188,'Data Vlaue (Cr)'!C183:CZ401,102,0)</f>
        <v>5.6599999999999998E-2</v>
      </c>
      <c r="E188" s="91">
        <f>VLOOKUP($A188,'Data Vlaue (Cr)'!$C:$FB,75)</f>
        <v>8596</v>
      </c>
      <c r="F188" s="91">
        <f>VLOOKUP($A188,'Data Vlaue (Cr)'!$C:$FB,77)</f>
        <v>245</v>
      </c>
      <c r="G188" s="92">
        <f>VLOOKUP(A188,'Data Vlaue (Cr)'!C183:CB401,78,0)</f>
        <v>2.93E-2</v>
      </c>
      <c r="H188" s="91">
        <f>VLOOKUP($A188,'Data Vlaue (Cr)'!$C:$FB,91)</f>
        <v>4414</v>
      </c>
      <c r="I188" s="91">
        <f>VLOOKUP($A188,'Data Vlaue (Cr)'!$C:$FB,93)</f>
        <v>524</v>
      </c>
      <c r="J188" s="92">
        <f>VLOOKUP($A188,'Data Vlaue (Cr)'!$C:$FB,94)</f>
        <v>0.13469999999999999</v>
      </c>
      <c r="K188" s="91">
        <f>VLOOKUP($A188,'Data Vlaue (Cr)'!$C:$FB,95)</f>
        <v>2857</v>
      </c>
      <c r="L188" s="91">
        <f>VLOOKUP($A188,'Data Vlaue (Cr)'!$C:$FB,97)</f>
        <v>81</v>
      </c>
      <c r="M188" s="92">
        <f>VLOOKUP($A188,'Data Vlaue (Cr)'!$C:$FB,98)</f>
        <v>2.92E-2</v>
      </c>
      <c r="N188" s="91">
        <f>VLOOKUP($A188,'Data Vlaue (Cr)'!$C:$FB,79)</f>
        <v>8063</v>
      </c>
      <c r="O188" s="92">
        <f>VLOOKUP($A188,'Data Vlaue (Cr)'!$C:$FB,82)</f>
        <v>2.0500000000000001E-2</v>
      </c>
    </row>
    <row r="189" spans="1:15" x14ac:dyDescent="0.25">
      <c r="A189" s="97" t="str">
        <f>'Data Vlaue (Cr)'!C184</f>
        <v>SHREECEM</v>
      </c>
      <c r="B189" s="142">
        <f>VLOOKUP(A189,'Data Vlaue (Cr)'!C184:CW402,99,0)</f>
        <v>1155</v>
      </c>
      <c r="C189" s="90">
        <f>VLOOKUP(A189,'Data Vlaue (Cr)'!C184:CY402,101,0)</f>
        <v>56</v>
      </c>
      <c r="D189" s="139">
        <f>VLOOKUP(A189,'Data Vlaue (Cr)'!C184:CZ402,102,0)</f>
        <v>5.0500000000000003E-2</v>
      </c>
      <c r="E189" s="91">
        <f>VLOOKUP($A189,'Data Vlaue (Cr)'!$C:$FB,75)</f>
        <v>927</v>
      </c>
      <c r="F189" s="91">
        <f>VLOOKUP($A189,'Data Vlaue (Cr)'!$C:$FB,77)</f>
        <v>35</v>
      </c>
      <c r="G189" s="92">
        <f>VLOOKUP(A189,'Data Vlaue (Cr)'!C184:CB402,78,0)</f>
        <v>3.8699999999999998E-2</v>
      </c>
      <c r="H189" s="91">
        <f>VLOOKUP($A189,'Data Vlaue (Cr)'!$C:$FB,91)</f>
        <v>137</v>
      </c>
      <c r="I189" s="91">
        <f>VLOOKUP($A189,'Data Vlaue (Cr)'!$C:$FB,93)</f>
        <v>16</v>
      </c>
      <c r="J189" s="92">
        <f>VLOOKUP($A189,'Data Vlaue (Cr)'!$C:$FB,94)</f>
        <v>0.1323</v>
      </c>
      <c r="K189" s="91">
        <f>VLOOKUP($A189,'Data Vlaue (Cr)'!$C:$FB,95)</f>
        <v>91</v>
      </c>
      <c r="L189" s="91">
        <f>VLOOKUP($A189,'Data Vlaue (Cr)'!$C:$FB,97)</f>
        <v>5</v>
      </c>
      <c r="M189" s="92">
        <f>VLOOKUP($A189,'Data Vlaue (Cr)'!$C:$FB,98)</f>
        <v>5.7799999999999997E-2</v>
      </c>
      <c r="N189" s="91">
        <f>VLOOKUP($A189,'Data Vlaue (Cr)'!$C:$FB,79)</f>
        <v>901</v>
      </c>
      <c r="O189" s="92">
        <f>VLOOKUP($A189,'Data Vlaue (Cr)'!$C:$FB,82)</f>
        <v>3.6799999999999999E-2</v>
      </c>
    </row>
    <row r="190" spans="1:15" x14ac:dyDescent="0.25">
      <c r="A190" s="97" t="str">
        <f>'Data Vlaue (Cr)'!C185</f>
        <v>SHRIRAMFIN</v>
      </c>
      <c r="B190" s="142">
        <f>VLOOKUP(A190,'Data Vlaue (Cr)'!C185:CW403,99,0)</f>
        <v>6266</v>
      </c>
      <c r="C190" s="90">
        <f>VLOOKUP(A190,'Data Vlaue (Cr)'!C185:CY403,101,0)</f>
        <v>38</v>
      </c>
      <c r="D190" s="139">
        <f>VLOOKUP(A190,'Data Vlaue (Cr)'!C185:CZ403,102,0)</f>
        <v>6.1000000000000004E-3</v>
      </c>
      <c r="E190" s="91">
        <f>VLOOKUP($A190,'Data Vlaue (Cr)'!$C:$FB,75)</f>
        <v>4270</v>
      </c>
      <c r="F190" s="91">
        <f>VLOOKUP($A190,'Data Vlaue (Cr)'!$C:$FB,77)</f>
        <v>-49</v>
      </c>
      <c r="G190" s="92">
        <f>VLOOKUP(A190,'Data Vlaue (Cr)'!C185:CB403,78,0)</f>
        <v>-1.14E-2</v>
      </c>
      <c r="H190" s="91">
        <f>VLOOKUP($A190,'Data Vlaue (Cr)'!$C:$FB,91)</f>
        <v>1175</v>
      </c>
      <c r="I190" s="91">
        <f>VLOOKUP($A190,'Data Vlaue (Cr)'!$C:$FB,93)</f>
        <v>84</v>
      </c>
      <c r="J190" s="92">
        <f>VLOOKUP($A190,'Data Vlaue (Cr)'!$C:$FB,94)</f>
        <v>7.6899999999999996E-2</v>
      </c>
      <c r="K190" s="91">
        <f>VLOOKUP($A190,'Data Vlaue (Cr)'!$C:$FB,95)</f>
        <v>820</v>
      </c>
      <c r="L190" s="91">
        <f>VLOOKUP($A190,'Data Vlaue (Cr)'!$C:$FB,97)</f>
        <v>3</v>
      </c>
      <c r="M190" s="92">
        <f>VLOOKUP($A190,'Data Vlaue (Cr)'!$C:$FB,98)</f>
        <v>3.8E-3</v>
      </c>
      <c r="N190" s="91">
        <f>VLOOKUP($A190,'Data Vlaue (Cr)'!$C:$FB,79)</f>
        <v>4040</v>
      </c>
      <c r="O190" s="92">
        <f>VLOOKUP($A190,'Data Vlaue (Cr)'!$C:$FB,82)</f>
        <v>-1.6299999999999999E-2</v>
      </c>
    </row>
    <row r="191" spans="1:15" x14ac:dyDescent="0.25">
      <c r="A191" s="97" t="str">
        <f>'Data Vlaue (Cr)'!C186</f>
        <v>SIEMENS</v>
      </c>
      <c r="B191" s="142">
        <f>VLOOKUP(A191,'Data Vlaue (Cr)'!C186:CW404,99,0)</f>
        <v>1141</v>
      </c>
      <c r="C191" s="90">
        <f>VLOOKUP(A191,'Data Vlaue (Cr)'!C186:CY404,101,0)</f>
        <v>16</v>
      </c>
      <c r="D191" s="139">
        <f>VLOOKUP(A191,'Data Vlaue (Cr)'!C186:CZ404,102,0)</f>
        <v>1.46E-2</v>
      </c>
      <c r="E191" s="91">
        <f>VLOOKUP($A191,'Data Vlaue (Cr)'!$C:$FB,75)</f>
        <v>842</v>
      </c>
      <c r="F191" s="91">
        <f>VLOOKUP($A191,'Data Vlaue (Cr)'!$C:$FB,77)</f>
        <v>-1</v>
      </c>
      <c r="G191" s="92">
        <f>VLOOKUP(A191,'Data Vlaue (Cr)'!C186:CB404,78,0)</f>
        <v>-8.0000000000000004E-4</v>
      </c>
      <c r="H191" s="91">
        <f>VLOOKUP($A191,'Data Vlaue (Cr)'!$C:$FB,91)</f>
        <v>177</v>
      </c>
      <c r="I191" s="91">
        <f>VLOOKUP($A191,'Data Vlaue (Cr)'!$C:$FB,93)</f>
        <v>7</v>
      </c>
      <c r="J191" s="92">
        <f>VLOOKUP($A191,'Data Vlaue (Cr)'!$C:$FB,94)</f>
        <v>4.3799999999999999E-2</v>
      </c>
      <c r="K191" s="91">
        <f>VLOOKUP($A191,'Data Vlaue (Cr)'!$C:$FB,95)</f>
        <v>122</v>
      </c>
      <c r="L191" s="91">
        <f>VLOOKUP($A191,'Data Vlaue (Cr)'!$C:$FB,97)</f>
        <v>10</v>
      </c>
      <c r="M191" s="92">
        <f>VLOOKUP($A191,'Data Vlaue (Cr)'!$C:$FB,98)</f>
        <v>8.6099999999999996E-2</v>
      </c>
      <c r="N191" s="91">
        <f>VLOOKUP($A191,'Data Vlaue (Cr)'!$C:$FB,79)</f>
        <v>828</v>
      </c>
      <c r="O191" s="92">
        <f>VLOOKUP($A191,'Data Vlaue (Cr)'!$C:$FB,82)</f>
        <v>-1.6000000000000001E-3</v>
      </c>
    </row>
    <row r="192" spans="1:15" x14ac:dyDescent="0.25">
      <c r="A192" s="97" t="str">
        <f>'Data Vlaue (Cr)'!C187</f>
        <v>SOLARINDS</v>
      </c>
      <c r="B192" s="142">
        <f>VLOOKUP(A192,'Data Vlaue (Cr)'!C187:CW405,99,0)</f>
        <v>1644</v>
      </c>
      <c r="C192" s="90">
        <f>VLOOKUP(A192,'Data Vlaue (Cr)'!C187:CY405,101,0)</f>
        <v>95</v>
      </c>
      <c r="D192" s="139">
        <f>VLOOKUP(A192,'Data Vlaue (Cr)'!C187:CZ405,102,0)</f>
        <v>6.1100000000000002E-2</v>
      </c>
      <c r="E192" s="91">
        <f>VLOOKUP($A192,'Data Vlaue (Cr)'!$C:$FB,75)</f>
        <v>1081</v>
      </c>
      <c r="F192" s="91">
        <f>VLOOKUP($A192,'Data Vlaue (Cr)'!$C:$FB,77)</f>
        <v>8</v>
      </c>
      <c r="G192" s="92">
        <f>VLOOKUP(A192,'Data Vlaue (Cr)'!C187:CB405,78,0)</f>
        <v>7.1000000000000004E-3</v>
      </c>
      <c r="H192" s="91">
        <f>VLOOKUP($A192,'Data Vlaue (Cr)'!$C:$FB,91)</f>
        <v>310</v>
      </c>
      <c r="I192" s="91">
        <f>VLOOKUP($A192,'Data Vlaue (Cr)'!$C:$FB,93)</f>
        <v>52</v>
      </c>
      <c r="J192" s="92">
        <f>VLOOKUP($A192,'Data Vlaue (Cr)'!$C:$FB,94)</f>
        <v>0.20019999999999999</v>
      </c>
      <c r="K192" s="91">
        <f>VLOOKUP($A192,'Data Vlaue (Cr)'!$C:$FB,95)</f>
        <v>253</v>
      </c>
      <c r="L192" s="91">
        <f>VLOOKUP($A192,'Data Vlaue (Cr)'!$C:$FB,97)</f>
        <v>35</v>
      </c>
      <c r="M192" s="92">
        <f>VLOOKUP($A192,'Data Vlaue (Cr)'!$C:$FB,98)</f>
        <v>0.16250000000000001</v>
      </c>
      <c r="N192" s="91">
        <f>VLOOKUP($A192,'Data Vlaue (Cr)'!$C:$FB,79)</f>
        <v>950</v>
      </c>
      <c r="O192" s="92">
        <f>VLOOKUP($A192,'Data Vlaue (Cr)'!$C:$FB,82)</f>
        <v>6.4000000000000003E-3</v>
      </c>
    </row>
    <row r="193" spans="1:15" x14ac:dyDescent="0.25">
      <c r="A193" s="97" t="str">
        <f>'Data Vlaue (Cr)'!C188</f>
        <v>SONACOMS</v>
      </c>
      <c r="B193" s="142">
        <f>VLOOKUP(A193,'Data Vlaue (Cr)'!C188:CW406,99,0)</f>
        <v>961</v>
      </c>
      <c r="C193" s="90">
        <f>VLOOKUP(A193,'Data Vlaue (Cr)'!C188:CY406,101,0)</f>
        <v>16</v>
      </c>
      <c r="D193" s="139">
        <f>VLOOKUP(A193,'Data Vlaue (Cr)'!C188:CZ406,102,0)</f>
        <v>1.6899999999999998E-2</v>
      </c>
      <c r="E193" s="91">
        <f>VLOOKUP($A193,'Data Vlaue (Cr)'!$C:$FB,75)</f>
        <v>653</v>
      </c>
      <c r="F193" s="91">
        <f>VLOOKUP($A193,'Data Vlaue (Cr)'!$C:$FB,77)</f>
        <v>-8</v>
      </c>
      <c r="G193" s="92">
        <f>VLOOKUP(A193,'Data Vlaue (Cr)'!C188:CB406,78,0)</f>
        <v>-1.23E-2</v>
      </c>
      <c r="H193" s="91">
        <f>VLOOKUP($A193,'Data Vlaue (Cr)'!$C:$FB,91)</f>
        <v>182</v>
      </c>
      <c r="I193" s="91">
        <f>VLOOKUP($A193,'Data Vlaue (Cr)'!$C:$FB,93)</f>
        <v>20</v>
      </c>
      <c r="J193" s="92">
        <f>VLOOKUP($A193,'Data Vlaue (Cr)'!$C:$FB,94)</f>
        <v>0.125</v>
      </c>
      <c r="K193" s="91">
        <f>VLOOKUP($A193,'Data Vlaue (Cr)'!$C:$FB,95)</f>
        <v>127</v>
      </c>
      <c r="L193" s="91">
        <f>VLOOKUP($A193,'Data Vlaue (Cr)'!$C:$FB,97)</f>
        <v>4</v>
      </c>
      <c r="M193" s="92">
        <f>VLOOKUP($A193,'Data Vlaue (Cr)'!$C:$FB,98)</f>
        <v>3.1399999999999997E-2</v>
      </c>
      <c r="N193" s="91">
        <f>VLOOKUP($A193,'Data Vlaue (Cr)'!$C:$FB,79)</f>
        <v>645</v>
      </c>
      <c r="O193" s="92">
        <f>VLOOKUP($A193,'Data Vlaue (Cr)'!$C:$FB,82)</f>
        <v>-1.34E-2</v>
      </c>
    </row>
    <row r="194" spans="1:15" x14ac:dyDescent="0.25">
      <c r="A194" s="97" t="str">
        <f>'Data Vlaue (Cr)'!C189</f>
        <v>SRF</v>
      </c>
      <c r="B194" s="142">
        <f>VLOOKUP(A194,'Data Vlaue (Cr)'!C189:CW407,99,0)</f>
        <v>1677</v>
      </c>
      <c r="C194" s="90">
        <f>VLOOKUP(A194,'Data Vlaue (Cr)'!C189:CY407,101,0)</f>
        <v>121</v>
      </c>
      <c r="D194" s="139">
        <f>VLOOKUP(A194,'Data Vlaue (Cr)'!C189:CZ407,102,0)</f>
        <v>7.7600000000000002E-2</v>
      </c>
      <c r="E194" s="91">
        <f>VLOOKUP($A194,'Data Vlaue (Cr)'!$C:$FB,75)</f>
        <v>1056</v>
      </c>
      <c r="F194" s="91">
        <f>VLOOKUP($A194,'Data Vlaue (Cr)'!$C:$FB,77)</f>
        <v>66</v>
      </c>
      <c r="G194" s="92">
        <f>VLOOKUP(A194,'Data Vlaue (Cr)'!C189:CB407,78,0)</f>
        <v>6.6900000000000001E-2</v>
      </c>
      <c r="H194" s="91">
        <f>VLOOKUP($A194,'Data Vlaue (Cr)'!$C:$FB,91)</f>
        <v>372</v>
      </c>
      <c r="I194" s="91">
        <f>VLOOKUP($A194,'Data Vlaue (Cr)'!$C:$FB,93)</f>
        <v>42</v>
      </c>
      <c r="J194" s="92">
        <f>VLOOKUP($A194,'Data Vlaue (Cr)'!$C:$FB,94)</f>
        <v>0.12790000000000001</v>
      </c>
      <c r="K194" s="91">
        <f>VLOOKUP($A194,'Data Vlaue (Cr)'!$C:$FB,95)</f>
        <v>249</v>
      </c>
      <c r="L194" s="91">
        <f>VLOOKUP($A194,'Data Vlaue (Cr)'!$C:$FB,97)</f>
        <v>12</v>
      </c>
      <c r="M194" s="92">
        <f>VLOOKUP($A194,'Data Vlaue (Cr)'!$C:$FB,98)</f>
        <v>5.2200000000000003E-2</v>
      </c>
      <c r="N194" s="91">
        <f>VLOOKUP($A194,'Data Vlaue (Cr)'!$C:$FB,79)</f>
        <v>1032</v>
      </c>
      <c r="O194" s="92">
        <f>VLOOKUP($A194,'Data Vlaue (Cr)'!$C:$FB,82)</f>
        <v>6.2100000000000002E-2</v>
      </c>
    </row>
    <row r="195" spans="1:15" x14ac:dyDescent="0.25">
      <c r="A195" s="97" t="str">
        <f>'Data Vlaue (Cr)'!C190</f>
        <v>SUNPHARMA</v>
      </c>
      <c r="B195" s="142">
        <f>VLOOKUP(A195,'Data Vlaue (Cr)'!C190:CW408,99,0)</f>
        <v>4797</v>
      </c>
      <c r="C195" s="90">
        <f>VLOOKUP(A195,'Data Vlaue (Cr)'!C190:CY408,101,0)</f>
        <v>22</v>
      </c>
      <c r="D195" s="139">
        <f>VLOOKUP(A195,'Data Vlaue (Cr)'!C190:CZ408,102,0)</f>
        <v>4.7000000000000002E-3</v>
      </c>
      <c r="E195" s="91">
        <f>VLOOKUP($A195,'Data Vlaue (Cr)'!$C:$FB,75)</f>
        <v>3285</v>
      </c>
      <c r="F195" s="91">
        <f>VLOOKUP($A195,'Data Vlaue (Cr)'!$C:$FB,77)</f>
        <v>59</v>
      </c>
      <c r="G195" s="92">
        <f>VLOOKUP(A195,'Data Vlaue (Cr)'!C190:CB408,78,0)</f>
        <v>1.8100000000000002E-2</v>
      </c>
      <c r="H195" s="91">
        <f>VLOOKUP($A195,'Data Vlaue (Cr)'!$C:$FB,91)</f>
        <v>799</v>
      </c>
      <c r="I195" s="91">
        <f>VLOOKUP($A195,'Data Vlaue (Cr)'!$C:$FB,93)</f>
        <v>-24</v>
      </c>
      <c r="J195" s="92">
        <f>VLOOKUP($A195,'Data Vlaue (Cr)'!$C:$FB,94)</f>
        <v>-2.87E-2</v>
      </c>
      <c r="K195" s="91">
        <f>VLOOKUP($A195,'Data Vlaue (Cr)'!$C:$FB,95)</f>
        <v>713</v>
      </c>
      <c r="L195" s="91">
        <f>VLOOKUP($A195,'Data Vlaue (Cr)'!$C:$FB,97)</f>
        <v>-13</v>
      </c>
      <c r="M195" s="92">
        <f>VLOOKUP($A195,'Data Vlaue (Cr)'!$C:$FB,98)</f>
        <v>-1.7399999999999999E-2</v>
      </c>
      <c r="N195" s="91">
        <f>VLOOKUP($A195,'Data Vlaue (Cr)'!$C:$FB,79)</f>
        <v>2847</v>
      </c>
      <c r="O195" s="92">
        <f>VLOOKUP($A195,'Data Vlaue (Cr)'!$C:$FB,82)</f>
        <v>5.5999999999999999E-3</v>
      </c>
    </row>
    <row r="196" spans="1:15" x14ac:dyDescent="0.25">
      <c r="A196" s="97" t="str">
        <f>'Data Vlaue (Cr)'!C191</f>
        <v>SUPREMEIND</v>
      </c>
      <c r="B196" s="142">
        <f>VLOOKUP(A196,'Data Vlaue (Cr)'!C191:CW409,99,0)</f>
        <v>1073</v>
      </c>
      <c r="C196" s="90">
        <f>VLOOKUP(A196,'Data Vlaue (Cr)'!C191:CY409,101,0)</f>
        <v>75</v>
      </c>
      <c r="D196" s="139">
        <f>VLOOKUP(A196,'Data Vlaue (Cr)'!C191:CZ409,102,0)</f>
        <v>7.5600000000000001E-2</v>
      </c>
      <c r="E196" s="91">
        <f>VLOOKUP($A196,'Data Vlaue (Cr)'!$C:$FB,75)</f>
        <v>753</v>
      </c>
      <c r="F196" s="91">
        <f>VLOOKUP($A196,'Data Vlaue (Cr)'!$C:$FB,77)</f>
        <v>16</v>
      </c>
      <c r="G196" s="92">
        <f>VLOOKUP(A196,'Data Vlaue (Cr)'!C191:CB409,78,0)</f>
        <v>2.1000000000000001E-2</v>
      </c>
      <c r="H196" s="91">
        <f>VLOOKUP($A196,'Data Vlaue (Cr)'!$C:$FB,91)</f>
        <v>195</v>
      </c>
      <c r="I196" s="91">
        <f>VLOOKUP($A196,'Data Vlaue (Cr)'!$C:$FB,93)</f>
        <v>50</v>
      </c>
      <c r="J196" s="92">
        <f>VLOOKUP($A196,'Data Vlaue (Cr)'!$C:$FB,94)</f>
        <v>0.34339999999999998</v>
      </c>
      <c r="K196" s="91">
        <f>VLOOKUP($A196,'Data Vlaue (Cr)'!$C:$FB,95)</f>
        <v>125</v>
      </c>
      <c r="L196" s="91">
        <f>VLOOKUP($A196,'Data Vlaue (Cr)'!$C:$FB,97)</f>
        <v>10</v>
      </c>
      <c r="M196" s="92">
        <f>VLOOKUP($A196,'Data Vlaue (Cr)'!$C:$FB,98)</f>
        <v>8.7599999999999997E-2</v>
      </c>
      <c r="N196" s="91">
        <f>VLOOKUP($A196,'Data Vlaue (Cr)'!$C:$FB,79)</f>
        <v>748</v>
      </c>
      <c r="O196" s="92">
        <f>VLOOKUP($A196,'Data Vlaue (Cr)'!$C:$FB,82)</f>
        <v>2.06E-2</v>
      </c>
    </row>
    <row r="197" spans="1:15" x14ac:dyDescent="0.25">
      <c r="A197" s="97" t="str">
        <f>'Data Vlaue (Cr)'!C192</f>
        <v>SUZLON</v>
      </c>
      <c r="B197" s="142">
        <f>VLOOKUP(A197,'Data Vlaue (Cr)'!C192:CW410,99,0)</f>
        <v>2097</v>
      </c>
      <c r="C197" s="90">
        <f>VLOOKUP(A197,'Data Vlaue (Cr)'!C192:CY410,101,0)</f>
        <v>66</v>
      </c>
      <c r="D197" s="139">
        <f>VLOOKUP(A197,'Data Vlaue (Cr)'!C192:CZ410,102,0)</f>
        <v>3.27E-2</v>
      </c>
      <c r="E197" s="91">
        <f>VLOOKUP($A197,'Data Vlaue (Cr)'!$C:$FB,75)</f>
        <v>1327</v>
      </c>
      <c r="F197" s="91">
        <f>VLOOKUP($A197,'Data Vlaue (Cr)'!$C:$FB,77)</f>
        <v>21</v>
      </c>
      <c r="G197" s="92">
        <f>VLOOKUP(A197,'Data Vlaue (Cr)'!C192:CB410,78,0)</f>
        <v>1.5900000000000001E-2</v>
      </c>
      <c r="H197" s="91">
        <f>VLOOKUP($A197,'Data Vlaue (Cr)'!$C:$FB,91)</f>
        <v>528</v>
      </c>
      <c r="I197" s="91">
        <f>VLOOKUP($A197,'Data Vlaue (Cr)'!$C:$FB,93)</f>
        <v>36</v>
      </c>
      <c r="J197" s="92">
        <f>VLOOKUP($A197,'Data Vlaue (Cr)'!$C:$FB,94)</f>
        <v>7.2300000000000003E-2</v>
      </c>
      <c r="K197" s="91">
        <f>VLOOKUP($A197,'Data Vlaue (Cr)'!$C:$FB,95)</f>
        <v>242</v>
      </c>
      <c r="L197" s="91">
        <f>VLOOKUP($A197,'Data Vlaue (Cr)'!$C:$FB,97)</f>
        <v>10</v>
      </c>
      <c r="M197" s="92">
        <f>VLOOKUP($A197,'Data Vlaue (Cr)'!$C:$FB,98)</f>
        <v>4.3400000000000001E-2</v>
      </c>
      <c r="N197" s="91">
        <f>VLOOKUP($A197,'Data Vlaue (Cr)'!$C:$FB,79)</f>
        <v>1246</v>
      </c>
      <c r="O197" s="92">
        <f>VLOOKUP($A197,'Data Vlaue (Cr)'!$C:$FB,82)</f>
        <v>1.3299999999999999E-2</v>
      </c>
    </row>
    <row r="198" spans="1:15" x14ac:dyDescent="0.25">
      <c r="A198" s="97" t="str">
        <f>'Data Vlaue (Cr)'!C193</f>
        <v>SWIGGY</v>
      </c>
      <c r="B198" s="142">
        <f>VLOOKUP(A198,'Data Vlaue (Cr)'!C193:CW411,99,0)</f>
        <v>1707</v>
      </c>
      <c r="C198" s="90">
        <f>VLOOKUP(A198,'Data Vlaue (Cr)'!C193:CY411,101,0)</f>
        <v>36</v>
      </c>
      <c r="D198" s="139">
        <f>VLOOKUP(A198,'Data Vlaue (Cr)'!C193:CZ411,102,0)</f>
        <v>2.1299999999999999E-2</v>
      </c>
      <c r="E198" s="91">
        <f>VLOOKUP($A198,'Data Vlaue (Cr)'!$C:$FB,75)</f>
        <v>1428</v>
      </c>
      <c r="F198" s="91">
        <f>VLOOKUP($A198,'Data Vlaue (Cr)'!$C:$FB,77)</f>
        <v>5</v>
      </c>
      <c r="G198" s="92">
        <f>VLOOKUP(A198,'Data Vlaue (Cr)'!C193:CB411,78,0)</f>
        <v>3.2000000000000002E-3</v>
      </c>
      <c r="H198" s="91">
        <f>VLOOKUP($A198,'Data Vlaue (Cr)'!$C:$FB,91)</f>
        <v>170</v>
      </c>
      <c r="I198" s="91">
        <f>VLOOKUP($A198,'Data Vlaue (Cr)'!$C:$FB,93)</f>
        <v>24</v>
      </c>
      <c r="J198" s="92">
        <f>VLOOKUP($A198,'Data Vlaue (Cr)'!$C:$FB,94)</f>
        <v>0.16339999999999999</v>
      </c>
      <c r="K198" s="91">
        <f>VLOOKUP($A198,'Data Vlaue (Cr)'!$C:$FB,95)</f>
        <v>110</v>
      </c>
      <c r="L198" s="91">
        <f>VLOOKUP($A198,'Data Vlaue (Cr)'!$C:$FB,97)</f>
        <v>7</v>
      </c>
      <c r="M198" s="92">
        <f>VLOOKUP($A198,'Data Vlaue (Cr)'!$C:$FB,98)</f>
        <v>7.0699999999999999E-2</v>
      </c>
      <c r="N198" s="91">
        <f>VLOOKUP($A198,'Data Vlaue (Cr)'!$C:$FB,79)</f>
        <v>1399</v>
      </c>
      <c r="O198" s="92">
        <f>VLOOKUP($A198,'Data Vlaue (Cr)'!$C:$FB,82)</f>
        <v>4.0000000000000002E-4</v>
      </c>
    </row>
    <row r="199" spans="1:15" x14ac:dyDescent="0.25">
      <c r="A199" s="97" t="str">
        <f>'Data Vlaue (Cr)'!C194</f>
        <v>TATACONSUM</v>
      </c>
      <c r="B199" s="142">
        <f>VLOOKUP(A199,'Data Vlaue (Cr)'!C194:CW412,99,0)</f>
        <v>1864</v>
      </c>
      <c r="C199" s="90">
        <f>VLOOKUP(A199,'Data Vlaue (Cr)'!C194:CY412,101,0)</f>
        <v>34</v>
      </c>
      <c r="D199" s="139">
        <f>VLOOKUP(A199,'Data Vlaue (Cr)'!C194:CZ412,102,0)</f>
        <v>1.8700000000000001E-2</v>
      </c>
      <c r="E199" s="91">
        <f>VLOOKUP($A199,'Data Vlaue (Cr)'!$C:$FB,75)</f>
        <v>1486</v>
      </c>
      <c r="F199" s="91">
        <f>VLOOKUP($A199,'Data Vlaue (Cr)'!$C:$FB,77)</f>
        <v>35</v>
      </c>
      <c r="G199" s="92">
        <f>VLOOKUP(A199,'Data Vlaue (Cr)'!C194:CB412,78,0)</f>
        <v>2.3900000000000001E-2</v>
      </c>
      <c r="H199" s="91">
        <f>VLOOKUP($A199,'Data Vlaue (Cr)'!$C:$FB,91)</f>
        <v>148</v>
      </c>
      <c r="I199" s="91">
        <f>VLOOKUP($A199,'Data Vlaue (Cr)'!$C:$FB,93)</f>
        <v>-3</v>
      </c>
      <c r="J199" s="92">
        <f>VLOOKUP($A199,'Data Vlaue (Cr)'!$C:$FB,94)</f>
        <v>-1.66E-2</v>
      </c>
      <c r="K199" s="91">
        <f>VLOOKUP($A199,'Data Vlaue (Cr)'!$C:$FB,95)</f>
        <v>231</v>
      </c>
      <c r="L199" s="91">
        <f>VLOOKUP($A199,'Data Vlaue (Cr)'!$C:$FB,97)</f>
        <v>2</v>
      </c>
      <c r="M199" s="92">
        <f>VLOOKUP($A199,'Data Vlaue (Cr)'!$C:$FB,98)</f>
        <v>8.6E-3</v>
      </c>
      <c r="N199" s="91">
        <f>VLOOKUP($A199,'Data Vlaue (Cr)'!$C:$FB,79)</f>
        <v>1398</v>
      </c>
      <c r="O199" s="92">
        <f>VLOOKUP($A199,'Data Vlaue (Cr)'!$C:$FB,82)</f>
        <v>2.01E-2</v>
      </c>
    </row>
    <row r="200" spans="1:15" x14ac:dyDescent="0.25">
      <c r="A200" s="97" t="str">
        <f>'Data Vlaue (Cr)'!C195</f>
        <v>TATAELXSI</v>
      </c>
      <c r="B200" s="142">
        <f>VLOOKUP(A200,'Data Vlaue (Cr)'!C195:CW413,99,0)</f>
        <v>1212</v>
      </c>
      <c r="C200" s="90">
        <f>VLOOKUP(A200,'Data Vlaue (Cr)'!C195:CY413,101,0)</f>
        <v>44</v>
      </c>
      <c r="D200" s="139">
        <f>VLOOKUP(A200,'Data Vlaue (Cr)'!C195:CZ413,102,0)</f>
        <v>3.78E-2</v>
      </c>
      <c r="E200" s="91">
        <f>VLOOKUP($A200,'Data Vlaue (Cr)'!$C:$FB,75)</f>
        <v>755</v>
      </c>
      <c r="F200" s="91">
        <f>VLOOKUP($A200,'Data Vlaue (Cr)'!$C:$FB,77)</f>
        <v>-1</v>
      </c>
      <c r="G200" s="92">
        <f>VLOOKUP(A200,'Data Vlaue (Cr)'!C195:CB413,78,0)</f>
        <v>-1.5E-3</v>
      </c>
      <c r="H200" s="91">
        <f>VLOOKUP($A200,'Data Vlaue (Cr)'!$C:$FB,91)</f>
        <v>264</v>
      </c>
      <c r="I200" s="91">
        <f>VLOOKUP($A200,'Data Vlaue (Cr)'!$C:$FB,93)</f>
        <v>15</v>
      </c>
      <c r="J200" s="92">
        <f>VLOOKUP($A200,'Data Vlaue (Cr)'!$C:$FB,94)</f>
        <v>6.0999999999999999E-2</v>
      </c>
      <c r="K200" s="91">
        <f>VLOOKUP($A200,'Data Vlaue (Cr)'!$C:$FB,95)</f>
        <v>194</v>
      </c>
      <c r="L200" s="91">
        <f>VLOOKUP($A200,'Data Vlaue (Cr)'!$C:$FB,97)</f>
        <v>30</v>
      </c>
      <c r="M200" s="92">
        <f>VLOOKUP($A200,'Data Vlaue (Cr)'!$C:$FB,98)</f>
        <v>0.18340000000000001</v>
      </c>
      <c r="N200" s="91">
        <f>VLOOKUP($A200,'Data Vlaue (Cr)'!$C:$FB,79)</f>
        <v>700</v>
      </c>
      <c r="O200" s="92">
        <f>VLOOKUP($A200,'Data Vlaue (Cr)'!$C:$FB,82)</f>
        <v>-1.3899999999999999E-2</v>
      </c>
    </row>
    <row r="201" spans="1:15" x14ac:dyDescent="0.25">
      <c r="A201" s="97" t="str">
        <f>'Data Vlaue (Cr)'!C196</f>
        <v>TATAPOWER</v>
      </c>
      <c r="B201" s="142">
        <f>VLOOKUP(A201,'Data Vlaue (Cr)'!C196:CW414,99,0)</f>
        <v>4243</v>
      </c>
      <c r="C201" s="90">
        <f>VLOOKUP(A201,'Data Vlaue (Cr)'!C196:CY414,101,0)</f>
        <v>178</v>
      </c>
      <c r="D201" s="139">
        <f>VLOOKUP(A201,'Data Vlaue (Cr)'!C196:CZ414,102,0)</f>
        <v>4.3700000000000003E-2</v>
      </c>
      <c r="E201" s="91">
        <f>VLOOKUP($A201,'Data Vlaue (Cr)'!$C:$FB,75)</f>
        <v>2222</v>
      </c>
      <c r="F201" s="91">
        <f>VLOOKUP($A201,'Data Vlaue (Cr)'!$C:$FB,77)</f>
        <v>84</v>
      </c>
      <c r="G201" s="92">
        <f>VLOOKUP(A201,'Data Vlaue (Cr)'!C196:CB414,78,0)</f>
        <v>3.9399999999999998E-2</v>
      </c>
      <c r="H201" s="91">
        <f>VLOOKUP($A201,'Data Vlaue (Cr)'!$C:$FB,91)</f>
        <v>1191</v>
      </c>
      <c r="I201" s="91">
        <f>VLOOKUP($A201,'Data Vlaue (Cr)'!$C:$FB,93)</f>
        <v>49</v>
      </c>
      <c r="J201" s="92">
        <f>VLOOKUP($A201,'Data Vlaue (Cr)'!$C:$FB,94)</f>
        <v>4.3299999999999998E-2</v>
      </c>
      <c r="K201" s="91">
        <f>VLOOKUP($A201,'Data Vlaue (Cr)'!$C:$FB,95)</f>
        <v>830</v>
      </c>
      <c r="L201" s="91">
        <f>VLOOKUP($A201,'Data Vlaue (Cr)'!$C:$FB,97)</f>
        <v>44</v>
      </c>
      <c r="M201" s="92">
        <f>VLOOKUP($A201,'Data Vlaue (Cr)'!$C:$FB,98)</f>
        <v>5.6099999999999997E-2</v>
      </c>
      <c r="N201" s="91">
        <f>VLOOKUP($A201,'Data Vlaue (Cr)'!$C:$FB,79)</f>
        <v>2110</v>
      </c>
      <c r="O201" s="92">
        <f>VLOOKUP($A201,'Data Vlaue (Cr)'!$C:$FB,82)</f>
        <v>2.6100000000000002E-2</v>
      </c>
    </row>
    <row r="202" spans="1:15" x14ac:dyDescent="0.25">
      <c r="A202" s="97" t="str">
        <f>'Data Vlaue (Cr)'!C197</f>
        <v>TATASTEEL</v>
      </c>
      <c r="B202" s="142">
        <f>VLOOKUP(A202,'Data Vlaue (Cr)'!C197:CW415,99,0)</f>
        <v>7809</v>
      </c>
      <c r="C202" s="90">
        <f>VLOOKUP(A202,'Data Vlaue (Cr)'!C197:CY415,101,0)</f>
        <v>374</v>
      </c>
      <c r="D202" s="139">
        <f>VLOOKUP(A202,'Data Vlaue (Cr)'!C197:CZ415,102,0)</f>
        <v>5.0299999999999997E-2</v>
      </c>
      <c r="E202" s="91">
        <f>VLOOKUP($A202,'Data Vlaue (Cr)'!$C:$FB,75)</f>
        <v>3930</v>
      </c>
      <c r="F202" s="91">
        <f>VLOOKUP($A202,'Data Vlaue (Cr)'!$C:$FB,77)</f>
        <v>153</v>
      </c>
      <c r="G202" s="92">
        <f>VLOOKUP(A202,'Data Vlaue (Cr)'!C197:CB415,78,0)</f>
        <v>4.0500000000000001E-2</v>
      </c>
      <c r="H202" s="91">
        <f>VLOOKUP($A202,'Data Vlaue (Cr)'!$C:$FB,91)</f>
        <v>2181</v>
      </c>
      <c r="I202" s="91">
        <f>VLOOKUP($A202,'Data Vlaue (Cr)'!$C:$FB,93)</f>
        <v>89</v>
      </c>
      <c r="J202" s="92">
        <f>VLOOKUP($A202,'Data Vlaue (Cr)'!$C:$FB,94)</f>
        <v>4.24E-2</v>
      </c>
      <c r="K202" s="91">
        <f>VLOOKUP($A202,'Data Vlaue (Cr)'!$C:$FB,95)</f>
        <v>1697</v>
      </c>
      <c r="L202" s="91">
        <f>VLOOKUP($A202,'Data Vlaue (Cr)'!$C:$FB,97)</f>
        <v>132</v>
      </c>
      <c r="M202" s="92">
        <f>VLOOKUP($A202,'Data Vlaue (Cr)'!$C:$FB,98)</f>
        <v>8.43E-2</v>
      </c>
      <c r="N202" s="91">
        <f>VLOOKUP($A202,'Data Vlaue (Cr)'!$C:$FB,79)</f>
        <v>3500</v>
      </c>
      <c r="O202" s="92">
        <f>VLOOKUP($A202,'Data Vlaue (Cr)'!$C:$FB,82)</f>
        <v>2.4199999999999999E-2</v>
      </c>
    </row>
    <row r="203" spans="1:15" x14ac:dyDescent="0.25">
      <c r="A203" s="97" t="str">
        <f>'Data Vlaue (Cr)'!C198</f>
        <v>TATATECH</v>
      </c>
      <c r="B203" s="142">
        <f>VLOOKUP(A203,'Data Vlaue (Cr)'!C198:CW416,99,0)</f>
        <v>595</v>
      </c>
      <c r="C203" s="90">
        <f>VLOOKUP(A203,'Data Vlaue (Cr)'!C198:CY416,101,0)</f>
        <v>-17</v>
      </c>
      <c r="D203" s="139">
        <f>VLOOKUP(A203,'Data Vlaue (Cr)'!C198:CZ416,102,0)</f>
        <v>-2.7900000000000001E-2</v>
      </c>
      <c r="E203" s="91">
        <f>VLOOKUP($A203,'Data Vlaue (Cr)'!$C:$FB,75)</f>
        <v>403</v>
      </c>
      <c r="F203" s="91">
        <f>VLOOKUP($A203,'Data Vlaue (Cr)'!$C:$FB,77)</f>
        <v>-8</v>
      </c>
      <c r="G203" s="92">
        <f>VLOOKUP(A203,'Data Vlaue (Cr)'!C198:CB416,78,0)</f>
        <v>-1.84E-2</v>
      </c>
      <c r="H203" s="91">
        <f>VLOOKUP($A203,'Data Vlaue (Cr)'!$C:$FB,91)</f>
        <v>103</v>
      </c>
      <c r="I203" s="91">
        <f>VLOOKUP($A203,'Data Vlaue (Cr)'!$C:$FB,93)</f>
        <v>-10</v>
      </c>
      <c r="J203" s="92">
        <f>VLOOKUP($A203,'Data Vlaue (Cr)'!$C:$FB,94)</f>
        <v>-9.0300000000000005E-2</v>
      </c>
      <c r="K203" s="91">
        <f>VLOOKUP($A203,'Data Vlaue (Cr)'!$C:$FB,95)</f>
        <v>88</v>
      </c>
      <c r="L203" s="91">
        <f>VLOOKUP($A203,'Data Vlaue (Cr)'!$C:$FB,97)</f>
        <v>1</v>
      </c>
      <c r="M203" s="92">
        <f>VLOOKUP($A203,'Data Vlaue (Cr)'!$C:$FB,98)</f>
        <v>8.2000000000000007E-3</v>
      </c>
      <c r="N203" s="91">
        <f>VLOOKUP($A203,'Data Vlaue (Cr)'!$C:$FB,79)</f>
        <v>403</v>
      </c>
      <c r="O203" s="92">
        <f>VLOOKUP($A203,'Data Vlaue (Cr)'!$C:$FB,82)</f>
        <v>-1.84E-2</v>
      </c>
    </row>
    <row r="204" spans="1:15" x14ac:dyDescent="0.25">
      <c r="A204" s="97" t="str">
        <f>'Data Vlaue (Cr)'!C199</f>
        <v>TCS</v>
      </c>
      <c r="B204" s="142">
        <f>VLOOKUP(A204,'Data Vlaue (Cr)'!C199:CW417,99,0)</f>
        <v>15556</v>
      </c>
      <c r="C204" s="90">
        <f>VLOOKUP(A204,'Data Vlaue (Cr)'!C199:CY417,101,0)</f>
        <v>2263</v>
      </c>
      <c r="D204" s="139">
        <f>VLOOKUP(A204,'Data Vlaue (Cr)'!C199:CZ417,102,0)</f>
        <v>0.17019999999999999</v>
      </c>
      <c r="E204" s="91">
        <f>VLOOKUP($A204,'Data Vlaue (Cr)'!$C:$FB,75)</f>
        <v>8248</v>
      </c>
      <c r="F204" s="91">
        <f>VLOOKUP($A204,'Data Vlaue (Cr)'!$C:$FB,77)</f>
        <v>-138</v>
      </c>
      <c r="G204" s="92">
        <f>VLOOKUP(A204,'Data Vlaue (Cr)'!C199:CB417,78,0)</f>
        <v>-1.6500000000000001E-2</v>
      </c>
      <c r="H204" s="91">
        <f>VLOOKUP($A204,'Data Vlaue (Cr)'!$C:$FB,91)</f>
        <v>4238</v>
      </c>
      <c r="I204" s="91">
        <f>VLOOKUP($A204,'Data Vlaue (Cr)'!$C:$FB,93)</f>
        <v>1705</v>
      </c>
      <c r="J204" s="92">
        <f>VLOOKUP($A204,'Data Vlaue (Cr)'!$C:$FB,94)</f>
        <v>0.67300000000000004</v>
      </c>
      <c r="K204" s="91">
        <f>VLOOKUP($A204,'Data Vlaue (Cr)'!$C:$FB,95)</f>
        <v>3071</v>
      </c>
      <c r="L204" s="91">
        <f>VLOOKUP($A204,'Data Vlaue (Cr)'!$C:$FB,97)</f>
        <v>696</v>
      </c>
      <c r="M204" s="92">
        <f>VLOOKUP($A204,'Data Vlaue (Cr)'!$C:$FB,98)</f>
        <v>0.29339999999999999</v>
      </c>
      <c r="N204" s="91">
        <f>VLOOKUP($A204,'Data Vlaue (Cr)'!$C:$FB,79)</f>
        <v>7714</v>
      </c>
      <c r="O204" s="92">
        <f>VLOOKUP($A204,'Data Vlaue (Cr)'!$C:$FB,82)</f>
        <v>-2.0299999999999999E-2</v>
      </c>
    </row>
    <row r="205" spans="1:15" x14ac:dyDescent="0.25">
      <c r="A205" s="97" t="str">
        <f>'Data Vlaue (Cr)'!C200</f>
        <v>TECHM</v>
      </c>
      <c r="B205" s="142">
        <f>VLOOKUP(A205,'Data Vlaue (Cr)'!C200:CW418,99,0)</f>
        <v>4013</v>
      </c>
      <c r="C205" s="90">
        <f>VLOOKUP(A205,'Data Vlaue (Cr)'!C200:CY418,101,0)</f>
        <v>-65</v>
      </c>
      <c r="D205" s="139">
        <f>VLOOKUP(A205,'Data Vlaue (Cr)'!C200:CZ418,102,0)</f>
        <v>-1.6E-2</v>
      </c>
      <c r="E205" s="91">
        <f>VLOOKUP($A205,'Data Vlaue (Cr)'!$C:$FB,75)</f>
        <v>2729</v>
      </c>
      <c r="F205" s="91">
        <f>VLOOKUP($A205,'Data Vlaue (Cr)'!$C:$FB,77)</f>
        <v>-73</v>
      </c>
      <c r="G205" s="92">
        <f>VLOOKUP(A205,'Data Vlaue (Cr)'!C200:CB418,78,0)</f>
        <v>-2.5999999999999999E-2</v>
      </c>
      <c r="H205" s="91">
        <f>VLOOKUP($A205,'Data Vlaue (Cr)'!$C:$FB,91)</f>
        <v>718</v>
      </c>
      <c r="I205" s="91">
        <f>VLOOKUP($A205,'Data Vlaue (Cr)'!$C:$FB,93)</f>
        <v>14</v>
      </c>
      <c r="J205" s="92">
        <f>VLOOKUP($A205,'Data Vlaue (Cr)'!$C:$FB,94)</f>
        <v>2.0500000000000001E-2</v>
      </c>
      <c r="K205" s="91">
        <f>VLOOKUP($A205,'Data Vlaue (Cr)'!$C:$FB,95)</f>
        <v>566</v>
      </c>
      <c r="L205" s="91">
        <f>VLOOKUP($A205,'Data Vlaue (Cr)'!$C:$FB,97)</f>
        <v>-7</v>
      </c>
      <c r="M205" s="92">
        <f>VLOOKUP($A205,'Data Vlaue (Cr)'!$C:$FB,98)</f>
        <v>-1.21E-2</v>
      </c>
      <c r="N205" s="91">
        <f>VLOOKUP($A205,'Data Vlaue (Cr)'!$C:$FB,79)</f>
        <v>2672</v>
      </c>
      <c r="O205" s="92">
        <f>VLOOKUP($A205,'Data Vlaue (Cr)'!$C:$FB,82)</f>
        <v>-2.7099999999999999E-2</v>
      </c>
    </row>
    <row r="206" spans="1:15" x14ac:dyDescent="0.25">
      <c r="A206" s="97" t="str">
        <f>'Data Vlaue (Cr)'!C201</f>
        <v>TIINDIA</v>
      </c>
      <c r="B206" s="142">
        <f>VLOOKUP(A206,'Data Vlaue (Cr)'!C201:CW419,99,0)</f>
        <v>845</v>
      </c>
      <c r="C206" s="90">
        <f>VLOOKUP(A206,'Data Vlaue (Cr)'!C201:CY419,101,0)</f>
        <v>19</v>
      </c>
      <c r="D206" s="139">
        <f>VLOOKUP(A206,'Data Vlaue (Cr)'!C201:CZ419,102,0)</f>
        <v>2.2499999999999999E-2</v>
      </c>
      <c r="E206" s="91">
        <f>VLOOKUP($A206,'Data Vlaue (Cr)'!$C:$FB,75)</f>
        <v>696</v>
      </c>
      <c r="F206" s="91">
        <f>VLOOKUP($A206,'Data Vlaue (Cr)'!$C:$FB,77)</f>
        <v>17</v>
      </c>
      <c r="G206" s="92">
        <f>VLOOKUP(A206,'Data Vlaue (Cr)'!C201:CB419,78,0)</f>
        <v>2.5499999999999998E-2</v>
      </c>
      <c r="H206" s="91">
        <f>VLOOKUP($A206,'Data Vlaue (Cr)'!$C:$FB,91)</f>
        <v>96</v>
      </c>
      <c r="I206" s="91">
        <f>VLOOKUP($A206,'Data Vlaue (Cr)'!$C:$FB,93)</f>
        <v>0</v>
      </c>
      <c r="J206" s="92">
        <f>VLOOKUP($A206,'Data Vlaue (Cr)'!$C:$FB,94)</f>
        <v>4.5999999999999999E-3</v>
      </c>
      <c r="K206" s="91">
        <f>VLOOKUP($A206,'Data Vlaue (Cr)'!$C:$FB,95)</f>
        <v>53</v>
      </c>
      <c r="L206" s="91">
        <f>VLOOKUP($A206,'Data Vlaue (Cr)'!$C:$FB,97)</f>
        <v>1</v>
      </c>
      <c r="M206" s="92">
        <f>VLOOKUP($A206,'Data Vlaue (Cr)'!$C:$FB,98)</f>
        <v>1.7000000000000001E-2</v>
      </c>
      <c r="N206" s="91">
        <f>VLOOKUP($A206,'Data Vlaue (Cr)'!$C:$FB,79)</f>
        <v>690</v>
      </c>
      <c r="O206" s="92">
        <f>VLOOKUP($A206,'Data Vlaue (Cr)'!$C:$FB,82)</f>
        <v>2.5399999999999999E-2</v>
      </c>
    </row>
    <row r="207" spans="1:15" x14ac:dyDescent="0.25">
      <c r="A207" s="97" t="str">
        <f>'Data Vlaue (Cr)'!C202</f>
        <v>TITAN</v>
      </c>
      <c r="B207" s="142">
        <f>VLOOKUP(A207,'Data Vlaue (Cr)'!C202:CW420,99,0)</f>
        <v>6910</v>
      </c>
      <c r="C207" s="90">
        <f>VLOOKUP(A207,'Data Vlaue (Cr)'!C202:CY420,101,0)</f>
        <v>-74</v>
      </c>
      <c r="D207" s="139">
        <f>VLOOKUP(A207,'Data Vlaue (Cr)'!C202:CZ420,102,0)</f>
        <v>-1.06E-2</v>
      </c>
      <c r="E207" s="91">
        <f>VLOOKUP($A207,'Data Vlaue (Cr)'!$C:$FB,75)</f>
        <v>4366</v>
      </c>
      <c r="F207" s="91">
        <f>VLOOKUP($A207,'Data Vlaue (Cr)'!$C:$FB,77)</f>
        <v>-13</v>
      </c>
      <c r="G207" s="92">
        <f>VLOOKUP(A207,'Data Vlaue (Cr)'!C202:CB420,78,0)</f>
        <v>-2.8999999999999998E-3</v>
      </c>
      <c r="H207" s="91">
        <f>VLOOKUP($A207,'Data Vlaue (Cr)'!$C:$FB,91)</f>
        <v>1460</v>
      </c>
      <c r="I207" s="91">
        <f>VLOOKUP($A207,'Data Vlaue (Cr)'!$C:$FB,93)</f>
        <v>-2</v>
      </c>
      <c r="J207" s="92">
        <f>VLOOKUP($A207,'Data Vlaue (Cr)'!$C:$FB,94)</f>
        <v>-1.1000000000000001E-3</v>
      </c>
      <c r="K207" s="91">
        <f>VLOOKUP($A207,'Data Vlaue (Cr)'!$C:$FB,95)</f>
        <v>1084</v>
      </c>
      <c r="L207" s="91">
        <f>VLOOKUP($A207,'Data Vlaue (Cr)'!$C:$FB,97)</f>
        <v>-60</v>
      </c>
      <c r="M207" s="92">
        <f>VLOOKUP($A207,'Data Vlaue (Cr)'!$C:$FB,98)</f>
        <v>-5.2200000000000003E-2</v>
      </c>
      <c r="N207" s="91">
        <f>VLOOKUP($A207,'Data Vlaue (Cr)'!$C:$FB,79)</f>
        <v>4196</v>
      </c>
      <c r="O207" s="92">
        <f>VLOOKUP($A207,'Data Vlaue (Cr)'!$C:$FB,82)</f>
        <v>-5.5999999999999999E-3</v>
      </c>
    </row>
    <row r="208" spans="1:15" x14ac:dyDescent="0.25">
      <c r="A208" s="97" t="str">
        <f>'Data Vlaue (Cr)'!C203</f>
        <v>TMPV</v>
      </c>
      <c r="B208" s="142">
        <f>VLOOKUP(A208,'Data Vlaue (Cr)'!C203:CW421,99,0)</f>
        <v>3638</v>
      </c>
      <c r="C208" s="90">
        <f>VLOOKUP(A208,'Data Vlaue (Cr)'!C203:CY421,101,0)</f>
        <v>70</v>
      </c>
      <c r="D208" s="139">
        <f>VLOOKUP(A208,'Data Vlaue (Cr)'!C203:CZ421,102,0)</f>
        <v>1.9599999999999999E-2</v>
      </c>
      <c r="E208" s="91">
        <f>VLOOKUP($A208,'Data Vlaue (Cr)'!$C:$FB,75)</f>
        <v>1981</v>
      </c>
      <c r="F208" s="91">
        <f>VLOOKUP($A208,'Data Vlaue (Cr)'!$C:$FB,77)</f>
        <v>-10</v>
      </c>
      <c r="G208" s="92">
        <f>VLOOKUP(A208,'Data Vlaue (Cr)'!C203:CB421,78,0)</f>
        <v>-5.0000000000000001E-3</v>
      </c>
      <c r="H208" s="91">
        <f>VLOOKUP($A208,'Data Vlaue (Cr)'!$C:$FB,91)</f>
        <v>918</v>
      </c>
      <c r="I208" s="91">
        <f>VLOOKUP($A208,'Data Vlaue (Cr)'!$C:$FB,93)</f>
        <v>85</v>
      </c>
      <c r="J208" s="92">
        <f>VLOOKUP($A208,'Data Vlaue (Cr)'!$C:$FB,94)</f>
        <v>0.10199999999999999</v>
      </c>
      <c r="K208" s="91">
        <f>VLOOKUP($A208,'Data Vlaue (Cr)'!$C:$FB,95)</f>
        <v>739</v>
      </c>
      <c r="L208" s="91">
        <f>VLOOKUP($A208,'Data Vlaue (Cr)'!$C:$FB,97)</f>
        <v>-5</v>
      </c>
      <c r="M208" s="92">
        <f>VLOOKUP($A208,'Data Vlaue (Cr)'!$C:$FB,98)</f>
        <v>-7.1000000000000004E-3</v>
      </c>
      <c r="N208" s="91">
        <f>VLOOKUP($A208,'Data Vlaue (Cr)'!$C:$FB,79)</f>
        <v>1821</v>
      </c>
      <c r="O208" s="92">
        <f>VLOOKUP($A208,'Data Vlaue (Cr)'!$C:$FB,82)</f>
        <v>-1.0699999999999999E-2</v>
      </c>
    </row>
    <row r="209" spans="1:15" x14ac:dyDescent="0.25">
      <c r="A209" s="97" t="str">
        <f>'Data Vlaue (Cr)'!C204</f>
        <v>TORNTPHARM</v>
      </c>
      <c r="B209" s="142">
        <f>VLOOKUP(A209,'Data Vlaue (Cr)'!C204:CW422,99,0)</f>
        <v>1749</v>
      </c>
      <c r="C209" s="90">
        <f>VLOOKUP(A209,'Data Vlaue (Cr)'!C204:CY422,101,0)</f>
        <v>55</v>
      </c>
      <c r="D209" s="139">
        <f>VLOOKUP(A209,'Data Vlaue (Cr)'!C204:CZ422,102,0)</f>
        <v>3.2399999999999998E-2</v>
      </c>
      <c r="E209" s="91">
        <f>VLOOKUP($A209,'Data Vlaue (Cr)'!$C:$FB,75)</f>
        <v>1312</v>
      </c>
      <c r="F209" s="91">
        <f>VLOOKUP($A209,'Data Vlaue (Cr)'!$C:$FB,77)</f>
        <v>22</v>
      </c>
      <c r="G209" s="92">
        <f>VLOOKUP(A209,'Data Vlaue (Cr)'!C204:CB422,78,0)</f>
        <v>1.7299999999999999E-2</v>
      </c>
      <c r="H209" s="91">
        <f>VLOOKUP($A209,'Data Vlaue (Cr)'!$C:$FB,91)</f>
        <v>260</v>
      </c>
      <c r="I209" s="91">
        <f>VLOOKUP($A209,'Data Vlaue (Cr)'!$C:$FB,93)</f>
        <v>39</v>
      </c>
      <c r="J209" s="92">
        <f>VLOOKUP($A209,'Data Vlaue (Cr)'!$C:$FB,94)</f>
        <v>0.17399999999999999</v>
      </c>
      <c r="K209" s="91">
        <f>VLOOKUP($A209,'Data Vlaue (Cr)'!$C:$FB,95)</f>
        <v>177</v>
      </c>
      <c r="L209" s="91">
        <f>VLOOKUP($A209,'Data Vlaue (Cr)'!$C:$FB,97)</f>
        <v>-6</v>
      </c>
      <c r="M209" s="92">
        <f>VLOOKUP($A209,'Data Vlaue (Cr)'!$C:$FB,98)</f>
        <v>-3.3099999999999997E-2</v>
      </c>
      <c r="N209" s="91">
        <f>VLOOKUP($A209,'Data Vlaue (Cr)'!$C:$FB,79)</f>
        <v>1306</v>
      </c>
      <c r="O209" s="92">
        <f>VLOOKUP($A209,'Data Vlaue (Cr)'!$C:$FB,82)</f>
        <v>1.7500000000000002E-2</v>
      </c>
    </row>
    <row r="210" spans="1:15" s="88" customFormat="1" ht="15.75" customHeight="1" x14ac:dyDescent="0.2">
      <c r="A210" s="97" t="str">
        <f>'Data Vlaue (Cr)'!C205</f>
        <v>TORNTPOWER</v>
      </c>
      <c r="B210" s="142">
        <f>VLOOKUP(A210,'Data Vlaue (Cr)'!C205:CW423,99,0)</f>
        <v>706</v>
      </c>
      <c r="C210" s="90">
        <f>VLOOKUP(A210,'Data Vlaue (Cr)'!C205:CY423,101,0)</f>
        <v>25</v>
      </c>
      <c r="D210" s="139">
        <f>VLOOKUP(A210,'Data Vlaue (Cr)'!C205:CZ423,102,0)</f>
        <v>3.6200000000000003E-2</v>
      </c>
      <c r="E210" s="91">
        <f>VLOOKUP($A210,'Data Vlaue (Cr)'!$C:$FB,75)</f>
        <v>511</v>
      </c>
      <c r="F210" s="91">
        <f>VLOOKUP($A210,'Data Vlaue (Cr)'!$C:$FB,77)</f>
        <v>13</v>
      </c>
      <c r="G210" s="92">
        <f>VLOOKUP(A210,'Data Vlaue (Cr)'!C205:CB423,78,0)</f>
        <v>2.5700000000000001E-2</v>
      </c>
      <c r="H210" s="91">
        <f>VLOOKUP($A210,'Data Vlaue (Cr)'!$C:$FB,91)</f>
        <v>102</v>
      </c>
      <c r="I210" s="91">
        <f>VLOOKUP($A210,'Data Vlaue (Cr)'!$C:$FB,93)</f>
        <v>8</v>
      </c>
      <c r="J210" s="92">
        <f>VLOOKUP($A210,'Data Vlaue (Cr)'!$C:$FB,94)</f>
        <v>8.43E-2</v>
      </c>
      <c r="K210" s="91">
        <f>VLOOKUP($A210,'Data Vlaue (Cr)'!$C:$FB,95)</f>
        <v>93</v>
      </c>
      <c r="L210" s="91">
        <f>VLOOKUP($A210,'Data Vlaue (Cr)'!$C:$FB,97)</f>
        <v>4</v>
      </c>
      <c r="M210" s="92">
        <f>VLOOKUP($A210,'Data Vlaue (Cr)'!$C:$FB,98)</f>
        <v>4.4499999999999998E-2</v>
      </c>
      <c r="N210" s="91">
        <f>VLOOKUP($A210,'Data Vlaue (Cr)'!$C:$FB,79)</f>
        <v>511</v>
      </c>
      <c r="O210" s="92">
        <f>VLOOKUP($A210,'Data Vlaue (Cr)'!$C:$FB,82)</f>
        <v>2.5700000000000001E-2</v>
      </c>
    </row>
    <row r="211" spans="1:15" x14ac:dyDescent="0.25">
      <c r="A211" s="97" t="str">
        <f>'Data Vlaue (Cr)'!C206</f>
        <v>TRENT</v>
      </c>
      <c r="B211" s="142">
        <f>VLOOKUP(A211,'Data Vlaue (Cr)'!C206:CW424,99,0)</f>
        <v>4769</v>
      </c>
      <c r="C211" s="90">
        <f>VLOOKUP(A211,'Data Vlaue (Cr)'!C206:CY424,101,0)</f>
        <v>181</v>
      </c>
      <c r="D211" s="139">
        <f>VLOOKUP(A211,'Data Vlaue (Cr)'!C206:CZ424,102,0)</f>
        <v>3.9399999999999998E-2</v>
      </c>
      <c r="E211" s="91">
        <f>VLOOKUP($A211,'Data Vlaue (Cr)'!$C:$FB,75)</f>
        <v>3019</v>
      </c>
      <c r="F211" s="91">
        <f>VLOOKUP($A211,'Data Vlaue (Cr)'!$C:$FB,77)</f>
        <v>80</v>
      </c>
      <c r="G211" s="92">
        <f>VLOOKUP(A211,'Data Vlaue (Cr)'!C206:CB424,78,0)</f>
        <v>2.7300000000000001E-2</v>
      </c>
      <c r="H211" s="91">
        <f>VLOOKUP($A211,'Data Vlaue (Cr)'!$C:$FB,91)</f>
        <v>924</v>
      </c>
      <c r="I211" s="91">
        <f>VLOOKUP($A211,'Data Vlaue (Cr)'!$C:$FB,93)</f>
        <v>46</v>
      </c>
      <c r="J211" s="92">
        <f>VLOOKUP($A211,'Data Vlaue (Cr)'!$C:$FB,94)</f>
        <v>5.2600000000000001E-2</v>
      </c>
      <c r="K211" s="91">
        <f>VLOOKUP($A211,'Data Vlaue (Cr)'!$C:$FB,95)</f>
        <v>825</v>
      </c>
      <c r="L211" s="91">
        <f>VLOOKUP($A211,'Data Vlaue (Cr)'!$C:$FB,97)</f>
        <v>54</v>
      </c>
      <c r="M211" s="92">
        <f>VLOOKUP($A211,'Data Vlaue (Cr)'!$C:$FB,98)</f>
        <v>7.0300000000000001E-2</v>
      </c>
      <c r="N211" s="91">
        <f>VLOOKUP($A211,'Data Vlaue (Cr)'!$C:$FB,79)</f>
        <v>2703</v>
      </c>
      <c r="O211" s="92">
        <f>VLOOKUP($A211,'Data Vlaue (Cr)'!$C:$FB,82)</f>
        <v>2.0500000000000001E-2</v>
      </c>
    </row>
    <row r="212" spans="1:15" x14ac:dyDescent="0.25">
      <c r="A212" s="97" t="str">
        <f>'Data Vlaue (Cr)'!C207</f>
        <v>TVSMOTOR</v>
      </c>
      <c r="B212" s="142">
        <f>VLOOKUP(A212,'Data Vlaue (Cr)'!C207:CW425,99,0)</f>
        <v>3960</v>
      </c>
      <c r="C212" s="90">
        <f>VLOOKUP(A212,'Data Vlaue (Cr)'!C207:CY425,101,0)</f>
        <v>77</v>
      </c>
      <c r="D212" s="139">
        <f>VLOOKUP(A212,'Data Vlaue (Cr)'!C207:CZ425,102,0)</f>
        <v>1.9800000000000002E-2</v>
      </c>
      <c r="E212" s="91">
        <f>VLOOKUP($A212,'Data Vlaue (Cr)'!$C:$FB,75)</f>
        <v>3173</v>
      </c>
      <c r="F212" s="91">
        <f>VLOOKUP($A212,'Data Vlaue (Cr)'!$C:$FB,77)</f>
        <v>20</v>
      </c>
      <c r="G212" s="92">
        <f>VLOOKUP(A212,'Data Vlaue (Cr)'!C207:CB425,78,0)</f>
        <v>6.4000000000000003E-3</v>
      </c>
      <c r="H212" s="91">
        <f>VLOOKUP($A212,'Data Vlaue (Cr)'!$C:$FB,91)</f>
        <v>445</v>
      </c>
      <c r="I212" s="91">
        <f>VLOOKUP($A212,'Data Vlaue (Cr)'!$C:$FB,93)</f>
        <v>32</v>
      </c>
      <c r="J212" s="92">
        <f>VLOOKUP($A212,'Data Vlaue (Cr)'!$C:$FB,94)</f>
        <v>7.7700000000000005E-2</v>
      </c>
      <c r="K212" s="91">
        <f>VLOOKUP($A212,'Data Vlaue (Cr)'!$C:$FB,95)</f>
        <v>342</v>
      </c>
      <c r="L212" s="91">
        <f>VLOOKUP($A212,'Data Vlaue (Cr)'!$C:$FB,97)</f>
        <v>25</v>
      </c>
      <c r="M212" s="92">
        <f>VLOOKUP($A212,'Data Vlaue (Cr)'!$C:$FB,98)</f>
        <v>7.7399999999999997E-2</v>
      </c>
      <c r="N212" s="91">
        <f>VLOOKUP($A212,'Data Vlaue (Cr)'!$C:$FB,79)</f>
        <v>3121</v>
      </c>
      <c r="O212" s="92">
        <f>VLOOKUP($A212,'Data Vlaue (Cr)'!$C:$FB,82)</f>
        <v>3.0999999999999999E-3</v>
      </c>
    </row>
    <row r="213" spans="1:15" x14ac:dyDescent="0.25">
      <c r="A213" s="97" t="str">
        <f>'Data Vlaue (Cr)'!C208</f>
        <v>ULTRACEMCO</v>
      </c>
      <c r="B213" s="142">
        <f>VLOOKUP(A213,'Data Vlaue (Cr)'!C208:CW426,99,0)</f>
        <v>3737</v>
      </c>
      <c r="C213" s="90">
        <f>VLOOKUP(A213,'Data Vlaue (Cr)'!C208:CY426,101,0)</f>
        <v>92</v>
      </c>
      <c r="D213" s="139">
        <f>VLOOKUP(A213,'Data Vlaue (Cr)'!C208:CZ426,102,0)</f>
        <v>2.5399999999999999E-2</v>
      </c>
      <c r="E213" s="91">
        <f>VLOOKUP($A213,'Data Vlaue (Cr)'!$C:$FB,75)</f>
        <v>2840</v>
      </c>
      <c r="F213" s="91">
        <f>VLOOKUP($A213,'Data Vlaue (Cr)'!$C:$FB,77)</f>
        <v>51</v>
      </c>
      <c r="G213" s="92">
        <f>VLOOKUP(A213,'Data Vlaue (Cr)'!C208:CB426,78,0)</f>
        <v>1.83E-2</v>
      </c>
      <c r="H213" s="91">
        <f>VLOOKUP($A213,'Data Vlaue (Cr)'!$C:$FB,91)</f>
        <v>518</v>
      </c>
      <c r="I213" s="91">
        <f>VLOOKUP($A213,'Data Vlaue (Cr)'!$C:$FB,93)</f>
        <v>39</v>
      </c>
      <c r="J213" s="92">
        <f>VLOOKUP($A213,'Data Vlaue (Cr)'!$C:$FB,94)</f>
        <v>8.0399999999999999E-2</v>
      </c>
      <c r="K213" s="91">
        <f>VLOOKUP($A213,'Data Vlaue (Cr)'!$C:$FB,95)</f>
        <v>380</v>
      </c>
      <c r="L213" s="91">
        <f>VLOOKUP($A213,'Data Vlaue (Cr)'!$C:$FB,97)</f>
        <v>3</v>
      </c>
      <c r="M213" s="92">
        <f>VLOOKUP($A213,'Data Vlaue (Cr)'!$C:$FB,98)</f>
        <v>7.7999999999999996E-3</v>
      </c>
      <c r="N213" s="91">
        <f>VLOOKUP($A213,'Data Vlaue (Cr)'!$C:$FB,79)</f>
        <v>2522</v>
      </c>
      <c r="O213" s="92">
        <f>VLOOKUP($A213,'Data Vlaue (Cr)'!$C:$FB,82)</f>
        <v>1.9099999999999999E-2</v>
      </c>
    </row>
    <row r="214" spans="1:15" x14ac:dyDescent="0.25">
      <c r="A214" s="97" t="str">
        <f>'Data Vlaue (Cr)'!C209</f>
        <v>UNIONBANK</v>
      </c>
      <c r="B214" s="142">
        <f>VLOOKUP(A214,'Data Vlaue (Cr)'!C209:CW427,99,0)</f>
        <v>2693</v>
      </c>
      <c r="C214" s="90">
        <f>VLOOKUP(A214,'Data Vlaue (Cr)'!C209:CY427,101,0)</f>
        <v>134</v>
      </c>
      <c r="D214" s="139">
        <f>VLOOKUP(A214,'Data Vlaue (Cr)'!C209:CZ427,102,0)</f>
        <v>5.2299999999999999E-2</v>
      </c>
      <c r="E214" s="91">
        <f>VLOOKUP($A214,'Data Vlaue (Cr)'!$C:$FB,75)</f>
        <v>1818</v>
      </c>
      <c r="F214" s="91">
        <f>VLOOKUP($A214,'Data Vlaue (Cr)'!$C:$FB,77)</f>
        <v>84</v>
      </c>
      <c r="G214" s="92">
        <f>VLOOKUP(A214,'Data Vlaue (Cr)'!C209:CB427,78,0)</f>
        <v>4.87E-2</v>
      </c>
      <c r="H214" s="91">
        <f>VLOOKUP($A214,'Data Vlaue (Cr)'!$C:$FB,91)</f>
        <v>480</v>
      </c>
      <c r="I214" s="91">
        <f>VLOOKUP($A214,'Data Vlaue (Cr)'!$C:$FB,93)</f>
        <v>38</v>
      </c>
      <c r="J214" s="92">
        <f>VLOOKUP($A214,'Data Vlaue (Cr)'!$C:$FB,94)</f>
        <v>8.6499999999999994E-2</v>
      </c>
      <c r="K214" s="91">
        <f>VLOOKUP($A214,'Data Vlaue (Cr)'!$C:$FB,95)</f>
        <v>395</v>
      </c>
      <c r="L214" s="91">
        <f>VLOOKUP($A214,'Data Vlaue (Cr)'!$C:$FB,97)</f>
        <v>11</v>
      </c>
      <c r="M214" s="92">
        <f>VLOOKUP($A214,'Data Vlaue (Cr)'!$C:$FB,98)</f>
        <v>2.8899999999999999E-2</v>
      </c>
      <c r="N214" s="91">
        <f>VLOOKUP($A214,'Data Vlaue (Cr)'!$C:$FB,79)</f>
        <v>1754</v>
      </c>
      <c r="O214" s="92">
        <f>VLOOKUP($A214,'Data Vlaue (Cr)'!$C:$FB,82)</f>
        <v>4.4400000000000002E-2</v>
      </c>
    </row>
    <row r="215" spans="1:15" x14ac:dyDescent="0.25">
      <c r="A215" s="97" t="str">
        <f>'Data Vlaue (Cr)'!C210</f>
        <v>UNITDSPR</v>
      </c>
      <c r="B215" s="142">
        <f>VLOOKUP(A215,'Data Vlaue (Cr)'!C210:CW428,99,0)</f>
        <v>2342</v>
      </c>
      <c r="C215" s="90">
        <f>VLOOKUP(A215,'Data Vlaue (Cr)'!C210:CY428,101,0)</f>
        <v>82</v>
      </c>
      <c r="D215" s="139">
        <f>VLOOKUP(A215,'Data Vlaue (Cr)'!C210:CZ428,102,0)</f>
        <v>3.61E-2</v>
      </c>
      <c r="E215" s="91">
        <f>VLOOKUP($A215,'Data Vlaue (Cr)'!$C:$FB,75)</f>
        <v>1610</v>
      </c>
      <c r="F215" s="91">
        <f>VLOOKUP($A215,'Data Vlaue (Cr)'!$C:$FB,77)</f>
        <v>37</v>
      </c>
      <c r="G215" s="92">
        <f>VLOOKUP(A215,'Data Vlaue (Cr)'!C210:CB428,78,0)</f>
        <v>2.3300000000000001E-2</v>
      </c>
      <c r="H215" s="91">
        <f>VLOOKUP($A215,'Data Vlaue (Cr)'!$C:$FB,91)</f>
        <v>456</v>
      </c>
      <c r="I215" s="91">
        <f>VLOOKUP($A215,'Data Vlaue (Cr)'!$C:$FB,93)</f>
        <v>39</v>
      </c>
      <c r="J215" s="92">
        <f>VLOOKUP($A215,'Data Vlaue (Cr)'!$C:$FB,94)</f>
        <v>9.4399999999999998E-2</v>
      </c>
      <c r="K215" s="91">
        <f>VLOOKUP($A215,'Data Vlaue (Cr)'!$C:$FB,95)</f>
        <v>277</v>
      </c>
      <c r="L215" s="91">
        <f>VLOOKUP($A215,'Data Vlaue (Cr)'!$C:$FB,97)</f>
        <v>6</v>
      </c>
      <c r="M215" s="92">
        <f>VLOOKUP($A215,'Data Vlaue (Cr)'!$C:$FB,98)</f>
        <v>2.06E-2</v>
      </c>
      <c r="N215" s="91">
        <f>VLOOKUP($A215,'Data Vlaue (Cr)'!$C:$FB,79)</f>
        <v>1580</v>
      </c>
      <c r="O215" s="92">
        <f>VLOOKUP($A215,'Data Vlaue (Cr)'!$C:$FB,82)</f>
        <v>2.1700000000000001E-2</v>
      </c>
    </row>
    <row r="216" spans="1:15" x14ac:dyDescent="0.25">
      <c r="A216" s="97" t="str">
        <f>'Data Vlaue (Cr)'!C211</f>
        <v>UNOMINDA</v>
      </c>
      <c r="B216" s="142">
        <f>VLOOKUP(A216,'Data Vlaue (Cr)'!C211:CW429,99,0)</f>
        <v>727</v>
      </c>
      <c r="C216" s="90">
        <f>VLOOKUP(A216,'Data Vlaue (Cr)'!C211:CY429,101,0)</f>
        <v>21</v>
      </c>
      <c r="D216" s="139">
        <f>VLOOKUP(A216,'Data Vlaue (Cr)'!C211:CZ429,102,0)</f>
        <v>0.03</v>
      </c>
      <c r="E216" s="91">
        <f>VLOOKUP($A216,'Data Vlaue (Cr)'!$C:$FB,75)</f>
        <v>526</v>
      </c>
      <c r="F216" s="91">
        <f>VLOOKUP($A216,'Data Vlaue (Cr)'!$C:$FB,77)</f>
        <v>-13</v>
      </c>
      <c r="G216" s="92">
        <f>VLOOKUP(A216,'Data Vlaue (Cr)'!C211:CB429,78,0)</f>
        <v>-2.4199999999999999E-2</v>
      </c>
      <c r="H216" s="91">
        <f>VLOOKUP($A216,'Data Vlaue (Cr)'!$C:$FB,91)</f>
        <v>134</v>
      </c>
      <c r="I216" s="91">
        <f>VLOOKUP($A216,'Data Vlaue (Cr)'!$C:$FB,93)</f>
        <v>22</v>
      </c>
      <c r="J216" s="92">
        <f>VLOOKUP($A216,'Data Vlaue (Cr)'!$C:$FB,94)</f>
        <v>0.2006</v>
      </c>
      <c r="K216" s="91">
        <f>VLOOKUP($A216,'Data Vlaue (Cr)'!$C:$FB,95)</f>
        <v>67</v>
      </c>
      <c r="L216" s="91">
        <f>VLOOKUP($A216,'Data Vlaue (Cr)'!$C:$FB,97)</f>
        <v>12</v>
      </c>
      <c r="M216" s="92">
        <f>VLOOKUP($A216,'Data Vlaue (Cr)'!$C:$FB,98)</f>
        <v>0.21709999999999999</v>
      </c>
      <c r="N216" s="91">
        <f>VLOOKUP($A216,'Data Vlaue (Cr)'!$C:$FB,79)</f>
        <v>521</v>
      </c>
      <c r="O216" s="92">
        <f>VLOOKUP($A216,'Data Vlaue (Cr)'!$C:$FB,82)</f>
        <v>-2.64E-2</v>
      </c>
    </row>
    <row r="217" spans="1:15" x14ac:dyDescent="0.25">
      <c r="A217" s="97" t="str">
        <f>'Data Vlaue (Cr)'!C220</f>
        <v>ZYDUSLIFE</v>
      </c>
      <c r="B217" s="142">
        <f>VLOOKUP(A217,'Data Vlaue (Cr)'!C220:CW430,99,0)</f>
        <v>1240</v>
      </c>
      <c r="C217" s="90">
        <f>VLOOKUP(A217,'Data Vlaue (Cr)'!C220:CY430,101,0)</f>
        <v>17</v>
      </c>
      <c r="D217" s="139">
        <f>VLOOKUP(A217,'Data Vlaue (Cr)'!C220:CZ430,102,0)</f>
        <v>1.38E-2</v>
      </c>
      <c r="E217" s="91">
        <f>VLOOKUP($A217,'Data Vlaue (Cr)'!$C:$FB,75)</f>
        <v>818</v>
      </c>
      <c r="F217" s="91">
        <f>VLOOKUP($A217,'Data Vlaue (Cr)'!$C:$FB,77)</f>
        <v>-15</v>
      </c>
      <c r="G217" s="92">
        <f>VLOOKUP(A217,'Data Vlaue (Cr)'!C220:CB430,78,0)</f>
        <v>-1.77E-2</v>
      </c>
      <c r="H217" s="91">
        <f>VLOOKUP($A217,'Data Vlaue (Cr)'!$C:$FB,91)</f>
        <v>237</v>
      </c>
      <c r="I217" s="91">
        <f>VLOOKUP($A217,'Data Vlaue (Cr)'!$C:$FB,93)</f>
        <v>27</v>
      </c>
      <c r="J217" s="92">
        <f>VLOOKUP($A217,'Data Vlaue (Cr)'!$C:$FB,94)</f>
        <v>0.12989999999999999</v>
      </c>
      <c r="K217" s="91">
        <f>VLOOKUP($A217,'Data Vlaue (Cr)'!$C:$FB,95)</f>
        <v>185</v>
      </c>
      <c r="L217" s="91">
        <f>VLOOKUP($A217,'Data Vlaue (Cr)'!$C:$FB,97)</f>
        <v>4</v>
      </c>
      <c r="M217" s="92">
        <f>VLOOKUP($A217,'Data Vlaue (Cr)'!$C:$FB,98)</f>
        <v>2.4299999999999999E-2</v>
      </c>
      <c r="N217" s="91">
        <f>VLOOKUP($A217,'Data Vlaue (Cr)'!$C:$FB,79)</f>
        <v>804</v>
      </c>
      <c r="O217" s="92">
        <f>VLOOKUP($A217,'Data Vlaue (Cr)'!$C:$FB,82)</f>
        <v>-1.8800000000000001E-2</v>
      </c>
    </row>
    <row r="218" spans="1:15" x14ac:dyDescent="0.25">
      <c r="A218" s="97"/>
      <c r="B218" s="142"/>
      <c r="C218" s="90"/>
      <c r="D218" s="139"/>
      <c r="E218" s="91"/>
      <c r="F218" s="91"/>
      <c r="G218" s="92"/>
      <c r="H218" s="91"/>
      <c r="I218" s="91"/>
      <c r="J218" s="92"/>
      <c r="K218" s="91"/>
      <c r="L218" s="91"/>
      <c r="M218" s="92"/>
      <c r="N218" s="91"/>
      <c r="O218" s="92"/>
    </row>
    <row r="219" spans="1:15" x14ac:dyDescent="0.25">
      <c r="A219" s="97"/>
      <c r="B219" s="142"/>
      <c r="C219" s="90"/>
      <c r="D219" s="139"/>
      <c r="E219" s="91"/>
      <c r="F219" s="91"/>
      <c r="G219" s="92"/>
      <c r="H219" s="91"/>
      <c r="I219" s="91"/>
      <c r="J219" s="92"/>
      <c r="K219" s="91"/>
      <c r="L219" s="91"/>
      <c r="M219" s="92"/>
      <c r="N219" s="91"/>
      <c r="O219" s="92" t="s">
        <v>693</v>
      </c>
    </row>
    <row r="220" spans="1:15" x14ac:dyDescent="0.25">
      <c r="A220" s="97"/>
      <c r="B220" s="142"/>
      <c r="C220" s="90"/>
      <c r="D220" s="139"/>
      <c r="E220" s="91"/>
      <c r="F220" s="91"/>
      <c r="G220" s="92"/>
      <c r="H220" s="91"/>
      <c r="I220" s="91"/>
      <c r="J220" s="92"/>
      <c r="K220" s="91"/>
      <c r="L220" s="91"/>
      <c r="M220" s="92"/>
      <c r="N220" s="91"/>
      <c r="O220" s="92"/>
    </row>
    <row r="221" spans="1:15" x14ac:dyDescent="0.25">
      <c r="A221" s="97"/>
      <c r="B221" s="142"/>
      <c r="C221" s="90"/>
      <c r="D221" s="139"/>
      <c r="E221" s="91"/>
      <c r="F221" s="91"/>
      <c r="G221" s="92"/>
      <c r="H221" s="91"/>
      <c r="I221" s="91"/>
      <c r="J221" s="92"/>
      <c r="K221" s="91"/>
      <c r="L221" s="91"/>
      <c r="M221" s="92"/>
      <c r="N221" s="91"/>
      <c r="O221" s="92"/>
    </row>
    <row r="222" spans="1:15" x14ac:dyDescent="0.25">
      <c r="A222" s="97"/>
      <c r="B222" s="142"/>
      <c r="C222" s="90"/>
      <c r="D222" s="139"/>
      <c r="E222" s="91"/>
      <c r="F222" s="91"/>
      <c r="G222" s="92"/>
      <c r="H222" s="91"/>
      <c r="I222" s="91"/>
      <c r="J222" s="92"/>
      <c r="K222" s="91"/>
      <c r="L222" s="91"/>
      <c r="M222" s="92"/>
      <c r="N222" s="91"/>
      <c r="O222" s="92"/>
    </row>
    <row r="223" spans="1:15" x14ac:dyDescent="0.25">
      <c r="A223" s="97"/>
      <c r="B223" s="142"/>
      <c r="C223" s="90"/>
      <c r="D223" s="139"/>
      <c r="E223" s="91"/>
      <c r="F223" s="91"/>
      <c r="G223" s="92"/>
      <c r="H223" s="91"/>
      <c r="I223" s="91"/>
      <c r="J223" s="92"/>
      <c r="K223" s="91"/>
      <c r="L223" s="91"/>
      <c r="M223" s="92"/>
      <c r="N223" s="91"/>
      <c r="O223" s="92"/>
    </row>
    <row r="224" spans="1:15" x14ac:dyDescent="0.25">
      <c r="A224" s="97"/>
      <c r="B224" s="142"/>
      <c r="C224" s="90"/>
      <c r="D224" s="139"/>
      <c r="E224" s="91"/>
      <c r="F224" s="91"/>
      <c r="G224" s="92"/>
      <c r="H224" s="91"/>
      <c r="I224" s="91"/>
      <c r="J224" s="92"/>
      <c r="K224" s="91"/>
      <c r="L224" s="91"/>
      <c r="M224" s="92"/>
      <c r="N224" s="91"/>
      <c r="O224" s="92"/>
    </row>
    <row r="225" spans="1:15" x14ac:dyDescent="0.25">
      <c r="A225" s="97"/>
      <c r="B225" s="142"/>
      <c r="C225" s="90"/>
      <c r="D225" s="139"/>
      <c r="E225" s="91"/>
      <c r="F225" s="91"/>
      <c r="G225" s="92"/>
      <c r="H225" s="91"/>
      <c r="I225" s="91"/>
      <c r="J225" s="92"/>
      <c r="K225" s="91"/>
      <c r="L225" s="91"/>
      <c r="M225" s="92"/>
      <c r="N225" s="91"/>
      <c r="O225" s="92"/>
    </row>
    <row r="226" spans="1:15" x14ac:dyDescent="0.25">
      <c r="A226" s="102"/>
      <c r="B226" s="142"/>
      <c r="C226" s="90"/>
      <c r="D226" s="139"/>
      <c r="E226" s="91"/>
      <c r="F226" s="91"/>
      <c r="G226" s="92"/>
      <c r="H226" s="91"/>
      <c r="I226" s="91"/>
      <c r="J226" s="92"/>
      <c r="K226" s="91"/>
      <c r="L226" s="91"/>
      <c r="M226" s="92"/>
      <c r="N226" s="91"/>
      <c r="O226" s="92"/>
    </row>
    <row r="227" spans="1:15" x14ac:dyDescent="0.25">
      <c r="A227" s="122" t="s">
        <v>391</v>
      </c>
      <c r="B227" s="123">
        <f>SUM(B7:B221)</f>
        <v>1978443</v>
      </c>
      <c r="C227" s="123">
        <f>SUM(C7:C224)</f>
        <v>168033</v>
      </c>
      <c r="D227" s="124">
        <f>'Snapshot (Value)'!K228</f>
        <v>9.2810661853042695E-2</v>
      </c>
      <c r="E227" s="123">
        <f>SUM(E7:E222)</f>
        <v>547707</v>
      </c>
      <c r="F227" s="123">
        <f>SUM(F7:F222)</f>
        <v>2826</v>
      </c>
      <c r="G227" s="149">
        <f>F227*100/(E227-F227)</f>
        <v>0.51864535559140434</v>
      </c>
      <c r="H227" s="123">
        <f>SUM(H7:H222)</f>
        <v>751331</v>
      </c>
      <c r="I227" s="123">
        <f>SUM(I7:I222)</f>
        <v>119323</v>
      </c>
      <c r="J227" s="149">
        <f>I227/(H227-I227)</f>
        <v>0.18879982531866685</v>
      </c>
      <c r="K227" s="123">
        <f>SUM(K7:K222)</f>
        <v>679403</v>
      </c>
      <c r="L227" s="123">
        <f>SUM(L7:L222)</f>
        <v>45861</v>
      </c>
      <c r="M227" s="149">
        <f>L227/(K227-L227)</f>
        <v>7.2388255238011054E-2</v>
      </c>
      <c r="N227" s="123">
        <f>SUM(N7:N222)</f>
        <v>504913</v>
      </c>
      <c r="O227" s="149">
        <f>(N227-FII!V2)/N227</f>
        <v>-3.3425560443086234E-2</v>
      </c>
    </row>
    <row r="232" spans="1:15" x14ac:dyDescent="0.25">
      <c r="A232" s="275" t="s">
        <v>408</v>
      </c>
      <c r="B232" s="275"/>
      <c r="C232" s="275"/>
      <c r="D232" s="275"/>
    </row>
    <row r="233" spans="1:15" x14ac:dyDescent="0.25">
      <c r="A233" s="35" t="s">
        <v>401</v>
      </c>
      <c r="B233" s="35" t="s">
        <v>402</v>
      </c>
      <c r="C233" s="35" t="s">
        <v>369</v>
      </c>
      <c r="D233" s="35" t="s">
        <v>407</v>
      </c>
    </row>
    <row r="234" spans="1:15" x14ac:dyDescent="0.25">
      <c r="A234" s="36" t="s">
        <v>403</v>
      </c>
      <c r="B234" s="37">
        <f>E227</f>
        <v>547707</v>
      </c>
      <c r="C234" s="37">
        <f>F227</f>
        <v>2826</v>
      </c>
      <c r="D234" s="39">
        <f>C234/B234</f>
        <v>5.1596930475601007E-3</v>
      </c>
    </row>
    <row r="235" spans="1:15" x14ac:dyDescent="0.25">
      <c r="A235" s="36" t="s">
        <v>404</v>
      </c>
      <c r="B235" s="37">
        <f>H227</f>
        <v>751331</v>
      </c>
      <c r="C235" s="37">
        <f>I227</f>
        <v>119323</v>
      </c>
      <c r="D235" s="150">
        <f>C235/B235</f>
        <v>0.15881548877924642</v>
      </c>
    </row>
    <row r="236" spans="1:15" x14ac:dyDescent="0.25">
      <c r="A236" s="36" t="s">
        <v>405</v>
      </c>
      <c r="B236" s="37">
        <f>K227</f>
        <v>679403</v>
      </c>
      <c r="C236" s="37">
        <f>L227</f>
        <v>45861</v>
      </c>
      <c r="D236" s="150">
        <f>C236/B236</f>
        <v>6.7501909764896534E-2</v>
      </c>
    </row>
    <row r="237" spans="1:15" x14ac:dyDescent="0.25">
      <c r="A237" s="36" t="s">
        <v>406</v>
      </c>
      <c r="B237" s="37">
        <f>B234+B235+B236</f>
        <v>1978441</v>
      </c>
      <c r="C237" s="37">
        <f>C234+C235+C236</f>
        <v>168010</v>
      </c>
      <c r="D237" s="150">
        <f>C237/B237</f>
        <v>8.4920399445826286E-2</v>
      </c>
    </row>
  </sheetData>
  <autoFilter ref="A6:O6">
    <sortState ref="A7:O154">
      <sortCondition ref="A6"/>
    </sortState>
  </autoFilter>
  <mergeCells count="9">
    <mergeCell ref="A232:D232"/>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pane ySplit="6" topLeftCell="A40" activePane="bottomLeft" state="frozen"/>
      <selection pane="bottomLeft" activeCell="J57" sqref="J57"/>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3" t="s">
        <v>343</v>
      </c>
      <c r="B3" s="294"/>
      <c r="C3" s="294"/>
      <c r="D3" s="294"/>
      <c r="E3" s="294"/>
      <c r="F3" s="294"/>
      <c r="G3" s="295"/>
      <c r="H3" s="295"/>
      <c r="I3" s="295"/>
      <c r="J3" s="296"/>
    </row>
    <row r="4" spans="1:10" s="93" customFormat="1" x14ac:dyDescent="0.25">
      <c r="A4" s="297" t="s">
        <v>330</v>
      </c>
      <c r="B4" s="297" t="s">
        <v>308</v>
      </c>
      <c r="C4" s="297"/>
      <c r="D4" s="297"/>
      <c r="E4" s="297" t="s">
        <v>340</v>
      </c>
      <c r="F4" s="297"/>
      <c r="G4" s="297"/>
      <c r="H4" s="297" t="s">
        <v>458</v>
      </c>
      <c r="I4" s="297"/>
      <c r="J4" s="297"/>
    </row>
    <row r="5" spans="1:10" s="93" customFormat="1" x14ac:dyDescent="0.25">
      <c r="A5" s="298"/>
      <c r="B5" s="94" t="s">
        <v>312</v>
      </c>
      <c r="C5" s="94" t="s">
        <v>313</v>
      </c>
      <c r="D5" s="94"/>
      <c r="E5" s="298" t="s">
        <v>314</v>
      </c>
      <c r="F5" s="298"/>
      <c r="G5" s="298"/>
      <c r="H5" s="298" t="s">
        <v>314</v>
      </c>
      <c r="I5" s="298"/>
      <c r="J5" s="298"/>
    </row>
    <row r="6" spans="1:10" s="93" customFormat="1" x14ac:dyDescent="0.25">
      <c r="A6" s="94" t="s">
        <v>318</v>
      </c>
      <c r="B6" s="3">
        <f>'OI(Volume)'!B6</f>
        <v>46121</v>
      </c>
      <c r="C6" s="3">
        <f>B6</f>
        <v>46121</v>
      </c>
      <c r="D6" s="94" t="s">
        <v>328</v>
      </c>
      <c r="E6" s="3">
        <f>B6</f>
        <v>46121</v>
      </c>
      <c r="F6" s="94" t="s">
        <v>322</v>
      </c>
      <c r="G6" s="94" t="s">
        <v>328</v>
      </c>
      <c r="H6" s="3">
        <f>E6</f>
        <v>46121</v>
      </c>
      <c r="I6" s="94" t="s">
        <v>322</v>
      </c>
      <c r="J6" s="94" t="s">
        <v>328</v>
      </c>
    </row>
    <row r="7" spans="1:10" x14ac:dyDescent="0.25">
      <c r="A7" s="101" t="str">
        <f>'NIFTY GRP'!C2</f>
        <v>ADANIENT</v>
      </c>
      <c r="B7" s="140">
        <f>VLOOKUP($A7,'Data shares'!$C:$FA,7)</f>
        <v>2040.5</v>
      </c>
      <c r="C7" s="140">
        <f>VLOOKUP($A7,'Data shares'!$C:$FA,3)</f>
        <v>2050.8000000000002</v>
      </c>
      <c r="D7" s="50">
        <f>VLOOKUP($A7,'Data shares'!$C:$FA,6)*100</f>
        <v>-0.13999999999999999</v>
      </c>
      <c r="E7" s="51">
        <f>VLOOKUP($A7,'Data shares'!$C:$FA,98)</f>
        <v>28226841</v>
      </c>
      <c r="F7" s="51">
        <f>VLOOKUP($A7,'Data shares'!$C:$FA,99)</f>
        <v>28333755</v>
      </c>
      <c r="G7" s="50">
        <f>VLOOKUP($A7,'Data shares'!$C:$FA,101)*100</f>
        <v>-0.38</v>
      </c>
      <c r="H7" s="49">
        <f>VLOOKUP($A7,'Data Vlaue (Cr)'!$C:$FB,99)</f>
        <v>5789</v>
      </c>
      <c r="I7" s="49">
        <f>VLOOKUP($A7,'Data Vlaue (Cr)'!$C:$FB,100)</f>
        <v>5811</v>
      </c>
      <c r="J7" s="49">
        <f>VLOOKUP($A7,'Data Vlaue (Cr)'!$C:$FB,102)*100</f>
        <v>-0.38</v>
      </c>
    </row>
    <row r="8" spans="1:10" x14ac:dyDescent="0.25">
      <c r="A8" s="101" t="str">
        <f>'NIFTY GRP'!C3</f>
        <v>ADANIPORTS</v>
      </c>
      <c r="B8" s="140">
        <f>VLOOKUP($A8,'Data shares'!$C:$FA,7)</f>
        <v>1447.4</v>
      </c>
      <c r="C8" s="140">
        <f>VLOOKUP($A8,'Data shares'!$C:$FA,3)</f>
        <v>1452</v>
      </c>
      <c r="D8" s="50">
        <f>VLOOKUP($A8,'Data shares'!$C:$FA,6)*100</f>
        <v>-0.57999999999999996</v>
      </c>
      <c r="E8" s="51">
        <f>VLOOKUP($A8,'Data shares'!$C:$FA,98)</f>
        <v>35379900</v>
      </c>
      <c r="F8" s="51">
        <f>VLOOKUP($A8,'Data shares'!$C:$FA,99)</f>
        <v>35112000</v>
      </c>
      <c r="G8" s="50">
        <f>VLOOKUP($A8,'Data shares'!$C:$FA,101)*100</f>
        <v>0.76</v>
      </c>
      <c r="H8" s="49">
        <f>VLOOKUP($A8,'Data Vlaue (Cr)'!$C:$FB,99)</f>
        <v>5137</v>
      </c>
      <c r="I8" s="49">
        <f>VLOOKUP($A8,'Data Vlaue (Cr)'!$C:$FB,100)</f>
        <v>5098</v>
      </c>
      <c r="J8" s="49">
        <f>VLOOKUP($A8,'Data Vlaue (Cr)'!$C:$FB,102)*100</f>
        <v>0.76</v>
      </c>
    </row>
    <row r="9" spans="1:10" x14ac:dyDescent="0.25">
      <c r="A9" s="101" t="str">
        <f>'NIFTY GRP'!C4</f>
        <v>APOLLOHOSP</v>
      </c>
      <c r="B9" s="140">
        <f>VLOOKUP($A9,'Data shares'!$C:$FA,7)</f>
        <v>7481.5</v>
      </c>
      <c r="C9" s="140">
        <f>VLOOKUP($A9,'Data shares'!$C:$FA,3)</f>
        <v>7495</v>
      </c>
      <c r="D9" s="50">
        <f>VLOOKUP($A9,'Data shares'!$C:$FA,6)*100</f>
        <v>1.05</v>
      </c>
      <c r="E9" s="51">
        <f>VLOOKUP($A9,'Data shares'!$C:$FA,98)</f>
        <v>3852625</v>
      </c>
      <c r="F9" s="51">
        <f>VLOOKUP($A9,'Data shares'!$C:$FA,99)</f>
        <v>3855500</v>
      </c>
      <c r="G9" s="50">
        <f>VLOOKUP($A9,'Data shares'!$C:$FA,101)*100</f>
        <v>-6.9999999999999993E-2</v>
      </c>
      <c r="H9" s="49">
        <f>VLOOKUP($A9,'Data Vlaue (Cr)'!$C:$FB,99)</f>
        <v>2888</v>
      </c>
      <c r="I9" s="49">
        <f>VLOOKUP($A9,'Data Vlaue (Cr)'!$C:$FB,100)</f>
        <v>2890</v>
      </c>
      <c r="J9" s="49">
        <f>VLOOKUP($A9,'Data Vlaue (Cr)'!$C:$FB,102)*100</f>
        <v>-6.9999999999999993E-2</v>
      </c>
    </row>
    <row r="10" spans="1:10" x14ac:dyDescent="0.25">
      <c r="A10" s="101" t="str">
        <f>'NIFTY GRP'!C5</f>
        <v>ASIANPAINT</v>
      </c>
      <c r="B10" s="140">
        <f>VLOOKUP($A10,'Data shares'!$C:$FA,7)</f>
        <v>2269.6</v>
      </c>
      <c r="C10" s="140">
        <f>VLOOKUP($A10,'Data shares'!$C:$FA,3)</f>
        <v>2274.9</v>
      </c>
      <c r="D10" s="50">
        <f>VLOOKUP($A10,'Data shares'!$C:$FA,6)*100</f>
        <v>-0.79</v>
      </c>
      <c r="E10" s="51">
        <f>VLOOKUP($A10,'Data shares'!$C:$FA,98)</f>
        <v>21999000</v>
      </c>
      <c r="F10" s="51">
        <f>VLOOKUP($A10,'Data shares'!$C:$FA,99)</f>
        <v>21731750</v>
      </c>
      <c r="G10" s="50">
        <f>VLOOKUP($A10,'Data shares'!$C:$FA,101)*100</f>
        <v>1.23</v>
      </c>
      <c r="H10" s="49">
        <f>VLOOKUP($A10,'Data Vlaue (Cr)'!$C:$FB,99)</f>
        <v>5005</v>
      </c>
      <c r="I10" s="49">
        <f>VLOOKUP($A10,'Data Vlaue (Cr)'!$C:$FB,100)</f>
        <v>4944</v>
      </c>
      <c r="J10" s="49">
        <f>VLOOKUP($A10,'Data Vlaue (Cr)'!$C:$FB,102)*100</f>
        <v>1.23</v>
      </c>
    </row>
    <row r="11" spans="1:10" x14ac:dyDescent="0.25">
      <c r="A11" s="101" t="str">
        <f>'NIFTY GRP'!C6</f>
        <v>AXISBANK</v>
      </c>
      <c r="B11" s="140">
        <f>VLOOKUP($A11,'Data shares'!$C:$FA,7)</f>
        <v>1318.5</v>
      </c>
      <c r="C11" s="140">
        <f>VLOOKUP($A11,'Data shares'!$C:$FA,3)</f>
        <v>1323.2</v>
      </c>
      <c r="D11" s="50">
        <f>VLOOKUP($A11,'Data shares'!$C:$FA,6)*100</f>
        <v>-0.92999999999999994</v>
      </c>
      <c r="E11" s="51">
        <f>VLOOKUP($A11,'Data shares'!$C:$FA,98)</f>
        <v>92249375</v>
      </c>
      <c r="F11" s="51">
        <f>VLOOKUP($A11,'Data shares'!$C:$FA,99)</f>
        <v>91868750</v>
      </c>
      <c r="G11" s="50">
        <f>VLOOKUP($A11,'Data shares'!$C:$FA,101)*100</f>
        <v>0.41000000000000003</v>
      </c>
      <c r="H11" s="49">
        <f>VLOOKUP($A11,'Data Vlaue (Cr)'!$C:$FB,99)</f>
        <v>12206</v>
      </c>
      <c r="I11" s="49">
        <f>VLOOKUP($A11,'Data Vlaue (Cr)'!$C:$FB,100)</f>
        <v>12156</v>
      </c>
      <c r="J11" s="49">
        <f>VLOOKUP($A11,'Data Vlaue (Cr)'!$C:$FB,102)*100</f>
        <v>0.41000000000000003</v>
      </c>
    </row>
    <row r="12" spans="1:10" x14ac:dyDescent="0.25">
      <c r="A12" s="101" t="str">
        <f>'NIFTY GRP'!C7</f>
        <v>BAJAJ-AUTO</v>
      </c>
      <c r="B12" s="140">
        <f>VLOOKUP($A12,'Data shares'!$C:$FA,7)</f>
        <v>9517</v>
      </c>
      <c r="C12" s="140">
        <f>VLOOKUP($A12,'Data shares'!$C:$FA,3)</f>
        <v>9516.5</v>
      </c>
      <c r="D12" s="50">
        <f>VLOOKUP($A12,'Data shares'!$C:$FA,6)*100</f>
        <v>1.44</v>
      </c>
      <c r="E12" s="51">
        <f>VLOOKUP($A12,'Data shares'!$C:$FA,98)</f>
        <v>4895925</v>
      </c>
      <c r="F12" s="51">
        <f>VLOOKUP($A12,'Data shares'!$C:$FA,99)</f>
        <v>4637550</v>
      </c>
      <c r="G12" s="50">
        <f>VLOOKUP($A12,'Data shares'!$C:$FA,101)*100</f>
        <v>5.57</v>
      </c>
      <c r="H12" s="49">
        <f>VLOOKUP($A12,'Data Vlaue (Cr)'!$C:$FB,99)</f>
        <v>4659</v>
      </c>
      <c r="I12" s="49">
        <f>VLOOKUP($A12,'Data Vlaue (Cr)'!$C:$FB,100)</f>
        <v>4413</v>
      </c>
      <c r="J12" s="49">
        <f>VLOOKUP($A12,'Data Vlaue (Cr)'!$C:$FB,102)*100</f>
        <v>5.57</v>
      </c>
    </row>
    <row r="13" spans="1:10" x14ac:dyDescent="0.25">
      <c r="A13" s="101" t="str">
        <f>'NIFTY GRP'!C8</f>
        <v>BAJAJFINSV</v>
      </c>
      <c r="B13" s="140">
        <f>VLOOKUP($A13,'Data shares'!$C:$FA,7)</f>
        <v>1767.7</v>
      </c>
      <c r="C13" s="140">
        <f>VLOOKUP($A13,'Data shares'!$C:$FA,3)</f>
        <v>1773.5</v>
      </c>
      <c r="D13" s="50">
        <f>VLOOKUP($A13,'Data shares'!$C:$FA,6)*100</f>
        <v>-1.1299999999999999</v>
      </c>
      <c r="E13" s="51">
        <f>VLOOKUP($A13,'Data shares'!$C:$FA,98)</f>
        <v>18158000</v>
      </c>
      <c r="F13" s="51">
        <f>VLOOKUP($A13,'Data shares'!$C:$FA,99)</f>
        <v>17607000</v>
      </c>
      <c r="G13" s="50">
        <f>VLOOKUP($A13,'Data shares'!$C:$FA,101)*100</f>
        <v>3.1300000000000003</v>
      </c>
      <c r="H13" s="49">
        <f>VLOOKUP($A13,'Data Vlaue (Cr)'!$C:$FB,99)</f>
        <v>3220</v>
      </c>
      <c r="I13" s="49">
        <f>VLOOKUP($A13,'Data Vlaue (Cr)'!$C:$FB,100)</f>
        <v>3123</v>
      </c>
      <c r="J13" s="49">
        <f>VLOOKUP($A13,'Data Vlaue (Cr)'!$C:$FB,102)*100</f>
        <v>3.1300000000000003</v>
      </c>
    </row>
    <row r="14" spans="1:10" x14ac:dyDescent="0.25">
      <c r="A14" s="101" t="str">
        <f>'NIFTY GRP'!C9</f>
        <v>BAJFINANCE</v>
      </c>
      <c r="B14" s="140">
        <f>VLOOKUP($A14,'Data shares'!$C:$FA,7)</f>
        <v>903.25</v>
      </c>
      <c r="C14" s="140">
        <f>VLOOKUP($A14,'Data shares'!$C:$FA,3)</f>
        <v>904.25</v>
      </c>
      <c r="D14" s="50">
        <f>VLOOKUP($A14,'Data shares'!$C:$FA,6)*100</f>
        <v>-1.35</v>
      </c>
      <c r="E14" s="51">
        <f>VLOOKUP($A14,'Data shares'!$C:$FA,98)</f>
        <v>104595000</v>
      </c>
      <c r="F14" s="51">
        <f>VLOOKUP($A14,'Data shares'!$C:$FA,99)</f>
        <v>102314250</v>
      </c>
      <c r="G14" s="50">
        <f>VLOOKUP($A14,'Data shares'!$C:$FA,101)*100</f>
        <v>2.23</v>
      </c>
      <c r="H14" s="49">
        <f>VLOOKUP($A14,'Data Vlaue (Cr)'!$C:$FB,99)</f>
        <v>9458</v>
      </c>
      <c r="I14" s="49">
        <f>VLOOKUP($A14,'Data Vlaue (Cr)'!$C:$FB,100)</f>
        <v>9252</v>
      </c>
      <c r="J14" s="49">
        <f>VLOOKUP($A14,'Data Vlaue (Cr)'!$C:$FB,102)*100</f>
        <v>2.23</v>
      </c>
    </row>
    <row r="15" spans="1:10" x14ac:dyDescent="0.25">
      <c r="A15" s="101" t="str">
        <f>'NIFTY GRP'!C10</f>
        <v>BEL</v>
      </c>
      <c r="B15" s="140">
        <f>VLOOKUP($A15,'Data shares'!$C:$FA,7)</f>
        <v>439.75</v>
      </c>
      <c r="C15" s="140">
        <f>VLOOKUP($A15,'Data shares'!$C:$FA,3)</f>
        <v>441.85</v>
      </c>
      <c r="D15" s="50">
        <f>VLOOKUP($A15,'Data shares'!$C:$FA,6)*100</f>
        <v>1.55</v>
      </c>
      <c r="E15" s="51">
        <f>VLOOKUP($A15,'Data shares'!$C:$FA,98)</f>
        <v>167494500</v>
      </c>
      <c r="F15" s="51">
        <f>VLOOKUP($A15,'Data shares'!$C:$FA,99)</f>
        <v>164792700</v>
      </c>
      <c r="G15" s="50">
        <f>VLOOKUP($A15,'Data shares'!$C:$FA,101)*100</f>
        <v>1.6400000000000001</v>
      </c>
      <c r="H15" s="49">
        <f>VLOOKUP($A15,'Data Vlaue (Cr)'!$C:$FB,99)</f>
        <v>7401</v>
      </c>
      <c r="I15" s="49">
        <f>VLOOKUP($A15,'Data Vlaue (Cr)'!$C:$FB,100)</f>
        <v>7281</v>
      </c>
      <c r="J15" s="49">
        <f>VLOOKUP($A15,'Data Vlaue (Cr)'!$C:$FB,102)*100</f>
        <v>1.6400000000000001</v>
      </c>
    </row>
    <row r="16" spans="1:10" x14ac:dyDescent="0.25">
      <c r="A16" s="101" t="str">
        <f>'NIFTY GRP'!C11</f>
        <v>BHARTIARTL</v>
      </c>
      <c r="B16" s="140">
        <f>VLOOKUP($A16,'Data shares'!$C:$FA,7)</f>
        <v>1859.4</v>
      </c>
      <c r="C16" s="140">
        <f>VLOOKUP($A16,'Data shares'!$C:$FA,3)</f>
        <v>1866.1</v>
      </c>
      <c r="D16" s="50">
        <f>VLOOKUP($A16,'Data shares'!$C:$FA,6)*100</f>
        <v>0.03</v>
      </c>
      <c r="E16" s="51">
        <f>VLOOKUP($A16,'Data shares'!$C:$FA,98)</f>
        <v>75458025</v>
      </c>
      <c r="F16" s="51">
        <f>VLOOKUP($A16,'Data shares'!$C:$FA,99)</f>
        <v>75322175</v>
      </c>
      <c r="G16" s="50">
        <f>VLOOKUP($A16,'Data shares'!$C:$FA,101)*100</f>
        <v>0.18</v>
      </c>
      <c r="H16" s="49">
        <f>VLOOKUP($A16,'Data Vlaue (Cr)'!$C:$FB,99)</f>
        <v>14081</v>
      </c>
      <c r="I16" s="49">
        <f>VLOOKUP($A16,'Data Vlaue (Cr)'!$C:$FB,100)</f>
        <v>14056</v>
      </c>
      <c r="J16" s="49">
        <f>VLOOKUP($A16,'Data Vlaue (Cr)'!$C:$FB,102)*100</f>
        <v>0.18</v>
      </c>
    </row>
    <row r="17" spans="1:10" x14ac:dyDescent="0.25">
      <c r="A17" s="101" t="str">
        <f>'NIFTY GRP'!C12</f>
        <v>CIPLA</v>
      </c>
      <c r="B17" s="140">
        <f>VLOOKUP($A17,'Data shares'!$C:$FA,7)</f>
        <v>1224.4000000000001</v>
      </c>
      <c r="C17" s="140">
        <f>VLOOKUP($A17,'Data shares'!$C:$FA,3)</f>
        <v>1227.2</v>
      </c>
      <c r="D17" s="50">
        <f>VLOOKUP($A17,'Data shares'!$C:$FA,6)*100</f>
        <v>0.44</v>
      </c>
      <c r="E17" s="51">
        <f>VLOOKUP($A17,'Data shares'!$C:$FA,98)</f>
        <v>22881000</v>
      </c>
      <c r="F17" s="51">
        <f>VLOOKUP($A17,'Data shares'!$C:$FA,99)</f>
        <v>22552875</v>
      </c>
      <c r="G17" s="50">
        <f>VLOOKUP($A17,'Data shares'!$C:$FA,101)*100</f>
        <v>1.4500000000000002</v>
      </c>
      <c r="H17" s="49">
        <f>VLOOKUP($A17,'Data Vlaue (Cr)'!$C:$FB,99)</f>
        <v>2808</v>
      </c>
      <c r="I17" s="49">
        <f>VLOOKUP($A17,'Data Vlaue (Cr)'!$C:$FB,100)</f>
        <v>2768</v>
      </c>
      <c r="J17" s="49">
        <f>VLOOKUP($A17,'Data Vlaue (Cr)'!$C:$FB,102)*100</f>
        <v>1.4500000000000002</v>
      </c>
    </row>
    <row r="18" spans="1:10" x14ac:dyDescent="0.25">
      <c r="A18" s="101" t="str">
        <f>'NIFTY GRP'!C13</f>
        <v>COALINDIA</v>
      </c>
      <c r="B18" s="140">
        <f>VLOOKUP($A18,'Data shares'!$C:$FA,7)</f>
        <v>454.1</v>
      </c>
      <c r="C18" s="140">
        <f>VLOOKUP($A18,'Data shares'!$C:$FA,3)</f>
        <v>452.9</v>
      </c>
      <c r="D18" s="50">
        <f>VLOOKUP($A18,'Data shares'!$C:$FA,6)*100</f>
        <v>1.63</v>
      </c>
      <c r="E18" s="51">
        <f>VLOOKUP($A18,'Data shares'!$C:$FA,98)</f>
        <v>105777900</v>
      </c>
      <c r="F18" s="51">
        <f>VLOOKUP($A18,'Data shares'!$C:$FA,99)</f>
        <v>106882200</v>
      </c>
      <c r="G18" s="50">
        <f>VLOOKUP($A18,'Data shares'!$C:$FA,101)*100</f>
        <v>-1.03</v>
      </c>
      <c r="H18" s="49">
        <f>VLOOKUP($A18,'Data Vlaue (Cr)'!$C:$FB,99)</f>
        <v>4791</v>
      </c>
      <c r="I18" s="49">
        <f>VLOOKUP($A18,'Data Vlaue (Cr)'!$C:$FB,100)</f>
        <v>4841</v>
      </c>
      <c r="J18" s="49">
        <f>VLOOKUP($A18,'Data Vlaue (Cr)'!$C:$FB,102)*100</f>
        <v>-1.03</v>
      </c>
    </row>
    <row r="19" spans="1:10" x14ac:dyDescent="0.25">
      <c r="A19" s="101" t="str">
        <f>'NIFTY GRP'!C14</f>
        <v>DRREDDY</v>
      </c>
      <c r="B19" s="140">
        <f>VLOOKUP($A19,'Data shares'!$C:$FA,7)</f>
        <v>1211.9000000000001</v>
      </c>
      <c r="C19" s="140">
        <f>VLOOKUP($A19,'Data shares'!$C:$FA,3)</f>
        <v>1216.9000000000001</v>
      </c>
      <c r="D19" s="50">
        <f>VLOOKUP($A19,'Data shares'!$C:$FA,6)*100</f>
        <v>2</v>
      </c>
      <c r="E19" s="51">
        <f>VLOOKUP($A19,'Data shares'!$C:$FA,98)</f>
        <v>23464375</v>
      </c>
      <c r="F19" s="51">
        <f>VLOOKUP($A19,'Data shares'!$C:$FA,99)</f>
        <v>25265000</v>
      </c>
      <c r="G19" s="50">
        <f>VLOOKUP($A19,'Data shares'!$C:$FA,101)*100</f>
        <v>-7.13</v>
      </c>
      <c r="H19" s="49">
        <f>VLOOKUP($A19,'Data Vlaue (Cr)'!$C:$FB,99)</f>
        <v>2855</v>
      </c>
      <c r="I19" s="49">
        <f>VLOOKUP($A19,'Data Vlaue (Cr)'!$C:$FB,100)</f>
        <v>3074</v>
      </c>
      <c r="J19" s="49">
        <f>VLOOKUP($A19,'Data Vlaue (Cr)'!$C:$FB,102)*100</f>
        <v>-7.13</v>
      </c>
    </row>
    <row r="20" spans="1:10" x14ac:dyDescent="0.25">
      <c r="A20" s="101" t="str">
        <f>'NIFTY GRP'!C15</f>
        <v>EICHERMOT</v>
      </c>
      <c r="B20" s="140">
        <f>VLOOKUP($A20,'Data shares'!$C:$FA,7)</f>
        <v>7147.5</v>
      </c>
      <c r="C20" s="140">
        <f>VLOOKUP($A20,'Data shares'!$C:$FA,3)</f>
        <v>7161</v>
      </c>
      <c r="D20" s="50">
        <f>VLOOKUP($A20,'Data shares'!$C:$FA,6)*100</f>
        <v>-0.03</v>
      </c>
      <c r="E20" s="51">
        <f>VLOOKUP($A20,'Data shares'!$C:$FA,98)</f>
        <v>6809900</v>
      </c>
      <c r="F20" s="51">
        <f>VLOOKUP($A20,'Data shares'!$C:$FA,99)</f>
        <v>6726500</v>
      </c>
      <c r="G20" s="50">
        <f>VLOOKUP($A20,'Data shares'!$C:$FA,101)*100</f>
        <v>1.24</v>
      </c>
      <c r="H20" s="49">
        <f>VLOOKUP($A20,'Data Vlaue (Cr)'!$C:$FB,99)</f>
        <v>4877</v>
      </c>
      <c r="I20" s="49">
        <f>VLOOKUP($A20,'Data Vlaue (Cr)'!$C:$FB,100)</f>
        <v>4817</v>
      </c>
      <c r="J20" s="49">
        <f>VLOOKUP($A20,'Data Vlaue (Cr)'!$C:$FB,102)*100</f>
        <v>1.24</v>
      </c>
    </row>
    <row r="21" spans="1:10" x14ac:dyDescent="0.25">
      <c r="A21" s="101" t="str">
        <f>'NIFTY GRP'!C16</f>
        <v>ETERNAL</v>
      </c>
      <c r="B21" s="140">
        <f>VLOOKUP($A21,'Data shares'!$C:$FA,7)</f>
        <v>237.89</v>
      </c>
      <c r="C21" s="140">
        <f>VLOOKUP($A21,'Data shares'!$C:$FA,3)</f>
        <v>238.9</v>
      </c>
      <c r="D21" s="50">
        <f>VLOOKUP($A21,'Data shares'!$C:$FA,6)*100</f>
        <v>-2.46</v>
      </c>
      <c r="E21" s="51">
        <f>VLOOKUP($A21,'Data shares'!$C:$FA,98)</f>
        <v>297838500</v>
      </c>
      <c r="F21" s="51">
        <f>VLOOKUP($A21,'Data shares'!$C:$FA,99)</f>
        <v>288882975</v>
      </c>
      <c r="G21" s="50">
        <f>VLOOKUP($A21,'Data shares'!$C:$FA,101)*100</f>
        <v>3.1</v>
      </c>
      <c r="H21" s="49">
        <f>VLOOKUP($A21,'Data Vlaue (Cr)'!$C:$FB,99)</f>
        <v>7115</v>
      </c>
      <c r="I21" s="49">
        <f>VLOOKUP($A21,'Data Vlaue (Cr)'!$C:$FB,100)</f>
        <v>6901</v>
      </c>
      <c r="J21" s="49">
        <f>VLOOKUP($A21,'Data Vlaue (Cr)'!$C:$FB,102)*100</f>
        <v>3.1</v>
      </c>
    </row>
    <row r="22" spans="1:10" x14ac:dyDescent="0.25">
      <c r="A22" s="101" t="str">
        <f>'NIFTY GRP'!C17</f>
        <v>GRASIM</v>
      </c>
      <c r="B22" s="140">
        <f>VLOOKUP($A22,'Data shares'!$C:$FA,7)</f>
        <v>2740.5</v>
      </c>
      <c r="C22" s="140">
        <f>VLOOKUP($A22,'Data shares'!$C:$FA,3)</f>
        <v>2746.7</v>
      </c>
      <c r="D22" s="50">
        <f>VLOOKUP($A22,'Data shares'!$C:$FA,6)*100</f>
        <v>-0.71000000000000008</v>
      </c>
      <c r="E22" s="51">
        <f>VLOOKUP($A22,'Data shares'!$C:$FA,98)</f>
        <v>16983500</v>
      </c>
      <c r="F22" s="51">
        <f>VLOOKUP($A22,'Data shares'!$C:$FA,99)</f>
        <v>16888250</v>
      </c>
      <c r="G22" s="50">
        <f>VLOOKUP($A22,'Data shares'!$C:$FA,101)*100</f>
        <v>0.55999999999999994</v>
      </c>
      <c r="H22" s="49">
        <f>VLOOKUP($A22,'Data Vlaue (Cr)'!$C:$FB,99)</f>
        <v>4665</v>
      </c>
      <c r="I22" s="49">
        <f>VLOOKUP($A22,'Data Vlaue (Cr)'!$C:$FB,100)</f>
        <v>4639</v>
      </c>
      <c r="J22" s="49">
        <f>VLOOKUP($A22,'Data Vlaue (Cr)'!$C:$FB,102)*100</f>
        <v>0.55999999999999994</v>
      </c>
    </row>
    <row r="23" spans="1:10" x14ac:dyDescent="0.25">
      <c r="A23" s="101" t="str">
        <f>'NIFTY GRP'!C18</f>
        <v>HCLTECH</v>
      </c>
      <c r="B23" s="140">
        <f>VLOOKUP($A23,'Data shares'!$C:$FA,7)</f>
        <v>1464.9</v>
      </c>
      <c r="C23" s="140">
        <f>VLOOKUP($A23,'Data shares'!$C:$FA,3)</f>
        <v>1444.3</v>
      </c>
      <c r="D23" s="50">
        <f>VLOOKUP($A23,'Data shares'!$C:$FA,6)*100</f>
        <v>1.18</v>
      </c>
      <c r="E23" s="51">
        <f>VLOOKUP($A23,'Data shares'!$C:$FA,98)</f>
        <v>46887750</v>
      </c>
      <c r="F23" s="51">
        <f>VLOOKUP($A23,'Data shares'!$C:$FA,99)</f>
        <v>44468900</v>
      </c>
      <c r="G23" s="50">
        <f>VLOOKUP($A23,'Data shares'!$C:$FA,101)*100</f>
        <v>5.4399999999999995</v>
      </c>
      <c r="H23" s="49">
        <f>VLOOKUP($A23,'Data Vlaue (Cr)'!$C:$FB,99)</f>
        <v>6772</v>
      </c>
      <c r="I23" s="49">
        <f>VLOOKUP($A23,'Data Vlaue (Cr)'!$C:$FB,100)</f>
        <v>6423</v>
      </c>
      <c r="J23" s="49">
        <f>VLOOKUP($A23,'Data Vlaue (Cr)'!$C:$FB,102)*100</f>
        <v>5.4399999999999995</v>
      </c>
    </row>
    <row r="24" spans="1:10" x14ac:dyDescent="0.25">
      <c r="A24" s="101" t="str">
        <f>'NIFTY GRP'!C19</f>
        <v>HDFCBANK</v>
      </c>
      <c r="B24" s="140">
        <f>VLOOKUP($A24,'Data shares'!$C:$FA,7)</f>
        <v>797.7</v>
      </c>
      <c r="C24" s="140">
        <f>VLOOKUP($A24,'Data shares'!$C:$FA,3)</f>
        <v>801.1</v>
      </c>
      <c r="D24" s="50">
        <f>VLOOKUP($A24,'Data shares'!$C:$FA,6)*100</f>
        <v>-2.0699999999999998</v>
      </c>
      <c r="E24" s="51">
        <f>VLOOKUP($A24,'Data shares'!$C:$FA,98)</f>
        <v>451375100</v>
      </c>
      <c r="F24" s="51">
        <f>VLOOKUP($A24,'Data shares'!$C:$FA,99)</f>
        <v>440967450</v>
      </c>
      <c r="G24" s="50">
        <f>VLOOKUP($A24,'Data shares'!$C:$FA,101)*100</f>
        <v>2.36</v>
      </c>
      <c r="H24" s="49">
        <f>VLOOKUP($A24,'Data Vlaue (Cr)'!$C:$FB,99)</f>
        <v>36160</v>
      </c>
      <c r="I24" s="49">
        <f>VLOOKUP($A24,'Data Vlaue (Cr)'!$C:$FB,100)</f>
        <v>35326</v>
      </c>
      <c r="J24" s="49">
        <f>VLOOKUP($A24,'Data Vlaue (Cr)'!$C:$FB,102)*100</f>
        <v>2.36</v>
      </c>
    </row>
    <row r="25" spans="1:10" x14ac:dyDescent="0.25">
      <c r="A25" s="101" t="str">
        <f>'NIFTY GRP'!C20</f>
        <v>HDFCLIFE</v>
      </c>
      <c r="B25" s="140">
        <f>VLOOKUP($A25,'Data shares'!$C:$FA,7)</f>
        <v>591.20000000000005</v>
      </c>
      <c r="C25" s="140">
        <f>VLOOKUP($A25,'Data shares'!$C:$FA,3)</f>
        <v>593.1</v>
      </c>
      <c r="D25" s="50">
        <f>VLOOKUP($A25,'Data shares'!$C:$FA,6)*100</f>
        <v>-1.4000000000000001</v>
      </c>
      <c r="E25" s="51">
        <f>VLOOKUP($A25,'Data shares'!$C:$FA,98)</f>
        <v>63847300</v>
      </c>
      <c r="F25" s="51">
        <f>VLOOKUP($A25,'Data shares'!$C:$FA,99)</f>
        <v>62775900</v>
      </c>
      <c r="G25" s="50">
        <f>VLOOKUP($A25,'Data shares'!$C:$FA,101)*100</f>
        <v>1.71</v>
      </c>
      <c r="H25" s="49">
        <f>VLOOKUP($A25,'Data Vlaue (Cr)'!$C:$FB,99)</f>
        <v>3787</v>
      </c>
      <c r="I25" s="49">
        <f>VLOOKUP($A25,'Data Vlaue (Cr)'!$C:$FB,100)</f>
        <v>3723</v>
      </c>
      <c r="J25" s="49">
        <f>VLOOKUP($A25,'Data Vlaue (Cr)'!$C:$FB,102)*100</f>
        <v>1.71</v>
      </c>
    </row>
    <row r="26" spans="1:10" x14ac:dyDescent="0.25">
      <c r="A26" s="101" t="str">
        <f>'NIFTY GRP'!C21</f>
        <v>HINDALCO</v>
      </c>
      <c r="B26" s="140">
        <f>VLOOKUP($A26,'Data shares'!$C:$FA,7)</f>
        <v>985.65</v>
      </c>
      <c r="C26" s="140">
        <f>VLOOKUP($A26,'Data shares'!$C:$FA,3)</f>
        <v>988.35</v>
      </c>
      <c r="D26" s="50">
        <f>VLOOKUP($A26,'Data shares'!$C:$FA,6)*100</f>
        <v>3.4099999999999997</v>
      </c>
      <c r="E26" s="51">
        <f>VLOOKUP($A26,'Data shares'!$C:$FA,98)</f>
        <v>60574500</v>
      </c>
      <c r="F26" s="51">
        <f>VLOOKUP($A26,'Data shares'!$C:$FA,99)</f>
        <v>58565500</v>
      </c>
      <c r="G26" s="50">
        <f>VLOOKUP($A26,'Data shares'!$C:$FA,101)*100</f>
        <v>3.4299999999999997</v>
      </c>
      <c r="H26" s="49">
        <f>VLOOKUP($A26,'Data Vlaue (Cr)'!$C:$FB,99)</f>
        <v>5987</v>
      </c>
      <c r="I26" s="49">
        <f>VLOOKUP($A26,'Data Vlaue (Cr)'!$C:$FB,100)</f>
        <v>5788</v>
      </c>
      <c r="J26" s="49">
        <f>VLOOKUP($A26,'Data Vlaue (Cr)'!$C:$FB,102)*100</f>
        <v>3.4299999999999997</v>
      </c>
    </row>
    <row r="27" spans="1:10" x14ac:dyDescent="0.25">
      <c r="A27" s="101" t="str">
        <f>'NIFTY GRP'!C22</f>
        <v>HINDUNILVR</v>
      </c>
      <c r="B27" s="140">
        <f>VLOOKUP($A27,'Data shares'!$C:$FA,7)</f>
        <v>2133.1999999999998</v>
      </c>
      <c r="C27" s="140">
        <f>VLOOKUP($A27,'Data shares'!$C:$FA,3)</f>
        <v>2143.3000000000002</v>
      </c>
      <c r="D27" s="50">
        <f>VLOOKUP($A27,'Data shares'!$C:$FA,6)*100</f>
        <v>-0.62</v>
      </c>
      <c r="E27" s="51">
        <f>VLOOKUP($A27,'Data shares'!$C:$FA,98)</f>
        <v>24760500</v>
      </c>
      <c r="F27" s="51">
        <f>VLOOKUP($A27,'Data shares'!$C:$FA,99)</f>
        <v>23981100</v>
      </c>
      <c r="G27" s="50">
        <f>VLOOKUP($A27,'Data shares'!$C:$FA,101)*100</f>
        <v>3.25</v>
      </c>
      <c r="H27" s="49">
        <f>VLOOKUP($A27,'Data Vlaue (Cr)'!$C:$FB,99)</f>
        <v>5307</v>
      </c>
      <c r="I27" s="49">
        <f>VLOOKUP($A27,'Data Vlaue (Cr)'!$C:$FB,100)</f>
        <v>5140</v>
      </c>
      <c r="J27" s="49">
        <f>VLOOKUP($A27,'Data Vlaue (Cr)'!$C:$FB,102)*100</f>
        <v>3.25</v>
      </c>
    </row>
    <row r="28" spans="1:10" x14ac:dyDescent="0.25">
      <c r="A28" s="101" t="str">
        <f>'NIFTY GRP'!C23</f>
        <v>ICICIBANK</v>
      </c>
      <c r="B28" s="140">
        <f>VLOOKUP($A28,'Data shares'!$C:$FA,7)</f>
        <v>1281.3</v>
      </c>
      <c r="C28" s="140">
        <f>VLOOKUP($A28,'Data shares'!$C:$FA,3)</f>
        <v>1286.9000000000001</v>
      </c>
      <c r="D28" s="50">
        <f>VLOOKUP($A28,'Data shares'!$C:$FA,6)*100</f>
        <v>-2.1</v>
      </c>
      <c r="E28" s="51">
        <f>VLOOKUP($A28,'Data shares'!$C:$FA,98)</f>
        <v>153115900</v>
      </c>
      <c r="F28" s="51">
        <f>VLOOKUP($A28,'Data shares'!$C:$FA,99)</f>
        <v>152256300</v>
      </c>
      <c r="G28" s="50">
        <f>VLOOKUP($A28,'Data shares'!$C:$FA,101)*100</f>
        <v>0.55999999999999994</v>
      </c>
      <c r="H28" s="49">
        <f>VLOOKUP($A28,'Data Vlaue (Cr)'!$C:$FB,99)</f>
        <v>19704</v>
      </c>
      <c r="I28" s="49">
        <f>VLOOKUP($A28,'Data Vlaue (Cr)'!$C:$FB,100)</f>
        <v>19594</v>
      </c>
      <c r="J28" s="49">
        <f>VLOOKUP($A28,'Data Vlaue (Cr)'!$C:$FB,102)*100</f>
        <v>0.55999999999999994</v>
      </c>
    </row>
    <row r="29" spans="1:10" x14ac:dyDescent="0.25">
      <c r="A29" s="101" t="str">
        <f>'NIFTY GRP'!C24</f>
        <v>INDIGO</v>
      </c>
      <c r="B29" s="140">
        <f>VLOOKUP($A29,'Data shares'!$C:$FA,7)</f>
        <v>4449.1000000000004</v>
      </c>
      <c r="C29" s="140">
        <f>VLOOKUP($A29,'Data shares'!$C:$FA,3)</f>
        <v>4470.6000000000004</v>
      </c>
      <c r="D29" s="50">
        <f>VLOOKUP($A29,'Data shares'!$C:$FA,6)*100</f>
        <v>-3.3300000000000005</v>
      </c>
      <c r="E29" s="51">
        <f>VLOOKUP($A29,'Data shares'!$C:$FA,98)</f>
        <v>16625550</v>
      </c>
      <c r="F29" s="51">
        <f>VLOOKUP($A29,'Data shares'!$C:$FA,99)</f>
        <v>14977950</v>
      </c>
      <c r="G29" s="50">
        <f>VLOOKUP($A29,'Data shares'!$C:$FA,101)*100</f>
        <v>11</v>
      </c>
      <c r="H29" s="49">
        <f>VLOOKUP($A29,'Data Vlaue (Cr)'!$C:$FB,99)</f>
        <v>7433</v>
      </c>
      <c r="I29" s="49">
        <f>VLOOKUP($A29,'Data Vlaue (Cr)'!$C:$FB,100)</f>
        <v>6696</v>
      </c>
      <c r="J29" s="49">
        <f>VLOOKUP($A29,'Data Vlaue (Cr)'!$C:$FB,102)*100</f>
        <v>11</v>
      </c>
    </row>
    <row r="30" spans="1:10" x14ac:dyDescent="0.25">
      <c r="A30" s="101" t="str">
        <f>'NIFTY GRP'!C25</f>
        <v>INFY</v>
      </c>
      <c r="B30" s="140">
        <f>VLOOKUP($A30,'Data shares'!$C:$FA,7)</f>
        <v>1331.6</v>
      </c>
      <c r="C30" s="140">
        <f>VLOOKUP($A30,'Data shares'!$C:$FA,3)</f>
        <v>1332.5</v>
      </c>
      <c r="D30" s="50">
        <f>VLOOKUP($A30,'Data shares'!$C:$FA,6)*100</f>
        <v>-0.86</v>
      </c>
      <c r="E30" s="51">
        <f>VLOOKUP($A30,'Data shares'!$C:$FA,98)</f>
        <v>113833200</v>
      </c>
      <c r="F30" s="51">
        <f>VLOOKUP($A30,'Data shares'!$C:$FA,99)</f>
        <v>112004800</v>
      </c>
      <c r="G30" s="50">
        <f>VLOOKUP($A30,'Data shares'!$C:$FA,101)*100</f>
        <v>1.63</v>
      </c>
      <c r="H30" s="49">
        <f>VLOOKUP($A30,'Data Vlaue (Cr)'!$C:$FB,99)</f>
        <v>15168</v>
      </c>
      <c r="I30" s="49">
        <f>VLOOKUP($A30,'Data Vlaue (Cr)'!$C:$FB,100)</f>
        <v>14925</v>
      </c>
      <c r="J30" s="49">
        <f>VLOOKUP($A30,'Data Vlaue (Cr)'!$C:$FB,102)*100</f>
        <v>1.63</v>
      </c>
    </row>
    <row r="31" spans="1:10" x14ac:dyDescent="0.25">
      <c r="A31" s="101" t="str">
        <f>'NIFTY GRP'!C26</f>
        <v>ITC</v>
      </c>
      <c r="B31" s="140">
        <f>VLOOKUP($A31,'Data shares'!$C:$FA,7)</f>
        <v>303</v>
      </c>
      <c r="C31" s="140">
        <f>VLOOKUP($A31,'Data shares'!$C:$FA,3)</f>
        <v>303.75</v>
      </c>
      <c r="D31" s="50">
        <f>VLOOKUP($A31,'Data shares'!$C:$FA,6)*100</f>
        <v>0.03</v>
      </c>
      <c r="E31" s="51">
        <f>VLOOKUP($A31,'Data shares'!$C:$FA,98)</f>
        <v>293433600</v>
      </c>
      <c r="F31" s="51">
        <f>VLOOKUP($A31,'Data shares'!$C:$FA,99)</f>
        <v>285520000</v>
      </c>
      <c r="G31" s="50">
        <f>VLOOKUP($A31,'Data shares'!$C:$FA,101)*100</f>
        <v>2.77</v>
      </c>
      <c r="H31" s="49">
        <f>VLOOKUP($A31,'Data Vlaue (Cr)'!$C:$FB,99)</f>
        <v>8913</v>
      </c>
      <c r="I31" s="49">
        <f>VLOOKUP($A31,'Data Vlaue (Cr)'!$C:$FB,100)</f>
        <v>8673</v>
      </c>
      <c r="J31" s="49">
        <f>VLOOKUP($A31,'Data Vlaue (Cr)'!$C:$FB,102)*100</f>
        <v>2.77</v>
      </c>
    </row>
    <row r="32" spans="1:10" x14ac:dyDescent="0.25">
      <c r="A32" s="101" t="str">
        <f>'NIFTY GRP'!C27</f>
        <v>JIOFIN</v>
      </c>
      <c r="B32" s="140">
        <f>VLOOKUP($A32,'Data shares'!$C:$FA,7)</f>
        <v>238.84</v>
      </c>
      <c r="C32" s="140">
        <f>VLOOKUP($A32,'Data shares'!$C:$FA,3)</f>
        <v>239.74</v>
      </c>
      <c r="D32" s="50">
        <f>VLOOKUP($A32,'Data shares'!$C:$FA,6)*100</f>
        <v>-3.3000000000000003</v>
      </c>
      <c r="E32" s="51">
        <f>VLOOKUP($A32,'Data shares'!$C:$FA,98)</f>
        <v>227242650</v>
      </c>
      <c r="F32" s="51">
        <f>VLOOKUP($A32,'Data shares'!$C:$FA,99)</f>
        <v>217870850</v>
      </c>
      <c r="G32" s="50">
        <f>VLOOKUP($A32,'Data shares'!$C:$FA,101)*100</f>
        <v>4.3</v>
      </c>
      <c r="H32" s="49">
        <f>VLOOKUP($A32,'Data Vlaue (Cr)'!$C:$FB,99)</f>
        <v>5448</v>
      </c>
      <c r="I32" s="49">
        <f>VLOOKUP($A32,'Data Vlaue (Cr)'!$C:$FB,100)</f>
        <v>5223</v>
      </c>
      <c r="J32" s="49">
        <f>VLOOKUP($A32,'Data Vlaue (Cr)'!$C:$FB,102)*100</f>
        <v>4.3</v>
      </c>
    </row>
    <row r="33" spans="1:10" x14ac:dyDescent="0.25">
      <c r="A33" s="101" t="str">
        <f>'NIFTY GRP'!C28</f>
        <v>JSWSTEEL</v>
      </c>
      <c r="B33" s="140">
        <f>VLOOKUP($A33,'Data shares'!$C:$FA,7)</f>
        <v>1209.7</v>
      </c>
      <c r="C33" s="140">
        <f>VLOOKUP($A33,'Data shares'!$C:$FA,3)</f>
        <v>1213.9000000000001</v>
      </c>
      <c r="D33" s="50">
        <f>VLOOKUP($A33,'Data shares'!$C:$FA,6)*100</f>
        <v>1.4200000000000002</v>
      </c>
      <c r="E33" s="51">
        <f>VLOOKUP($A33,'Data shares'!$C:$FA,98)</f>
        <v>63296775</v>
      </c>
      <c r="F33" s="51">
        <f>VLOOKUP($A33,'Data shares'!$C:$FA,99)</f>
        <v>63394650</v>
      </c>
      <c r="G33" s="50">
        <f>VLOOKUP($A33,'Data shares'!$C:$FA,101)*100</f>
        <v>-0.15</v>
      </c>
      <c r="H33" s="49">
        <f>VLOOKUP($A33,'Data Vlaue (Cr)'!$C:$FB,99)</f>
        <v>7684</v>
      </c>
      <c r="I33" s="49">
        <f>VLOOKUP($A33,'Data Vlaue (Cr)'!$C:$FB,100)</f>
        <v>7695</v>
      </c>
      <c r="J33" s="49">
        <f>VLOOKUP($A33,'Data Vlaue (Cr)'!$C:$FB,102)*100</f>
        <v>-0.15</v>
      </c>
    </row>
    <row r="34" spans="1:10" x14ac:dyDescent="0.25">
      <c r="A34" s="101" t="str">
        <f>'NIFTY GRP'!C29</f>
        <v>KOTAKBANK</v>
      </c>
      <c r="B34" s="140">
        <f>VLOOKUP($A34,'Data shares'!$C:$FA,7)</f>
        <v>371.9</v>
      </c>
      <c r="C34" s="140">
        <f>VLOOKUP($A34,'Data shares'!$C:$FA,3)</f>
        <v>373.05</v>
      </c>
      <c r="D34" s="50">
        <f>VLOOKUP($A34,'Data shares'!$C:$FA,6)*100</f>
        <v>-2.0699999999999998</v>
      </c>
      <c r="E34" s="51">
        <f>VLOOKUP($A34,'Data shares'!$C:$FA,98)</f>
        <v>264730000</v>
      </c>
      <c r="F34" s="51">
        <f>VLOOKUP($A34,'Data shares'!$C:$FA,99)</f>
        <v>263584000</v>
      </c>
      <c r="G34" s="50">
        <f>VLOOKUP($A34,'Data shares'!$C:$FA,101)*100</f>
        <v>0.43</v>
      </c>
      <c r="H34" s="49">
        <f>VLOOKUP($A34,'Data Vlaue (Cr)'!$C:$FB,99)</f>
        <v>9876</v>
      </c>
      <c r="I34" s="49">
        <f>VLOOKUP($A34,'Data Vlaue (Cr)'!$C:$FB,100)</f>
        <v>9833</v>
      </c>
      <c r="J34" s="49">
        <f>VLOOKUP($A34,'Data Vlaue (Cr)'!$C:$FB,102)*100</f>
        <v>0.43</v>
      </c>
    </row>
    <row r="35" spans="1:10" x14ac:dyDescent="0.25">
      <c r="A35" s="101" t="str">
        <f>'NIFTY GRP'!C30</f>
        <v>LT</v>
      </c>
      <c r="B35" s="140">
        <f>VLOOKUP($A35,'Data shares'!$C:$FA,7)</f>
        <v>3896.2</v>
      </c>
      <c r="C35" s="140">
        <f>VLOOKUP($A35,'Data shares'!$C:$FA,3)</f>
        <v>3907.2</v>
      </c>
      <c r="D35" s="50">
        <f>VLOOKUP($A35,'Data shares'!$C:$FA,6)*100</f>
        <v>-2.64</v>
      </c>
      <c r="E35" s="51">
        <f>VLOOKUP($A35,'Data shares'!$C:$FA,98)</f>
        <v>30122050</v>
      </c>
      <c r="F35" s="51">
        <f>VLOOKUP($A35,'Data shares'!$C:$FA,99)</f>
        <v>28188825</v>
      </c>
      <c r="G35" s="50">
        <f>VLOOKUP($A35,'Data shares'!$C:$FA,101)*100</f>
        <v>6.8599999999999994</v>
      </c>
      <c r="H35" s="49">
        <f>VLOOKUP($A35,'Data Vlaue (Cr)'!$C:$FB,99)</f>
        <v>11769</v>
      </c>
      <c r="I35" s="49">
        <f>VLOOKUP($A35,'Data Vlaue (Cr)'!$C:$FB,100)</f>
        <v>11014</v>
      </c>
      <c r="J35" s="49">
        <f>VLOOKUP($A35,'Data Vlaue (Cr)'!$C:$FB,102)*100</f>
        <v>6.8599999999999994</v>
      </c>
    </row>
    <row r="36" spans="1:10" x14ac:dyDescent="0.25">
      <c r="A36" s="101" t="str">
        <f>'NIFTY GRP'!C31</f>
        <v>M&amp;M</v>
      </c>
      <c r="B36" s="140">
        <f>VLOOKUP($A36,'Data shares'!$C:$FA,7)</f>
        <v>3166.8</v>
      </c>
      <c r="C36" s="140">
        <f>VLOOKUP($A36,'Data shares'!$C:$FA,3)</f>
        <v>3174.7</v>
      </c>
      <c r="D36" s="50">
        <f>VLOOKUP($A36,'Data shares'!$C:$FA,6)*100</f>
        <v>-1.59</v>
      </c>
      <c r="E36" s="51">
        <f>VLOOKUP($A36,'Data shares'!$C:$FA,98)</f>
        <v>27151400</v>
      </c>
      <c r="F36" s="51">
        <f>VLOOKUP($A36,'Data shares'!$C:$FA,99)</f>
        <v>26828800</v>
      </c>
      <c r="G36" s="50">
        <f>VLOOKUP($A36,'Data shares'!$C:$FA,101)*100</f>
        <v>1.2</v>
      </c>
      <c r="H36" s="49">
        <f>VLOOKUP($A36,'Data Vlaue (Cr)'!$C:$FB,99)</f>
        <v>8620</v>
      </c>
      <c r="I36" s="49">
        <f>VLOOKUP($A36,'Data Vlaue (Cr)'!$C:$FB,100)</f>
        <v>8517</v>
      </c>
      <c r="J36" s="49">
        <f>VLOOKUP($A36,'Data Vlaue (Cr)'!$C:$FB,102)*100</f>
        <v>1.2</v>
      </c>
    </row>
    <row r="37" spans="1:10" x14ac:dyDescent="0.25">
      <c r="A37" s="101" t="str">
        <f>'NIFTY GRP'!C32</f>
        <v>MARUTI</v>
      </c>
      <c r="B37" s="140">
        <f>VLOOKUP($A37,'Data shares'!$C:$FA,7)</f>
        <v>13589</v>
      </c>
      <c r="C37" s="140">
        <f>VLOOKUP($A37,'Data shares'!$C:$FA,3)</f>
        <v>13609</v>
      </c>
      <c r="D37" s="50">
        <f>VLOOKUP($A37,'Data shares'!$C:$FA,6)*100</f>
        <v>-0.16999999999999998</v>
      </c>
      <c r="E37" s="51">
        <f>VLOOKUP($A37,'Data shares'!$C:$FA,98)</f>
        <v>5764900</v>
      </c>
      <c r="F37" s="51">
        <f>VLOOKUP($A37,'Data shares'!$C:$FA,99)</f>
        <v>5594000</v>
      </c>
      <c r="G37" s="50">
        <f>VLOOKUP($A37,'Data shares'!$C:$FA,101)*100</f>
        <v>3.06</v>
      </c>
      <c r="H37" s="49">
        <f>VLOOKUP($A37,'Data Vlaue (Cr)'!$C:$FB,99)</f>
        <v>7845</v>
      </c>
      <c r="I37" s="49">
        <f>VLOOKUP($A37,'Data Vlaue (Cr)'!$C:$FB,100)</f>
        <v>7613</v>
      </c>
      <c r="J37" s="49">
        <f>VLOOKUP($A37,'Data Vlaue (Cr)'!$C:$FB,102)*100</f>
        <v>3.06</v>
      </c>
    </row>
    <row r="38" spans="1:10" x14ac:dyDescent="0.25">
      <c r="A38" s="101" t="str">
        <f>'NIFTY GRP'!C33</f>
        <v>MAXHEALTH</v>
      </c>
      <c r="B38" s="140">
        <f>VLOOKUP($A38,'Data shares'!$C:$FA,7)</f>
        <v>954.95</v>
      </c>
      <c r="C38" s="140">
        <f>VLOOKUP($A38,'Data shares'!$C:$FA,3)</f>
        <v>957.05</v>
      </c>
      <c r="D38" s="50">
        <f>VLOOKUP($A38,'Data shares'!$C:$FA,6)*100</f>
        <v>1.1599999999999999</v>
      </c>
      <c r="E38" s="51">
        <f>VLOOKUP($A38,'Data shares'!$C:$FA,98)</f>
        <v>18619650</v>
      </c>
      <c r="F38" s="51">
        <f>VLOOKUP($A38,'Data shares'!$C:$FA,99)</f>
        <v>18600750</v>
      </c>
      <c r="G38" s="50">
        <f>VLOOKUP($A38,'Data shares'!$C:$FA,101)*100</f>
        <v>0.1</v>
      </c>
      <c r="H38" s="49">
        <f>VLOOKUP($A38,'Data Vlaue (Cr)'!$C:$FB,99)</f>
        <v>1782</v>
      </c>
      <c r="I38" s="49">
        <f>VLOOKUP($A38,'Data Vlaue (Cr)'!$C:$FB,100)</f>
        <v>1780</v>
      </c>
      <c r="J38" s="49">
        <f>VLOOKUP($A38,'Data Vlaue (Cr)'!$C:$FB,102)*100</f>
        <v>0.1</v>
      </c>
    </row>
    <row r="39" spans="1:10" x14ac:dyDescent="0.25">
      <c r="A39" s="101" t="str">
        <f>'NIFTY GRP'!C34</f>
        <v>NESTLEIND</v>
      </c>
      <c r="B39" s="140">
        <f>VLOOKUP($A39,'Data shares'!$C:$FA,7)</f>
        <v>1228.7</v>
      </c>
      <c r="C39" s="140">
        <f>VLOOKUP($A39,'Data shares'!$C:$FA,3)</f>
        <v>1231.0999999999999</v>
      </c>
      <c r="D39" s="50">
        <f>VLOOKUP($A39,'Data shares'!$C:$FA,6)*100</f>
        <v>1.1299999999999999</v>
      </c>
      <c r="E39" s="51">
        <f>VLOOKUP($A39,'Data shares'!$C:$FA,98)</f>
        <v>22165000</v>
      </c>
      <c r="F39" s="51">
        <f>VLOOKUP($A39,'Data shares'!$C:$FA,99)</f>
        <v>22412500</v>
      </c>
      <c r="G39" s="50">
        <f>VLOOKUP($A39,'Data shares'!$C:$FA,101)*100</f>
        <v>-1.0999999999999999</v>
      </c>
      <c r="H39" s="49">
        <f>VLOOKUP($A39,'Data Vlaue (Cr)'!$C:$FB,99)</f>
        <v>2729</v>
      </c>
      <c r="I39" s="49">
        <f>VLOOKUP($A39,'Data Vlaue (Cr)'!$C:$FB,100)</f>
        <v>2759</v>
      </c>
      <c r="J39" s="49">
        <f>VLOOKUP($A39,'Data Vlaue (Cr)'!$C:$FB,102)*100</f>
        <v>-1.0999999999999999</v>
      </c>
    </row>
    <row r="40" spans="1:10" x14ac:dyDescent="0.25">
      <c r="A40" s="101" t="str">
        <f>'NIFTY GRP'!C35</f>
        <v>NTPC</v>
      </c>
      <c r="B40" s="140">
        <f>VLOOKUP($A40,'Data shares'!$C:$FA,7)</f>
        <v>378.65</v>
      </c>
      <c r="C40" s="140">
        <f>VLOOKUP($A40,'Data shares'!$C:$FA,3)</f>
        <v>380.05</v>
      </c>
      <c r="D40" s="50">
        <f>VLOOKUP($A40,'Data shares'!$C:$FA,6)*100</f>
        <v>1.0999999999999999</v>
      </c>
      <c r="E40" s="51">
        <f>VLOOKUP($A40,'Data shares'!$C:$FA,98)</f>
        <v>141190500</v>
      </c>
      <c r="F40" s="51">
        <f>VLOOKUP($A40,'Data shares'!$C:$FA,99)</f>
        <v>132231000</v>
      </c>
      <c r="G40" s="50">
        <f>VLOOKUP($A40,'Data shares'!$C:$FA,101)*100</f>
        <v>6.78</v>
      </c>
      <c r="H40" s="49">
        <f>VLOOKUP($A40,'Data Vlaue (Cr)'!$C:$FB,99)</f>
        <v>5366</v>
      </c>
      <c r="I40" s="49">
        <f>VLOOKUP($A40,'Data Vlaue (Cr)'!$C:$FB,100)</f>
        <v>5025</v>
      </c>
      <c r="J40" s="49">
        <f>VLOOKUP($A40,'Data Vlaue (Cr)'!$C:$FB,102)*100</f>
        <v>6.78</v>
      </c>
    </row>
    <row r="41" spans="1:10" x14ac:dyDescent="0.25">
      <c r="A41" s="101" t="str">
        <f>'NIFTY GRP'!C36</f>
        <v>ONGC</v>
      </c>
      <c r="B41" s="140">
        <f>VLOOKUP($A41,'Data shares'!$C:$FA,7)</f>
        <v>288.60000000000002</v>
      </c>
      <c r="C41" s="140">
        <f>VLOOKUP($A41,'Data shares'!$C:$FA,3)</f>
        <v>289.89999999999998</v>
      </c>
      <c r="D41" s="50">
        <f>VLOOKUP($A41,'Data shares'!$C:$FA,6)*100</f>
        <v>0.9900000000000001</v>
      </c>
      <c r="E41" s="51">
        <f>VLOOKUP($A41,'Data shares'!$C:$FA,98)</f>
        <v>199548000</v>
      </c>
      <c r="F41" s="51">
        <f>VLOOKUP($A41,'Data shares'!$C:$FA,99)</f>
        <v>198589500</v>
      </c>
      <c r="G41" s="50">
        <f>VLOOKUP($A41,'Data shares'!$C:$FA,101)*100</f>
        <v>0.48</v>
      </c>
      <c r="H41" s="49">
        <f>VLOOKUP($A41,'Data Vlaue (Cr)'!$C:$FB,99)</f>
        <v>5785</v>
      </c>
      <c r="I41" s="49">
        <f>VLOOKUP($A41,'Data Vlaue (Cr)'!$C:$FB,100)</f>
        <v>5757</v>
      </c>
      <c r="J41" s="49">
        <f>VLOOKUP($A41,'Data Vlaue (Cr)'!$C:$FB,102)*100</f>
        <v>0.48</v>
      </c>
    </row>
    <row r="42" spans="1:10" x14ac:dyDescent="0.25">
      <c r="A42" s="101" t="str">
        <f>'NIFTY GRP'!C37</f>
        <v>POWERGRID</v>
      </c>
      <c r="B42" s="140">
        <f>VLOOKUP($A42,'Data shares'!$C:$FA,7)</f>
        <v>298.10000000000002</v>
      </c>
      <c r="C42" s="140">
        <f>VLOOKUP($A42,'Data shares'!$C:$FA,3)</f>
        <v>299.45</v>
      </c>
      <c r="D42" s="50">
        <f>VLOOKUP($A42,'Data shares'!$C:$FA,6)*100</f>
        <v>1.23</v>
      </c>
      <c r="E42" s="51">
        <f>VLOOKUP($A42,'Data shares'!$C:$FA,98)</f>
        <v>124248600</v>
      </c>
      <c r="F42" s="51">
        <f>VLOOKUP($A42,'Data shares'!$C:$FA,99)</f>
        <v>125044700</v>
      </c>
      <c r="G42" s="50">
        <f>VLOOKUP($A42,'Data shares'!$C:$FA,101)*100</f>
        <v>-0.64</v>
      </c>
      <c r="H42" s="49">
        <f>VLOOKUP($A42,'Data Vlaue (Cr)'!$C:$FB,99)</f>
        <v>3721</v>
      </c>
      <c r="I42" s="49">
        <f>VLOOKUP($A42,'Data Vlaue (Cr)'!$C:$FB,100)</f>
        <v>3744</v>
      </c>
      <c r="J42" s="49">
        <f>VLOOKUP($A42,'Data Vlaue (Cr)'!$C:$FB,102)*100</f>
        <v>-0.64</v>
      </c>
    </row>
    <row r="43" spans="1:10" x14ac:dyDescent="0.25">
      <c r="A43" s="101" t="str">
        <f>'NIFTY GRP'!C38</f>
        <v>RELIANCE</v>
      </c>
      <c r="B43" s="140">
        <f>VLOOKUP($A43,'Data shares'!$C:$FA,7)</f>
        <v>1330</v>
      </c>
      <c r="C43" s="140">
        <f>VLOOKUP($A43,'Data shares'!$C:$FA,3)</f>
        <v>1335.7</v>
      </c>
      <c r="D43" s="50">
        <f>VLOOKUP($A43,'Data shares'!$C:$FA,6)*100</f>
        <v>-1.1299999999999999</v>
      </c>
      <c r="E43" s="51">
        <f>VLOOKUP($A43,'Data shares'!$C:$FA,98)</f>
        <v>208974500</v>
      </c>
      <c r="F43" s="51">
        <f>VLOOKUP($A43,'Data shares'!$C:$FA,99)</f>
        <v>206427500</v>
      </c>
      <c r="G43" s="50">
        <f>VLOOKUP($A43,'Data shares'!$C:$FA,101)*100</f>
        <v>1.23</v>
      </c>
      <c r="H43" s="49">
        <f>VLOOKUP($A43,'Data Vlaue (Cr)'!$C:$FB,99)</f>
        <v>27913</v>
      </c>
      <c r="I43" s="49">
        <f>VLOOKUP($A43,'Data Vlaue (Cr)'!$C:$FB,100)</f>
        <v>27573</v>
      </c>
      <c r="J43" s="49">
        <f>VLOOKUP($A43,'Data Vlaue (Cr)'!$C:$FB,102)*100</f>
        <v>1.23</v>
      </c>
    </row>
    <row r="44" spans="1:10" x14ac:dyDescent="0.25">
      <c r="A44" s="101" t="str">
        <f>'NIFTY GRP'!C39</f>
        <v>SBILIFE</v>
      </c>
      <c r="B44" s="140">
        <f>VLOOKUP($A44,'Data shares'!$C:$FA,7)</f>
        <v>1904</v>
      </c>
      <c r="C44" s="140">
        <f>VLOOKUP($A44,'Data shares'!$C:$FA,3)</f>
        <v>1911.9</v>
      </c>
      <c r="D44" s="50">
        <f>VLOOKUP($A44,'Data shares'!$C:$FA,6)*100</f>
        <v>-0.3</v>
      </c>
      <c r="E44" s="51">
        <f>VLOOKUP($A44,'Data shares'!$C:$FA,98)</f>
        <v>12719250</v>
      </c>
      <c r="F44" s="51">
        <f>VLOOKUP($A44,'Data shares'!$C:$FA,99)</f>
        <v>12709875</v>
      </c>
      <c r="G44" s="50">
        <f>VLOOKUP($A44,'Data shares'!$C:$FA,101)*100</f>
        <v>6.9999999999999993E-2</v>
      </c>
      <c r="H44" s="49">
        <f>VLOOKUP($A44,'Data Vlaue (Cr)'!$C:$FB,99)</f>
        <v>2432</v>
      </c>
      <c r="I44" s="49">
        <f>VLOOKUP($A44,'Data Vlaue (Cr)'!$C:$FB,100)</f>
        <v>2430</v>
      </c>
      <c r="J44" s="49">
        <f>VLOOKUP($A44,'Data Vlaue (Cr)'!$C:$FB,102)*100</f>
        <v>6.9999999999999993E-2</v>
      </c>
    </row>
    <row r="45" spans="1:10" x14ac:dyDescent="0.25">
      <c r="A45" s="101" t="str">
        <f>'NIFTY GRP'!C40</f>
        <v>SBIN</v>
      </c>
      <c r="B45" s="140">
        <f>VLOOKUP($A45,'Data shares'!$C:$FA,7)</f>
        <v>1040.95</v>
      </c>
      <c r="C45" s="140">
        <f>VLOOKUP($A45,'Data shares'!$C:$FA,3)</f>
        <v>1045.7</v>
      </c>
      <c r="D45" s="50">
        <f>VLOOKUP($A45,'Data shares'!$C:$FA,6)*100</f>
        <v>-2.0099999999999998</v>
      </c>
      <c r="E45" s="51">
        <f>VLOOKUP($A45,'Data shares'!$C:$FA,98)</f>
        <v>151741500</v>
      </c>
      <c r="F45" s="51">
        <f>VLOOKUP($A45,'Data shares'!$C:$FA,99)</f>
        <v>143618250</v>
      </c>
      <c r="G45" s="50">
        <f>VLOOKUP($A45,'Data shares'!$C:$FA,101)*100</f>
        <v>5.66</v>
      </c>
      <c r="H45" s="49">
        <f>VLOOKUP($A45,'Data Vlaue (Cr)'!$C:$FB,99)</f>
        <v>15868</v>
      </c>
      <c r="I45" s="49">
        <f>VLOOKUP($A45,'Data Vlaue (Cr)'!$C:$FB,100)</f>
        <v>15018</v>
      </c>
      <c r="J45" s="49">
        <f>VLOOKUP($A45,'Data Vlaue (Cr)'!$C:$FB,102)*100</f>
        <v>5.66</v>
      </c>
    </row>
    <row r="46" spans="1:10" x14ac:dyDescent="0.25">
      <c r="A46" s="101" t="str">
        <f>'NIFTY GRP'!C41</f>
        <v>SHRIRAMFIN</v>
      </c>
      <c r="B46" s="140">
        <f>VLOOKUP($A46,'Data shares'!$C:$FA,7)</f>
        <v>996.3</v>
      </c>
      <c r="C46" s="140">
        <f>VLOOKUP($A46,'Data shares'!$C:$FA,3)</f>
        <v>999.8</v>
      </c>
      <c r="D46" s="50">
        <f>VLOOKUP($A46,'Data shares'!$C:$FA,6)*100</f>
        <v>-2.5700000000000003</v>
      </c>
      <c r="E46" s="51">
        <f>VLOOKUP($A46,'Data shares'!$C:$FA,98)</f>
        <v>62667825</v>
      </c>
      <c r="F46" s="51">
        <f>VLOOKUP($A46,'Data shares'!$C:$FA,99)</f>
        <v>62288325</v>
      </c>
      <c r="G46" s="50">
        <f>VLOOKUP($A46,'Data shares'!$C:$FA,101)*100</f>
        <v>0.61</v>
      </c>
      <c r="H46" s="49">
        <f>VLOOKUP($A46,'Data Vlaue (Cr)'!$C:$FB,99)</f>
        <v>6266</v>
      </c>
      <c r="I46" s="49">
        <f>VLOOKUP($A46,'Data Vlaue (Cr)'!$C:$FB,100)</f>
        <v>6228</v>
      </c>
      <c r="J46" s="49">
        <f>VLOOKUP($A46,'Data Vlaue (Cr)'!$C:$FB,102)*100</f>
        <v>0.61</v>
      </c>
    </row>
    <row r="47" spans="1:10" x14ac:dyDescent="0.25">
      <c r="A47" s="101" t="str">
        <f>'NIFTY GRP'!C42</f>
        <v>SUNPHARMA</v>
      </c>
      <c r="B47" s="140">
        <f>VLOOKUP($A47,'Data shares'!$C:$FA,7)</f>
        <v>1717.1</v>
      </c>
      <c r="C47" s="140">
        <f>VLOOKUP($A47,'Data shares'!$C:$FA,3)</f>
        <v>1725</v>
      </c>
      <c r="D47" s="50">
        <f>VLOOKUP($A47,'Data shares'!$C:$FA,6)*100</f>
        <v>0.15</v>
      </c>
      <c r="E47" s="51">
        <f>VLOOKUP($A47,'Data shares'!$C:$FA,98)</f>
        <v>27810650</v>
      </c>
      <c r="F47" s="51">
        <f>VLOOKUP($A47,'Data shares'!$C:$FA,99)</f>
        <v>27681500</v>
      </c>
      <c r="G47" s="50">
        <f>VLOOKUP($A47,'Data shares'!$C:$FA,101)*100</f>
        <v>0.47000000000000003</v>
      </c>
      <c r="H47" s="49">
        <f>VLOOKUP($A47,'Data Vlaue (Cr)'!$C:$FB,99)</f>
        <v>4797</v>
      </c>
      <c r="I47" s="49">
        <f>VLOOKUP($A47,'Data Vlaue (Cr)'!$C:$FB,100)</f>
        <v>4775</v>
      </c>
      <c r="J47" s="49">
        <f>VLOOKUP($A47,'Data Vlaue (Cr)'!$C:$FB,102)*100</f>
        <v>0.47000000000000003</v>
      </c>
    </row>
    <row r="48" spans="1:10" x14ac:dyDescent="0.25">
      <c r="A48" s="101" t="str">
        <f>'NIFTY GRP'!C43</f>
        <v>TATACONSUM</v>
      </c>
      <c r="B48" s="140">
        <f>VLOOKUP($A48,'Data shares'!$C:$FA,7)</f>
        <v>1078</v>
      </c>
      <c r="C48" s="140">
        <f>VLOOKUP($A48,'Data shares'!$C:$FA,3)</f>
        <v>1082.5</v>
      </c>
      <c r="D48" s="50">
        <f>VLOOKUP($A48,'Data shares'!$C:$FA,6)*100</f>
        <v>0.8</v>
      </c>
      <c r="E48" s="51">
        <f>VLOOKUP($A48,'Data shares'!$C:$FA,98)</f>
        <v>17222700</v>
      </c>
      <c r="F48" s="51">
        <f>VLOOKUP($A48,'Data shares'!$C:$FA,99)</f>
        <v>16907000</v>
      </c>
      <c r="G48" s="50">
        <f>VLOOKUP($A48,'Data shares'!$C:$FA,101)*100</f>
        <v>1.87</v>
      </c>
      <c r="H48" s="49">
        <f>VLOOKUP($A48,'Data Vlaue (Cr)'!$C:$FB,99)</f>
        <v>1864</v>
      </c>
      <c r="I48" s="49">
        <f>VLOOKUP($A48,'Data Vlaue (Cr)'!$C:$FB,100)</f>
        <v>1830</v>
      </c>
      <c r="J48" s="49">
        <f>VLOOKUP($A48,'Data Vlaue (Cr)'!$C:$FB,102)*100</f>
        <v>1.87</v>
      </c>
    </row>
    <row r="49" spans="1:10" x14ac:dyDescent="0.25">
      <c r="A49" s="101" t="str">
        <f>'NIFTY GRP'!C44</f>
        <v>TATASTEEL</v>
      </c>
      <c r="B49" s="140">
        <f>VLOOKUP($A49,'Data shares'!$C:$FA,7)</f>
        <v>205.2</v>
      </c>
      <c r="C49" s="140">
        <f>VLOOKUP($A49,'Data shares'!$C:$FA,3)</f>
        <v>206.19</v>
      </c>
      <c r="D49" s="50">
        <f>VLOOKUP($A49,'Data shares'!$C:$FA,6)*100</f>
        <v>0.47000000000000003</v>
      </c>
      <c r="E49" s="51">
        <f>VLOOKUP($A49,'Data shares'!$C:$FA,98)</f>
        <v>378735500</v>
      </c>
      <c r="F49" s="51">
        <f>VLOOKUP($A49,'Data shares'!$C:$FA,99)</f>
        <v>360613000</v>
      </c>
      <c r="G49" s="50">
        <f>VLOOKUP($A49,'Data shares'!$C:$FA,101)*100</f>
        <v>5.0299999999999994</v>
      </c>
      <c r="H49" s="49">
        <f>VLOOKUP($A49,'Data Vlaue (Cr)'!$C:$FB,99)</f>
        <v>7809</v>
      </c>
      <c r="I49" s="49">
        <f>VLOOKUP($A49,'Data Vlaue (Cr)'!$C:$FB,100)</f>
        <v>7435</v>
      </c>
      <c r="J49" s="49">
        <f>VLOOKUP($A49,'Data Vlaue (Cr)'!$C:$FB,102)*100</f>
        <v>5.0299999999999994</v>
      </c>
    </row>
    <row r="50" spans="1:10" x14ac:dyDescent="0.25">
      <c r="A50" s="101" t="str">
        <f>'NIFTY GRP'!C45</f>
        <v>TCS</v>
      </c>
      <c r="B50" s="140">
        <f>VLOOKUP($A50,'Data shares'!$C:$FA,7)</f>
        <v>2589</v>
      </c>
      <c r="C50" s="140">
        <f>VLOOKUP($A50,'Data shares'!$C:$FA,3)</f>
        <v>2588</v>
      </c>
      <c r="D50" s="50">
        <f>VLOOKUP($A50,'Data shares'!$C:$FA,6)*100</f>
        <v>0.96</v>
      </c>
      <c r="E50" s="51">
        <f>VLOOKUP($A50,'Data shares'!$C:$FA,98)</f>
        <v>60107425</v>
      </c>
      <c r="F50" s="51">
        <f>VLOOKUP($A50,'Data shares'!$C:$FA,99)</f>
        <v>51363375</v>
      </c>
      <c r="G50" s="50">
        <f>VLOOKUP($A50,'Data shares'!$C:$FA,101)*100</f>
        <v>17.02</v>
      </c>
      <c r="H50" s="49">
        <f>VLOOKUP($A50,'Data Vlaue (Cr)'!$C:$FB,99)</f>
        <v>15556</v>
      </c>
      <c r="I50" s="49">
        <f>VLOOKUP($A50,'Data Vlaue (Cr)'!$C:$FB,100)</f>
        <v>13293</v>
      </c>
      <c r="J50" s="49">
        <f>VLOOKUP($A50,'Data Vlaue (Cr)'!$C:$FB,102)*100</f>
        <v>17.02</v>
      </c>
    </row>
    <row r="51" spans="1:10" x14ac:dyDescent="0.25">
      <c r="A51" s="101" t="str">
        <f>'NIFTY GRP'!C46</f>
        <v>TECHM</v>
      </c>
      <c r="B51" s="140">
        <f>VLOOKUP($A51,'Data shares'!$C:$FA,7)</f>
        <v>1461.6</v>
      </c>
      <c r="C51" s="140">
        <f>VLOOKUP($A51,'Data shares'!$C:$FA,3)</f>
        <v>1464.6</v>
      </c>
      <c r="D51" s="50">
        <f>VLOOKUP($A51,'Data shares'!$C:$FA,6)*100</f>
        <v>0.59</v>
      </c>
      <c r="E51" s="51">
        <f>VLOOKUP($A51,'Data shares'!$C:$FA,98)</f>
        <v>27400800</v>
      </c>
      <c r="F51" s="51">
        <f>VLOOKUP($A51,'Data shares'!$C:$FA,99)</f>
        <v>27846600</v>
      </c>
      <c r="G51" s="50">
        <f>VLOOKUP($A51,'Data shares'!$C:$FA,101)*100</f>
        <v>-1.6</v>
      </c>
      <c r="H51" s="49">
        <f>VLOOKUP($A51,'Data Vlaue (Cr)'!$C:$FB,99)</f>
        <v>4013</v>
      </c>
      <c r="I51" s="49">
        <f>VLOOKUP($A51,'Data Vlaue (Cr)'!$C:$FB,100)</f>
        <v>4078</v>
      </c>
      <c r="J51" s="49">
        <f>VLOOKUP($A51,'Data Vlaue (Cr)'!$C:$FB,102)*100</f>
        <v>-1.6</v>
      </c>
    </row>
    <row r="52" spans="1:10" x14ac:dyDescent="0.25">
      <c r="A52" s="101" t="str">
        <f>'NIFTY GRP'!C47</f>
        <v>TITAN</v>
      </c>
      <c r="B52" s="140">
        <f>VLOOKUP($A52,'Data shares'!$C:$FA,7)</f>
        <v>4439.8</v>
      </c>
      <c r="C52" s="140">
        <f>VLOOKUP($A52,'Data shares'!$C:$FA,3)</f>
        <v>4449.7</v>
      </c>
      <c r="D52" s="50">
        <f>VLOOKUP($A52,'Data shares'!$C:$FA,6)*100</f>
        <v>-1.1599999999999999</v>
      </c>
      <c r="E52" s="51">
        <f>VLOOKUP($A52,'Data shares'!$C:$FA,98)</f>
        <v>15528625</v>
      </c>
      <c r="F52" s="51">
        <f>VLOOKUP($A52,'Data shares'!$C:$FA,99)</f>
        <v>15695225</v>
      </c>
      <c r="G52" s="50">
        <f>VLOOKUP($A52,'Data shares'!$C:$FA,101)*100</f>
        <v>-1.06</v>
      </c>
      <c r="H52" s="49">
        <f>VLOOKUP($A52,'Data Vlaue (Cr)'!$C:$FB,99)</f>
        <v>6910</v>
      </c>
      <c r="I52" s="49">
        <f>VLOOKUP($A52,'Data Vlaue (Cr)'!$C:$FB,100)</f>
        <v>6984</v>
      </c>
      <c r="J52" s="49">
        <f>VLOOKUP($A52,'Data Vlaue (Cr)'!$C:$FB,102)*100</f>
        <v>-1.06</v>
      </c>
    </row>
    <row r="53" spans="1:10" x14ac:dyDescent="0.25">
      <c r="A53" s="101" t="str">
        <f>'NIFTY GRP'!C48</f>
        <v>TMPV</v>
      </c>
      <c r="B53" s="140">
        <f>VLOOKUP($A53,'Data shares'!$C:$FA,7)</f>
        <v>333.25</v>
      </c>
      <c r="C53" s="140">
        <f>VLOOKUP($A53,'Data shares'!$C:$FA,3)</f>
        <v>333.9</v>
      </c>
      <c r="D53" s="50">
        <f>VLOOKUP($A53,'Data shares'!$C:$FA,6)*100</f>
        <v>-0.71000000000000008</v>
      </c>
      <c r="E53" s="51">
        <f>VLOOKUP($A53,'Data shares'!$C:$FA,98)</f>
        <v>108948000</v>
      </c>
      <c r="F53" s="51">
        <f>VLOOKUP($A53,'Data shares'!$C:$FA,99)</f>
        <v>106857600</v>
      </c>
      <c r="G53" s="50">
        <f>VLOOKUP($A53,'Data shares'!$C:$FA,101)*100</f>
        <v>1.96</v>
      </c>
      <c r="H53" s="49">
        <f>VLOOKUP($A53,'Data Vlaue (Cr)'!$C:$FB,99)</f>
        <v>3638</v>
      </c>
      <c r="I53" s="49">
        <f>VLOOKUP($A53,'Data Vlaue (Cr)'!$C:$FB,100)</f>
        <v>3568</v>
      </c>
      <c r="J53" s="49">
        <f>VLOOKUP($A53,'Data Vlaue (Cr)'!$C:$FB,102)*100</f>
        <v>1.96</v>
      </c>
    </row>
    <row r="54" spans="1:10" x14ac:dyDescent="0.25">
      <c r="A54" s="101" t="str">
        <f>'NIFTY GRP'!C49</f>
        <v>TRENT</v>
      </c>
      <c r="B54" s="140">
        <f>VLOOKUP($A54,'Data shares'!$C:$FA,7)</f>
        <v>3850.7</v>
      </c>
      <c r="C54" s="140">
        <f>VLOOKUP($A54,'Data shares'!$C:$FA,3)</f>
        <v>3853.6</v>
      </c>
      <c r="D54" s="50">
        <f>VLOOKUP($A54,'Data shares'!$C:$FA,6)*100</f>
        <v>-1.05</v>
      </c>
      <c r="E54" s="51">
        <f>VLOOKUP($A54,'Data shares'!$C:$FA,98)</f>
        <v>12374300</v>
      </c>
      <c r="F54" s="51">
        <f>VLOOKUP($A54,'Data shares'!$C:$FA,99)</f>
        <v>11905400</v>
      </c>
      <c r="G54" s="50">
        <f>VLOOKUP($A54,'Data shares'!$C:$FA,101)*100</f>
        <v>3.94</v>
      </c>
      <c r="H54" s="49">
        <f>VLOOKUP($A54,'Data Vlaue (Cr)'!$C:$FB,99)</f>
        <v>4769</v>
      </c>
      <c r="I54" s="49">
        <f>VLOOKUP($A54,'Data Vlaue (Cr)'!$C:$FB,100)</f>
        <v>4588</v>
      </c>
      <c r="J54" s="49">
        <f>VLOOKUP($A54,'Data Vlaue (Cr)'!$C:$FB,102)*100</f>
        <v>3.94</v>
      </c>
    </row>
    <row r="55" spans="1:10" x14ac:dyDescent="0.25">
      <c r="A55" s="101" t="str">
        <f>'NIFTY GRP'!C50</f>
        <v>ULTRACEMCO</v>
      </c>
      <c r="B55" s="140">
        <f>VLOOKUP($A55,'Data shares'!$C:$FA,7)</f>
        <v>11448</v>
      </c>
      <c r="C55" s="140">
        <f>VLOOKUP($A55,'Data shares'!$C:$FA,3)</f>
        <v>11468</v>
      </c>
      <c r="D55" s="50">
        <f>VLOOKUP($A55,'Data shares'!$C:$FA,6)*100</f>
        <v>-1.35</v>
      </c>
      <c r="E55" s="51">
        <f>VLOOKUP($A55,'Data shares'!$C:$FA,98)</f>
        <v>3258950</v>
      </c>
      <c r="F55" s="51">
        <f>VLOOKUP($A55,'Data shares'!$C:$FA,99)</f>
        <v>3178350</v>
      </c>
      <c r="G55" s="50">
        <f>VLOOKUP($A55,'Data shares'!$C:$FA,101)*100</f>
        <v>2.54</v>
      </c>
      <c r="H55" s="49">
        <f>VLOOKUP($A55,'Data Vlaue (Cr)'!$C:$FB,99)</f>
        <v>3737</v>
      </c>
      <c r="I55" s="49">
        <f>VLOOKUP($A55,'Data Vlaue (Cr)'!$C:$FB,100)</f>
        <v>3645</v>
      </c>
      <c r="J55" s="49">
        <f>VLOOKUP($A55,'Data Vlaue (Cr)'!$C:$FB,102)*100</f>
        <v>2.54</v>
      </c>
    </row>
    <row r="56" spans="1:10" x14ac:dyDescent="0.25">
      <c r="A56" s="101" t="str">
        <f>'NIFTY GRP'!C51</f>
        <v>WIPRO</v>
      </c>
      <c r="B56" s="140">
        <f>VLOOKUP($A56,'Data shares'!$C:$FA,7)</f>
        <v>202.87</v>
      </c>
      <c r="C56" s="140">
        <f>VLOOKUP($A56,'Data shares'!$C:$FA,3)</f>
        <v>202.36</v>
      </c>
      <c r="D56" s="50">
        <f>VLOOKUP($A56,'Data shares'!$C:$FA,6)*100</f>
        <v>0.27</v>
      </c>
      <c r="E56" s="51">
        <f>VLOOKUP($A56,'Data shares'!$C:$FA,98)</f>
        <v>316353000</v>
      </c>
      <c r="F56" s="51">
        <f>VLOOKUP($A56,'Data shares'!$C:$FA,99)</f>
        <v>307884000</v>
      </c>
      <c r="G56" s="50">
        <f>VLOOKUP($A56,'Data shares'!$C:$FA,101)*100</f>
        <v>2.75</v>
      </c>
      <c r="H56" s="49">
        <f>VLOOKUP($A56,'Data Vlaue (Cr)'!$C:$FB,99)</f>
        <v>6402</v>
      </c>
      <c r="I56" s="49">
        <f>VLOOKUP($A56,'Data Vlaue (Cr)'!$C:$FB,100)</f>
        <v>6230</v>
      </c>
      <c r="J56" s="49">
        <f>VLOOKUP($A56,'Data Vlaue (Cr)'!$C:$FB,102)*100</f>
        <v>2.75</v>
      </c>
    </row>
    <row r="57" spans="1:10" x14ac:dyDescent="0.25">
      <c r="A57" s="101"/>
      <c r="B57" s="140"/>
      <c r="C57" s="140"/>
      <c r="D57" s="50"/>
      <c r="E57" s="51"/>
      <c r="F57" s="51"/>
      <c r="G57" s="50"/>
      <c r="H57" s="49"/>
      <c r="I57" s="49"/>
      <c r="J57" s="49"/>
    </row>
    <row r="58" spans="1:10" x14ac:dyDescent="0.25">
      <c r="A58" s="102"/>
      <c r="B58" s="17"/>
      <c r="C58" s="17"/>
      <c r="D58" s="17"/>
      <c r="E58" s="17"/>
      <c r="F58" s="17"/>
      <c r="G58" s="17"/>
      <c r="H58" s="17"/>
      <c r="I58" s="17"/>
      <c r="J58" s="17"/>
    </row>
    <row r="59" spans="1:10" x14ac:dyDescent="0.25">
      <c r="A59" s="102"/>
      <c r="B59" s="17"/>
      <c r="C59" s="17"/>
      <c r="D59" s="17"/>
      <c r="E59" s="17"/>
      <c r="F59" s="17"/>
      <c r="G59" s="17"/>
      <c r="H59" s="17"/>
      <c r="I59" s="17"/>
      <c r="J59" s="17"/>
    </row>
    <row r="60" spans="1:10" x14ac:dyDescent="0.25">
      <c r="A60" s="126" t="s">
        <v>391</v>
      </c>
      <c r="B60" s="122"/>
      <c r="C60" s="122"/>
      <c r="D60" s="122"/>
      <c r="E60" s="127">
        <f>SUM(E7:E58)</f>
        <v>4778440316</v>
      </c>
      <c r="F60" s="127">
        <f>SUM(F7:F58)</f>
        <v>4665606705</v>
      </c>
      <c r="G60" s="128">
        <f>(E60-F60)/F60</f>
        <v>2.4184123980934651E-2</v>
      </c>
      <c r="H60" s="127">
        <f>SUM(H7:H58)</f>
        <v>388785</v>
      </c>
      <c r="I60" s="127">
        <f>SUM(I7:I58)</f>
        <v>378987</v>
      </c>
      <c r="J60" s="128">
        <f>(H60-I60)/I60</f>
        <v>2.5853129526870314E-2</v>
      </c>
    </row>
    <row r="61" spans="1:10" x14ac:dyDescent="0.25">
      <c r="A61" s="126" t="s">
        <v>398</v>
      </c>
      <c r="B61" s="122"/>
      <c r="C61" s="122"/>
      <c r="D61" s="122"/>
      <c r="E61" s="125">
        <f>E60/10000000</f>
        <v>477.84403159999999</v>
      </c>
      <c r="F61" s="125">
        <f>F60/10000000</f>
        <v>466.56067050000001</v>
      </c>
      <c r="G61" s="128">
        <f>(E61-F61)/F61</f>
        <v>2.4184123980934606E-2</v>
      </c>
      <c r="H61" s="129">
        <f>H60/10000000</f>
        <v>3.8878500000000003E-2</v>
      </c>
      <c r="I61" s="129">
        <f>I60/10000000</f>
        <v>3.78987E-2</v>
      </c>
      <c r="J61" s="128">
        <f>(H61-I61)/I61</f>
        <v>2.585312952687039E-2</v>
      </c>
    </row>
    <row r="66" spans="1:3" x14ac:dyDescent="0.25">
      <c r="A66" s="43"/>
      <c r="B66" s="43"/>
      <c r="C66" s="44"/>
    </row>
    <row r="67" spans="1:3" ht="34.5" x14ac:dyDescent="0.25">
      <c r="A67" s="95" t="s">
        <v>411</v>
      </c>
      <c r="B67" s="45"/>
      <c r="C67" s="45" t="s">
        <v>385</v>
      </c>
    </row>
    <row r="68" spans="1:3" x14ac:dyDescent="0.25">
      <c r="A68" s="22" t="s">
        <v>412</v>
      </c>
      <c r="B68" s="22" t="s">
        <v>413</v>
      </c>
      <c r="C68" s="22" t="s">
        <v>414</v>
      </c>
    </row>
    <row r="69" spans="1:3" x14ac:dyDescent="0.25">
      <c r="A69" s="38">
        <f>H60</f>
        <v>388785</v>
      </c>
      <c r="B69" s="38">
        <f>I60</f>
        <v>378987</v>
      </c>
      <c r="C69" s="42">
        <f>J60</f>
        <v>2.5853129526870314E-2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201" activePane="bottomLeft" state="frozen"/>
      <selection pane="bottomLeft" activeCell="A218" sqref="A218:O218"/>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9" t="s">
        <v>356</v>
      </c>
      <c r="B3" s="300"/>
      <c r="C3" s="300"/>
      <c r="D3" s="300"/>
      <c r="E3" s="300"/>
      <c r="F3" s="300"/>
      <c r="G3" s="300"/>
      <c r="H3" s="300"/>
      <c r="I3" s="300"/>
      <c r="J3" s="300"/>
      <c r="K3" s="300"/>
      <c r="L3" s="300"/>
      <c r="M3" s="300"/>
      <c r="N3" s="300"/>
      <c r="O3" s="301"/>
    </row>
    <row r="4" spans="1:15" s="93" customFormat="1" x14ac:dyDescent="0.25">
      <c r="A4" s="286" t="s">
        <v>330</v>
      </c>
      <c r="B4" s="288" t="s">
        <v>308</v>
      </c>
      <c r="C4" s="290"/>
      <c r="D4" s="288" t="s">
        <v>357</v>
      </c>
      <c r="E4" s="289"/>
      <c r="F4" s="289"/>
      <c r="G4" s="289"/>
      <c r="H4" s="289"/>
      <c r="I4" s="289"/>
      <c r="J4" s="289"/>
      <c r="K4" s="289"/>
      <c r="L4" s="289"/>
      <c r="M4" s="289"/>
      <c r="N4" s="289"/>
      <c r="O4" s="290"/>
    </row>
    <row r="5" spans="1:15" s="93" customFormat="1" x14ac:dyDescent="0.25">
      <c r="A5" s="287"/>
      <c r="B5" s="302" t="s">
        <v>312</v>
      </c>
      <c r="C5" s="292"/>
      <c r="D5" s="302" t="s">
        <v>357</v>
      </c>
      <c r="E5" s="291"/>
      <c r="F5" s="292"/>
      <c r="G5" s="302" t="s">
        <v>358</v>
      </c>
      <c r="H5" s="291"/>
      <c r="I5" s="292"/>
      <c r="J5" s="302" t="s">
        <v>359</v>
      </c>
      <c r="K5" s="291"/>
      <c r="L5" s="292"/>
      <c r="M5" s="302" t="s">
        <v>360</v>
      </c>
      <c r="N5" s="291"/>
      <c r="O5" s="292"/>
    </row>
    <row r="6" spans="1:15" s="93" customFormat="1" x14ac:dyDescent="0.25">
      <c r="A6" s="76" t="s">
        <v>318</v>
      </c>
      <c r="B6" s="3">
        <f>'Nifty Baskets'!B6</f>
        <v>46121</v>
      </c>
      <c r="C6" s="76" t="s">
        <v>328</v>
      </c>
      <c r="D6" s="3">
        <f>B6</f>
        <v>46121</v>
      </c>
      <c r="E6" s="76" t="s">
        <v>322</v>
      </c>
      <c r="F6" s="76" t="s">
        <v>328</v>
      </c>
      <c r="G6" s="3">
        <f>D6</f>
        <v>46121</v>
      </c>
      <c r="H6" s="76" t="s">
        <v>322</v>
      </c>
      <c r="I6" s="76" t="s">
        <v>328</v>
      </c>
      <c r="J6" s="3">
        <f>D6</f>
        <v>46121</v>
      </c>
      <c r="K6" s="76" t="s">
        <v>322</v>
      </c>
      <c r="L6" s="76" t="s">
        <v>328</v>
      </c>
      <c r="M6" s="3">
        <f>D6</f>
        <v>46121</v>
      </c>
      <c r="N6" s="76" t="s">
        <v>322</v>
      </c>
      <c r="O6" s="76" t="s">
        <v>328</v>
      </c>
    </row>
    <row r="7" spans="1:15" x14ac:dyDescent="0.25">
      <c r="A7" s="101" t="str">
        <f>'Data Vlaue (Cr)'!C2</f>
        <v>360ONE</v>
      </c>
      <c r="B7" s="50">
        <f>VLOOKUP($A7,'Data Vlaue (Cr)'!$C:$FB,8)</f>
        <v>998.1</v>
      </c>
      <c r="C7" s="50">
        <f>VLOOKUP($A7,'Data Vlaue (Cr)'!$C:$FB,11)*100</f>
        <v>2.7199999999999998</v>
      </c>
      <c r="D7" s="50">
        <f>VLOOKUP($A7,'Data Vlaue (Cr)'!$C:$FB,143)</f>
        <v>715.87</v>
      </c>
      <c r="E7" s="50">
        <f>VLOOKUP($A7,'Data Vlaue (Cr)'!$C:$FB,144)</f>
        <v>677.13</v>
      </c>
      <c r="F7" s="50">
        <f>VLOOKUP($A7,'Data Vlaue (Cr)'!$C:$FB,146)*100</f>
        <v>5.72</v>
      </c>
      <c r="G7" s="49">
        <f>VLOOKUP($A7,'Data Vlaue (Cr)'!$C:$FB,43)</f>
        <v>187</v>
      </c>
      <c r="H7" s="49">
        <f>VLOOKUP($A7,'Data Vlaue (Cr)'!$C:$FB,44)</f>
        <v>286</v>
      </c>
      <c r="I7" s="49">
        <f>VLOOKUP($A7,'Data Vlaue (Cr)'!$C:$FB,46)*100</f>
        <v>-34.58</v>
      </c>
      <c r="J7" s="51">
        <f>VLOOKUP($A7,'Data Vlaue (Cr)'!$C:$FB,59)</f>
        <v>419</v>
      </c>
      <c r="K7" s="51">
        <f>VLOOKUP($A7,'Data Vlaue (Cr)'!$C:$FB,60)</f>
        <v>311</v>
      </c>
      <c r="L7" s="51">
        <f>VLOOKUP($A7,'Data Vlaue (Cr)'!$C:$FB,62)*100</f>
        <v>35.010000000000005</v>
      </c>
      <c r="M7" s="51">
        <f>VLOOKUP($A7,'Data Vlaue (Cr)'!$C:$FB,63)</f>
        <v>85</v>
      </c>
      <c r="N7" s="51">
        <f>VLOOKUP($A7,'Data Vlaue (Cr)'!$C:$FB,64)</f>
        <v>76</v>
      </c>
      <c r="O7" s="51">
        <f>VLOOKUP($A7,'Data Vlaue (Cr)'!$C:$FB,66)*100</f>
        <v>11.72</v>
      </c>
    </row>
    <row r="8" spans="1:15" x14ac:dyDescent="0.25">
      <c r="A8" s="101" t="str">
        <f>'Data Vlaue (Cr)'!C3</f>
        <v>ABB</v>
      </c>
      <c r="B8" s="50">
        <f>VLOOKUP($A8,'Data Vlaue (Cr)'!$C:$FB,8)</f>
        <v>6614</v>
      </c>
      <c r="C8" s="50">
        <f>VLOOKUP($A8,'Data Vlaue (Cr)'!$C:$FB,11)*100</f>
        <v>0.75</v>
      </c>
      <c r="D8" s="50">
        <f>VLOOKUP($A8,'Data Vlaue (Cr)'!$C:$FB,143)</f>
        <v>1996.61</v>
      </c>
      <c r="E8" s="50">
        <f>VLOOKUP($A8,'Data Vlaue (Cr)'!$C:$FB,144)</f>
        <v>2577.29</v>
      </c>
      <c r="F8" s="50">
        <f>VLOOKUP($A8,'Data Vlaue (Cr)'!$C:$FB,146)*100</f>
        <v>-22.53</v>
      </c>
      <c r="G8" s="49">
        <f>VLOOKUP($A8,'Data Vlaue (Cr)'!$C:$FB,43)</f>
        <v>445</v>
      </c>
      <c r="H8" s="49">
        <f>VLOOKUP($A8,'Data Vlaue (Cr)'!$C:$FB,44)</f>
        <v>479</v>
      </c>
      <c r="I8" s="49">
        <f>VLOOKUP($A8,'Data Vlaue (Cr)'!$C:$FB,46)*100</f>
        <v>-7.1</v>
      </c>
      <c r="J8" s="51">
        <f>VLOOKUP($A8,'Data Vlaue (Cr)'!$C:$FB,59)</f>
        <v>1037</v>
      </c>
      <c r="K8" s="51">
        <f>VLOOKUP($A8,'Data Vlaue (Cr)'!$C:$FB,60)</f>
        <v>1486</v>
      </c>
      <c r="L8" s="51">
        <f>VLOOKUP($A8,'Data Vlaue (Cr)'!$C:$FB,62)*100</f>
        <v>-30.23</v>
      </c>
      <c r="M8" s="51">
        <f>VLOOKUP($A8,'Data Vlaue (Cr)'!$C:$FB,63)</f>
        <v>498</v>
      </c>
      <c r="N8" s="51">
        <f>VLOOKUP($A8,'Data Vlaue (Cr)'!$C:$FB,64)</f>
        <v>639</v>
      </c>
      <c r="O8" s="51">
        <f>VLOOKUP($A8,'Data Vlaue (Cr)'!$C:$FB,66)*100</f>
        <v>-22.18</v>
      </c>
    </row>
    <row r="9" spans="1:15" x14ac:dyDescent="0.25">
      <c r="A9" s="101" t="str">
        <f>'Data Vlaue (Cr)'!C4</f>
        <v>ABCAPITAL</v>
      </c>
      <c r="B9" s="50">
        <f>VLOOKUP($A9,'Data Vlaue (Cr)'!$C:$FB,8)</f>
        <v>334.55</v>
      </c>
      <c r="C9" s="50">
        <f>VLOOKUP($A9,'Data Vlaue (Cr)'!$C:$FB,11)*100</f>
        <v>-1.1400000000000001</v>
      </c>
      <c r="D9" s="50">
        <f>VLOOKUP($A9,'Data Vlaue (Cr)'!$C:$FB,143)</f>
        <v>996.79</v>
      </c>
      <c r="E9" s="50">
        <f>VLOOKUP($A9,'Data Vlaue (Cr)'!$C:$FB,144)</f>
        <v>1852.23</v>
      </c>
      <c r="F9" s="50">
        <f>VLOOKUP($A9,'Data Vlaue (Cr)'!$C:$FB,146)*100</f>
        <v>-46.18</v>
      </c>
      <c r="G9" s="49">
        <f>VLOOKUP($A9,'Data Vlaue (Cr)'!$C:$FB,43)</f>
        <v>290</v>
      </c>
      <c r="H9" s="49">
        <f>VLOOKUP($A9,'Data Vlaue (Cr)'!$C:$FB,44)</f>
        <v>455</v>
      </c>
      <c r="I9" s="49">
        <f>VLOOKUP($A9,'Data Vlaue (Cr)'!$C:$FB,46)*100</f>
        <v>-36.18</v>
      </c>
      <c r="J9" s="51">
        <f>VLOOKUP($A9,'Data Vlaue (Cr)'!$C:$FB,59)</f>
        <v>350</v>
      </c>
      <c r="K9" s="51">
        <f>VLOOKUP($A9,'Data Vlaue (Cr)'!$C:$FB,60)</f>
        <v>725</v>
      </c>
      <c r="L9" s="51">
        <f>VLOOKUP($A9,'Data Vlaue (Cr)'!$C:$FB,62)*100</f>
        <v>-51.800000000000004</v>
      </c>
      <c r="M9" s="51">
        <f>VLOOKUP($A9,'Data Vlaue (Cr)'!$C:$FB,63)</f>
        <v>338</v>
      </c>
      <c r="N9" s="51">
        <f>VLOOKUP($A9,'Data Vlaue (Cr)'!$C:$FB,64)</f>
        <v>689</v>
      </c>
      <c r="O9" s="51">
        <f>VLOOKUP($A9,'Data Vlaue (Cr)'!$C:$FB,66)*100</f>
        <v>-50.94</v>
      </c>
    </row>
    <row r="10" spans="1:15" x14ac:dyDescent="0.25">
      <c r="A10" s="101" t="str">
        <f>'Data Vlaue (Cr)'!C5</f>
        <v>ADANIENSOL</v>
      </c>
      <c r="B10" s="50">
        <f>VLOOKUP($A10,'Data Vlaue (Cr)'!$C:$FB,8)</f>
        <v>1078.75</v>
      </c>
      <c r="C10" s="50">
        <f>VLOOKUP($A10,'Data Vlaue (Cr)'!$C:$FB,11)*100</f>
        <v>0.51</v>
      </c>
      <c r="D10" s="50">
        <f>VLOOKUP($A10,'Data Vlaue (Cr)'!$C:$FB,143)</f>
        <v>1008.88</v>
      </c>
      <c r="E10" s="50">
        <f>VLOOKUP($A10,'Data Vlaue (Cr)'!$C:$FB,144)</f>
        <v>2234.2199999999998</v>
      </c>
      <c r="F10" s="50">
        <f>VLOOKUP($A10,'Data Vlaue (Cr)'!$C:$FB,146)*100</f>
        <v>-54.84</v>
      </c>
      <c r="G10" s="49">
        <f>VLOOKUP($A10,'Data Vlaue (Cr)'!$C:$FB,43)</f>
        <v>281</v>
      </c>
      <c r="H10" s="49">
        <f>VLOOKUP($A10,'Data Vlaue (Cr)'!$C:$FB,44)</f>
        <v>505</v>
      </c>
      <c r="I10" s="49">
        <f>VLOOKUP($A10,'Data Vlaue (Cr)'!$C:$FB,46)*100</f>
        <v>-44.39</v>
      </c>
      <c r="J10" s="51">
        <f>VLOOKUP($A10,'Data Vlaue (Cr)'!$C:$FB,59)</f>
        <v>517</v>
      </c>
      <c r="K10" s="51">
        <f>VLOOKUP($A10,'Data Vlaue (Cr)'!$C:$FB,60)</f>
        <v>1309</v>
      </c>
      <c r="L10" s="51">
        <f>VLOOKUP($A10,'Data Vlaue (Cr)'!$C:$FB,62)*100</f>
        <v>-60.49</v>
      </c>
      <c r="M10" s="51">
        <f>VLOOKUP($A10,'Data Vlaue (Cr)'!$C:$FB,63)</f>
        <v>185</v>
      </c>
      <c r="N10" s="51">
        <f>VLOOKUP($A10,'Data Vlaue (Cr)'!$C:$FB,64)</f>
        <v>360</v>
      </c>
      <c r="O10" s="51">
        <f>VLOOKUP($A10,'Data Vlaue (Cr)'!$C:$FB,66)*100</f>
        <v>-48.6</v>
      </c>
    </row>
    <row r="11" spans="1:15" x14ac:dyDescent="0.25">
      <c r="A11" s="101" t="str">
        <f>'Data Vlaue (Cr)'!C6</f>
        <v>ADANIENT</v>
      </c>
      <c r="B11" s="50">
        <f>VLOOKUP($A11,'Data Vlaue (Cr)'!$C:$FB,8)</f>
        <v>2040.5</v>
      </c>
      <c r="C11" s="50">
        <f>VLOOKUP($A11,'Data Vlaue (Cr)'!$C:$FB,11)*100</f>
        <v>-0.16</v>
      </c>
      <c r="D11" s="50">
        <f>VLOOKUP($A11,'Data Vlaue (Cr)'!$C:$FB,143)</f>
        <v>2949.99</v>
      </c>
      <c r="E11" s="50">
        <f>VLOOKUP($A11,'Data Vlaue (Cr)'!$C:$FB,144)</f>
        <v>8788.57</v>
      </c>
      <c r="F11" s="50">
        <f>VLOOKUP($A11,'Data Vlaue (Cr)'!$C:$FB,146)*100</f>
        <v>-66.430000000000007</v>
      </c>
      <c r="G11" s="49">
        <f>VLOOKUP($A11,'Data Vlaue (Cr)'!$C:$FB,43)</f>
        <v>694</v>
      </c>
      <c r="H11" s="49">
        <f>VLOOKUP($A11,'Data Vlaue (Cr)'!$C:$FB,44)</f>
        <v>1106</v>
      </c>
      <c r="I11" s="49">
        <f>VLOOKUP($A11,'Data Vlaue (Cr)'!$C:$FB,46)*100</f>
        <v>-37.299999999999997</v>
      </c>
      <c r="J11" s="51">
        <f>VLOOKUP($A11,'Data Vlaue (Cr)'!$C:$FB,59)</f>
        <v>1500</v>
      </c>
      <c r="K11" s="51">
        <f>VLOOKUP($A11,'Data Vlaue (Cr)'!$C:$FB,60)</f>
        <v>5314</v>
      </c>
      <c r="L11" s="51">
        <f>VLOOKUP($A11,'Data Vlaue (Cr)'!$C:$FB,62)*100</f>
        <v>-71.78</v>
      </c>
      <c r="M11" s="51">
        <f>VLOOKUP($A11,'Data Vlaue (Cr)'!$C:$FB,63)</f>
        <v>648</v>
      </c>
      <c r="N11" s="51">
        <f>VLOOKUP($A11,'Data Vlaue (Cr)'!$C:$FB,64)</f>
        <v>2090</v>
      </c>
      <c r="O11" s="51">
        <f>VLOOKUP($A11,'Data Vlaue (Cr)'!$C:$FB,66)*100</f>
        <v>-68.989999999999995</v>
      </c>
    </row>
    <row r="12" spans="1:15" x14ac:dyDescent="0.25">
      <c r="A12" s="101" t="str">
        <f>'Data Vlaue (Cr)'!C7</f>
        <v>ADANIGREEN</v>
      </c>
      <c r="B12" s="50">
        <f>VLOOKUP($A12,'Data Vlaue (Cr)'!$C:$FB,8)</f>
        <v>1044.55</v>
      </c>
      <c r="C12" s="50">
        <f>VLOOKUP($A12,'Data Vlaue (Cr)'!$C:$FB,11)*100</f>
        <v>1.4500000000000002</v>
      </c>
      <c r="D12" s="50">
        <f>VLOOKUP($A12,'Data Vlaue (Cr)'!$C:$FB,143)</f>
        <v>2332.9499999999998</v>
      </c>
      <c r="E12" s="50">
        <f>VLOOKUP($A12,'Data Vlaue (Cr)'!$C:$FB,144)</f>
        <v>6095.78</v>
      </c>
      <c r="F12" s="50">
        <f>VLOOKUP($A12,'Data Vlaue (Cr)'!$C:$FB,146)*100</f>
        <v>-61.73</v>
      </c>
      <c r="G12" s="49">
        <f>VLOOKUP($A12,'Data Vlaue (Cr)'!$C:$FB,43)</f>
        <v>495</v>
      </c>
      <c r="H12" s="49">
        <f>VLOOKUP($A12,'Data Vlaue (Cr)'!$C:$FB,44)</f>
        <v>1000</v>
      </c>
      <c r="I12" s="49">
        <f>VLOOKUP($A12,'Data Vlaue (Cr)'!$C:$FB,46)*100</f>
        <v>-50.5</v>
      </c>
      <c r="J12" s="51">
        <f>VLOOKUP($A12,'Data Vlaue (Cr)'!$C:$FB,59)</f>
        <v>1140</v>
      </c>
      <c r="K12" s="51">
        <f>VLOOKUP($A12,'Data Vlaue (Cr)'!$C:$FB,60)</f>
        <v>3663</v>
      </c>
      <c r="L12" s="51">
        <f>VLOOKUP($A12,'Data Vlaue (Cr)'!$C:$FB,62)*100</f>
        <v>-68.87</v>
      </c>
      <c r="M12" s="51">
        <f>VLOOKUP($A12,'Data Vlaue (Cr)'!$C:$FB,63)</f>
        <v>665</v>
      </c>
      <c r="N12" s="51">
        <f>VLOOKUP($A12,'Data Vlaue (Cr)'!$C:$FB,64)</f>
        <v>1416</v>
      </c>
      <c r="O12" s="51">
        <f>VLOOKUP($A12,'Data Vlaue (Cr)'!$C:$FB,66)*100</f>
        <v>-53.059999999999995</v>
      </c>
    </row>
    <row r="13" spans="1:15" x14ac:dyDescent="0.25">
      <c r="A13" s="101" t="str">
        <f>'Data Vlaue (Cr)'!C8</f>
        <v>ADANIPORTS</v>
      </c>
      <c r="B13" s="50">
        <f>VLOOKUP($A13,'Data Vlaue (Cr)'!$C:$FB,8)</f>
        <v>1447.4</v>
      </c>
      <c r="C13" s="50">
        <f>VLOOKUP($A13,'Data Vlaue (Cr)'!$C:$FB,11)*100</f>
        <v>-0.41000000000000003</v>
      </c>
      <c r="D13" s="50">
        <f>VLOOKUP($A13,'Data Vlaue (Cr)'!$C:$FB,143)</f>
        <v>3063.49</v>
      </c>
      <c r="E13" s="50">
        <f>VLOOKUP($A13,'Data Vlaue (Cr)'!$C:$FB,144)</f>
        <v>11170.8</v>
      </c>
      <c r="F13" s="50">
        <f>VLOOKUP($A13,'Data Vlaue (Cr)'!$C:$FB,146)*100</f>
        <v>-72.58</v>
      </c>
      <c r="G13" s="49">
        <f>VLOOKUP($A13,'Data Vlaue (Cr)'!$C:$FB,43)</f>
        <v>545</v>
      </c>
      <c r="H13" s="49">
        <f>VLOOKUP($A13,'Data Vlaue (Cr)'!$C:$FB,44)</f>
        <v>1272</v>
      </c>
      <c r="I13" s="49">
        <f>VLOOKUP($A13,'Data Vlaue (Cr)'!$C:$FB,46)*100</f>
        <v>-57.18</v>
      </c>
      <c r="J13" s="51">
        <f>VLOOKUP($A13,'Data Vlaue (Cr)'!$C:$FB,59)</f>
        <v>1515</v>
      </c>
      <c r="K13" s="51">
        <f>VLOOKUP($A13,'Data Vlaue (Cr)'!$C:$FB,60)</f>
        <v>6431</v>
      </c>
      <c r="L13" s="51">
        <f>VLOOKUP($A13,'Data Vlaue (Cr)'!$C:$FB,62)*100</f>
        <v>-76.429999999999993</v>
      </c>
      <c r="M13" s="51">
        <f>VLOOKUP($A13,'Data Vlaue (Cr)'!$C:$FB,63)</f>
        <v>936</v>
      </c>
      <c r="N13" s="51">
        <f>VLOOKUP($A13,'Data Vlaue (Cr)'!$C:$FB,64)</f>
        <v>3123</v>
      </c>
      <c r="O13" s="51">
        <f>VLOOKUP($A13,'Data Vlaue (Cr)'!$C:$FB,66)*100</f>
        <v>-70.03</v>
      </c>
    </row>
    <row r="14" spans="1:15" x14ac:dyDescent="0.25">
      <c r="A14" s="101" t="str">
        <f>'Data Vlaue (Cr)'!C9</f>
        <v>ADANIPOWER</v>
      </c>
      <c r="B14" s="50">
        <f>VLOOKUP($A14,'Data Vlaue (Cr)'!$C:$FB,8)</f>
        <v>172.33</v>
      </c>
      <c r="C14" s="50">
        <f>VLOOKUP($A14,'Data Vlaue (Cr)'!$C:$FB,11)*100</f>
        <v>1.78</v>
      </c>
      <c r="D14" s="50">
        <f>VLOOKUP($A14,'Data Vlaue (Cr)'!$C:$FB,143)</f>
        <v>933.97</v>
      </c>
      <c r="E14" s="50">
        <f>VLOOKUP($A14,'Data Vlaue (Cr)'!$C:$FB,144)</f>
        <v>1812.15</v>
      </c>
      <c r="F14" s="50">
        <f>VLOOKUP($A14,'Data Vlaue (Cr)'!$C:$FB,146)*100</f>
        <v>-48.46</v>
      </c>
      <c r="G14" s="49">
        <f>VLOOKUP($A14,'Data Vlaue (Cr)'!$C:$FB,43)</f>
        <v>345</v>
      </c>
      <c r="H14" s="49">
        <f>VLOOKUP($A14,'Data Vlaue (Cr)'!$C:$FB,44)</f>
        <v>568</v>
      </c>
      <c r="I14" s="49">
        <f>VLOOKUP($A14,'Data Vlaue (Cr)'!$C:$FB,46)*100</f>
        <v>-39.229999999999997</v>
      </c>
      <c r="J14" s="51">
        <f>VLOOKUP($A14,'Data Vlaue (Cr)'!$C:$FB,59)</f>
        <v>455</v>
      </c>
      <c r="K14" s="51">
        <f>VLOOKUP($A14,'Data Vlaue (Cr)'!$C:$FB,60)</f>
        <v>1052</v>
      </c>
      <c r="L14" s="51">
        <f>VLOOKUP($A14,'Data Vlaue (Cr)'!$C:$FB,62)*100</f>
        <v>-56.699999999999996</v>
      </c>
      <c r="M14" s="51">
        <f>VLOOKUP($A14,'Data Vlaue (Cr)'!$C:$FB,63)</f>
        <v>113</v>
      </c>
      <c r="N14" s="51">
        <f>VLOOKUP($A14,'Data Vlaue (Cr)'!$C:$FB,64)</f>
        <v>141</v>
      </c>
      <c r="O14" s="51">
        <f>VLOOKUP($A14,'Data Vlaue (Cr)'!$C:$FB,66)*100</f>
        <v>-19.489999999999998</v>
      </c>
    </row>
    <row r="15" spans="1:15" x14ac:dyDescent="0.25">
      <c r="A15" s="101" t="str">
        <f>'Data Vlaue (Cr)'!C10</f>
        <v>ALKEM</v>
      </c>
      <c r="B15" s="50">
        <f>VLOOKUP($A15,'Data Vlaue (Cr)'!$C:$FB,8)</f>
        <v>5370.5</v>
      </c>
      <c r="C15" s="50">
        <f>VLOOKUP($A15,'Data Vlaue (Cr)'!$C:$FB,11)*100</f>
        <v>2.37</v>
      </c>
      <c r="D15" s="50">
        <f>VLOOKUP($A15,'Data Vlaue (Cr)'!$C:$FB,143)</f>
        <v>379.85</v>
      </c>
      <c r="E15" s="50">
        <f>VLOOKUP($A15,'Data Vlaue (Cr)'!$C:$FB,144)</f>
        <v>383.09</v>
      </c>
      <c r="F15" s="50">
        <f>VLOOKUP($A15,'Data Vlaue (Cr)'!$C:$FB,146)*100</f>
        <v>-0.85000000000000009</v>
      </c>
      <c r="G15" s="49">
        <f>VLOOKUP($A15,'Data Vlaue (Cr)'!$C:$FB,43)</f>
        <v>95</v>
      </c>
      <c r="H15" s="49">
        <f>VLOOKUP($A15,'Data Vlaue (Cr)'!$C:$FB,44)</f>
        <v>78</v>
      </c>
      <c r="I15" s="49">
        <f>VLOOKUP($A15,'Data Vlaue (Cr)'!$C:$FB,46)*100</f>
        <v>21.72</v>
      </c>
      <c r="J15" s="51">
        <f>VLOOKUP($A15,'Data Vlaue (Cr)'!$C:$FB,59)</f>
        <v>207</v>
      </c>
      <c r="K15" s="51">
        <f>VLOOKUP($A15,'Data Vlaue (Cr)'!$C:$FB,60)</f>
        <v>213</v>
      </c>
      <c r="L15" s="51">
        <f>VLOOKUP($A15,'Data Vlaue (Cr)'!$C:$FB,62)*100</f>
        <v>-2.78</v>
      </c>
      <c r="M15" s="51">
        <f>VLOOKUP($A15,'Data Vlaue (Cr)'!$C:$FB,63)</f>
        <v>76</v>
      </c>
      <c r="N15" s="51">
        <f>VLOOKUP($A15,'Data Vlaue (Cr)'!$C:$FB,64)</f>
        <v>94</v>
      </c>
      <c r="O15" s="51">
        <f>VLOOKUP($A15,'Data Vlaue (Cr)'!$C:$FB,66)*100</f>
        <v>-19.670000000000002</v>
      </c>
    </row>
    <row r="16" spans="1:15" x14ac:dyDescent="0.25">
      <c r="A16" s="101" t="str">
        <f>'Data Vlaue (Cr)'!C11</f>
        <v>AMBER</v>
      </c>
      <c r="B16" s="50">
        <f>VLOOKUP($A16,'Data Vlaue (Cr)'!$C:$FB,8)</f>
        <v>6888.5</v>
      </c>
      <c r="C16" s="50">
        <f>VLOOKUP($A16,'Data Vlaue (Cr)'!$C:$FB,11)*100</f>
        <v>-0.8</v>
      </c>
      <c r="D16" s="50">
        <f>VLOOKUP($A16,'Data Vlaue (Cr)'!$C:$FB,143)</f>
        <v>1413.36</v>
      </c>
      <c r="E16" s="50">
        <f>VLOOKUP($A16,'Data Vlaue (Cr)'!$C:$FB,144)</f>
        <v>2215.8200000000002</v>
      </c>
      <c r="F16" s="50">
        <f>VLOOKUP($A16,'Data Vlaue (Cr)'!$C:$FB,146)*100</f>
        <v>-36.21</v>
      </c>
      <c r="G16" s="49">
        <f>VLOOKUP($A16,'Data Vlaue (Cr)'!$C:$FB,43)</f>
        <v>372</v>
      </c>
      <c r="H16" s="49">
        <f>VLOOKUP($A16,'Data Vlaue (Cr)'!$C:$FB,44)</f>
        <v>380</v>
      </c>
      <c r="I16" s="49">
        <f>VLOOKUP($A16,'Data Vlaue (Cr)'!$C:$FB,46)*100</f>
        <v>-2.21</v>
      </c>
      <c r="J16" s="51">
        <f>VLOOKUP($A16,'Data Vlaue (Cr)'!$C:$FB,59)</f>
        <v>654</v>
      </c>
      <c r="K16" s="51">
        <f>VLOOKUP($A16,'Data Vlaue (Cr)'!$C:$FB,60)</f>
        <v>1250</v>
      </c>
      <c r="L16" s="51">
        <f>VLOOKUP($A16,'Data Vlaue (Cr)'!$C:$FB,62)*100</f>
        <v>-47.660000000000004</v>
      </c>
      <c r="M16" s="51">
        <f>VLOOKUP($A16,'Data Vlaue (Cr)'!$C:$FB,63)</f>
        <v>361</v>
      </c>
      <c r="N16" s="51">
        <f>VLOOKUP($A16,'Data Vlaue (Cr)'!$C:$FB,64)</f>
        <v>531</v>
      </c>
      <c r="O16" s="51">
        <f>VLOOKUP($A16,'Data Vlaue (Cr)'!$C:$FB,66)*100</f>
        <v>-32</v>
      </c>
    </row>
    <row r="17" spans="1:15" x14ac:dyDescent="0.25">
      <c r="A17" s="101" t="str">
        <f>'Data Vlaue (Cr)'!C12</f>
        <v>AMBUJACEM</v>
      </c>
      <c r="B17" s="50">
        <f>VLOOKUP($A17,'Data Vlaue (Cr)'!$C:$FB,8)</f>
        <v>434.05</v>
      </c>
      <c r="C17" s="50">
        <f>VLOOKUP($A17,'Data Vlaue (Cr)'!$C:$FB,11)*100</f>
        <v>-2.8400000000000003</v>
      </c>
      <c r="D17" s="50">
        <f>VLOOKUP($A17,'Data Vlaue (Cr)'!$C:$FB,143)</f>
        <v>1230.77</v>
      </c>
      <c r="E17" s="50">
        <f>VLOOKUP($A17,'Data Vlaue (Cr)'!$C:$FB,144)</f>
        <v>2457.81</v>
      </c>
      <c r="F17" s="50">
        <f>VLOOKUP($A17,'Data Vlaue (Cr)'!$C:$FB,146)*100</f>
        <v>-49.919999999999995</v>
      </c>
      <c r="G17" s="49">
        <f>VLOOKUP($A17,'Data Vlaue (Cr)'!$C:$FB,43)</f>
        <v>359</v>
      </c>
      <c r="H17" s="49">
        <f>VLOOKUP($A17,'Data Vlaue (Cr)'!$C:$FB,44)</f>
        <v>608</v>
      </c>
      <c r="I17" s="49">
        <f>VLOOKUP($A17,'Data Vlaue (Cr)'!$C:$FB,46)*100</f>
        <v>-40.949999999999996</v>
      </c>
      <c r="J17" s="51">
        <f>VLOOKUP($A17,'Data Vlaue (Cr)'!$C:$FB,59)</f>
        <v>554</v>
      </c>
      <c r="K17" s="51">
        <f>VLOOKUP($A17,'Data Vlaue (Cr)'!$C:$FB,60)</f>
        <v>1206</v>
      </c>
      <c r="L17" s="51">
        <f>VLOOKUP($A17,'Data Vlaue (Cr)'!$C:$FB,62)*100</f>
        <v>-54.08</v>
      </c>
      <c r="M17" s="51">
        <f>VLOOKUP($A17,'Data Vlaue (Cr)'!$C:$FB,63)</f>
        <v>275</v>
      </c>
      <c r="N17" s="51">
        <f>VLOOKUP($A17,'Data Vlaue (Cr)'!$C:$FB,64)</f>
        <v>506</v>
      </c>
      <c r="O17" s="51">
        <f>VLOOKUP($A17,'Data Vlaue (Cr)'!$C:$FB,66)*100</f>
        <v>-45.65</v>
      </c>
    </row>
    <row r="18" spans="1:15" x14ac:dyDescent="0.25">
      <c r="A18" s="101" t="str">
        <f>'Data Vlaue (Cr)'!C13</f>
        <v>ANGELONE</v>
      </c>
      <c r="B18" s="50">
        <f>VLOOKUP($A18,'Data Vlaue (Cr)'!$C:$FB,8)</f>
        <v>281.8</v>
      </c>
      <c r="C18" s="50">
        <f>VLOOKUP($A18,'Data Vlaue (Cr)'!$C:$FB,11)*100</f>
        <v>5.3</v>
      </c>
      <c r="D18" s="50">
        <f>VLOOKUP($A18,'Data Vlaue (Cr)'!$C:$FB,143)</f>
        <v>3089.9</v>
      </c>
      <c r="E18" s="50">
        <f>VLOOKUP($A18,'Data Vlaue (Cr)'!$C:$FB,144)</f>
        <v>1796</v>
      </c>
      <c r="F18" s="50">
        <f>VLOOKUP($A18,'Data Vlaue (Cr)'!$C:$FB,146)*100</f>
        <v>72.040000000000006</v>
      </c>
      <c r="G18" s="49">
        <f>VLOOKUP($A18,'Data Vlaue (Cr)'!$C:$FB,43)</f>
        <v>640</v>
      </c>
      <c r="H18" s="49">
        <f>VLOOKUP($A18,'Data Vlaue (Cr)'!$C:$FB,44)</f>
        <v>421</v>
      </c>
      <c r="I18" s="49">
        <f>VLOOKUP($A18,'Data Vlaue (Cr)'!$C:$FB,46)*100</f>
        <v>51.790000000000006</v>
      </c>
      <c r="J18" s="51">
        <f>VLOOKUP($A18,'Data Vlaue (Cr)'!$C:$FB,59)</f>
        <v>1624</v>
      </c>
      <c r="K18" s="51">
        <f>VLOOKUP($A18,'Data Vlaue (Cr)'!$C:$FB,60)</f>
        <v>976</v>
      </c>
      <c r="L18" s="51">
        <f>VLOOKUP($A18,'Data Vlaue (Cr)'!$C:$FB,62)*100</f>
        <v>66.28</v>
      </c>
      <c r="M18" s="51">
        <f>VLOOKUP($A18,'Data Vlaue (Cr)'!$C:$FB,63)</f>
        <v>747</v>
      </c>
      <c r="N18" s="51">
        <f>VLOOKUP($A18,'Data Vlaue (Cr)'!$C:$FB,64)</f>
        <v>467</v>
      </c>
      <c r="O18" s="51">
        <f>VLOOKUP($A18,'Data Vlaue (Cr)'!$C:$FB,66)*100</f>
        <v>60.099999999999994</v>
      </c>
    </row>
    <row r="19" spans="1:15" x14ac:dyDescent="0.25">
      <c r="A19" s="101" t="str">
        <f>'Data Vlaue (Cr)'!C14</f>
        <v>APLAPOLLO</v>
      </c>
      <c r="B19" s="50">
        <f>VLOOKUP($A19,'Data Vlaue (Cr)'!$C:$FB,8)</f>
        <v>2040.3</v>
      </c>
      <c r="C19" s="50">
        <f>VLOOKUP($A19,'Data Vlaue (Cr)'!$C:$FB,11)*100</f>
        <v>-0.36</v>
      </c>
      <c r="D19" s="50">
        <f>VLOOKUP($A19,'Data Vlaue (Cr)'!$C:$FB,143)</f>
        <v>401.26</v>
      </c>
      <c r="E19" s="50">
        <f>VLOOKUP($A19,'Data Vlaue (Cr)'!$C:$FB,144)</f>
        <v>861.45</v>
      </c>
      <c r="F19" s="50">
        <f>VLOOKUP($A19,'Data Vlaue (Cr)'!$C:$FB,146)*100</f>
        <v>-53.42</v>
      </c>
      <c r="G19" s="49">
        <f>VLOOKUP($A19,'Data Vlaue (Cr)'!$C:$FB,43)</f>
        <v>116</v>
      </c>
      <c r="H19" s="49">
        <f>VLOOKUP($A19,'Data Vlaue (Cr)'!$C:$FB,44)</f>
        <v>262</v>
      </c>
      <c r="I19" s="49">
        <f>VLOOKUP($A19,'Data Vlaue (Cr)'!$C:$FB,46)*100</f>
        <v>-55.889999999999993</v>
      </c>
      <c r="J19" s="51">
        <f>VLOOKUP($A19,'Data Vlaue (Cr)'!$C:$FB,59)</f>
        <v>195</v>
      </c>
      <c r="K19" s="51">
        <f>VLOOKUP($A19,'Data Vlaue (Cr)'!$C:$FB,60)</f>
        <v>408</v>
      </c>
      <c r="L19" s="51">
        <f>VLOOKUP($A19,'Data Vlaue (Cr)'!$C:$FB,62)*100</f>
        <v>-52.180000000000007</v>
      </c>
      <c r="M19" s="51">
        <f>VLOOKUP($A19,'Data Vlaue (Cr)'!$C:$FB,63)</f>
        <v>83</v>
      </c>
      <c r="N19" s="51">
        <f>VLOOKUP($A19,'Data Vlaue (Cr)'!$C:$FB,64)</f>
        <v>188</v>
      </c>
      <c r="O19" s="51">
        <f>VLOOKUP($A19,'Data Vlaue (Cr)'!$C:$FB,66)*100</f>
        <v>-56.000000000000007</v>
      </c>
    </row>
    <row r="20" spans="1:15" x14ac:dyDescent="0.25">
      <c r="A20" s="101" t="str">
        <f>'Data Vlaue (Cr)'!C15</f>
        <v>APOLLOHOSP</v>
      </c>
      <c r="B20" s="50">
        <f>VLOOKUP($A20,'Data Vlaue (Cr)'!$C:$FB,8)</f>
        <v>7481.5</v>
      </c>
      <c r="C20" s="50">
        <f>VLOOKUP($A20,'Data Vlaue (Cr)'!$C:$FB,11)*100</f>
        <v>1.08</v>
      </c>
      <c r="D20" s="50">
        <f>VLOOKUP($A20,'Data Vlaue (Cr)'!$C:$FB,143)</f>
        <v>2378.09</v>
      </c>
      <c r="E20" s="50">
        <f>VLOOKUP($A20,'Data Vlaue (Cr)'!$C:$FB,144)</f>
        <v>2445.16</v>
      </c>
      <c r="F20" s="50">
        <f>VLOOKUP($A20,'Data Vlaue (Cr)'!$C:$FB,146)*100</f>
        <v>-2.74</v>
      </c>
      <c r="G20" s="49">
        <f>VLOOKUP($A20,'Data Vlaue (Cr)'!$C:$FB,43)</f>
        <v>310</v>
      </c>
      <c r="H20" s="49">
        <f>VLOOKUP($A20,'Data Vlaue (Cr)'!$C:$FB,44)</f>
        <v>457</v>
      </c>
      <c r="I20" s="49">
        <f>VLOOKUP($A20,'Data Vlaue (Cr)'!$C:$FB,46)*100</f>
        <v>-32.229999999999997</v>
      </c>
      <c r="J20" s="51">
        <f>VLOOKUP($A20,'Data Vlaue (Cr)'!$C:$FB,59)</f>
        <v>1513</v>
      </c>
      <c r="K20" s="51">
        <f>VLOOKUP($A20,'Data Vlaue (Cr)'!$C:$FB,60)</f>
        <v>1358</v>
      </c>
      <c r="L20" s="51">
        <f>VLOOKUP($A20,'Data Vlaue (Cr)'!$C:$FB,62)*100</f>
        <v>11.379999999999999</v>
      </c>
      <c r="M20" s="51">
        <f>VLOOKUP($A20,'Data Vlaue (Cr)'!$C:$FB,63)</f>
        <v>516</v>
      </c>
      <c r="N20" s="51">
        <f>VLOOKUP($A20,'Data Vlaue (Cr)'!$C:$FB,64)</f>
        <v>611</v>
      </c>
      <c r="O20" s="51">
        <f>VLOOKUP($A20,'Data Vlaue (Cr)'!$C:$FB,66)*100</f>
        <v>-15.55</v>
      </c>
    </row>
    <row r="21" spans="1:15" x14ac:dyDescent="0.25">
      <c r="A21" s="101" t="str">
        <f>'Data Vlaue (Cr)'!C16</f>
        <v>ASHOKLEY</v>
      </c>
      <c r="B21" s="50">
        <f>VLOOKUP($A21,'Data Vlaue (Cr)'!$C:$FB,8)</f>
        <v>170.38</v>
      </c>
      <c r="C21" s="50">
        <f>VLOOKUP($A21,'Data Vlaue (Cr)'!$C:$FB,11)*100</f>
        <v>-1.22</v>
      </c>
      <c r="D21" s="50">
        <f>VLOOKUP($A21,'Data Vlaue (Cr)'!$C:$FB,143)</f>
        <v>4437.62</v>
      </c>
      <c r="E21" s="50">
        <f>VLOOKUP($A21,'Data Vlaue (Cr)'!$C:$FB,144)</f>
        <v>10492.85</v>
      </c>
      <c r="F21" s="50">
        <f>VLOOKUP($A21,'Data Vlaue (Cr)'!$C:$FB,146)*100</f>
        <v>-57.709999999999994</v>
      </c>
      <c r="G21" s="49">
        <f>VLOOKUP($A21,'Data Vlaue (Cr)'!$C:$FB,43)</f>
        <v>657</v>
      </c>
      <c r="H21" s="49">
        <f>VLOOKUP($A21,'Data Vlaue (Cr)'!$C:$FB,44)</f>
        <v>1543</v>
      </c>
      <c r="I21" s="49">
        <f>VLOOKUP($A21,'Data Vlaue (Cr)'!$C:$FB,46)*100</f>
        <v>-57.4</v>
      </c>
      <c r="J21" s="51">
        <f>VLOOKUP($A21,'Data Vlaue (Cr)'!$C:$FB,59)</f>
        <v>2244</v>
      </c>
      <c r="K21" s="51">
        <f>VLOOKUP($A21,'Data Vlaue (Cr)'!$C:$FB,60)</f>
        <v>6037</v>
      </c>
      <c r="L21" s="51">
        <f>VLOOKUP($A21,'Data Vlaue (Cr)'!$C:$FB,62)*100</f>
        <v>-62.83</v>
      </c>
      <c r="M21" s="51">
        <f>VLOOKUP($A21,'Data Vlaue (Cr)'!$C:$FB,63)</f>
        <v>1378</v>
      </c>
      <c r="N21" s="51">
        <f>VLOOKUP($A21,'Data Vlaue (Cr)'!$C:$FB,64)</f>
        <v>2650</v>
      </c>
      <c r="O21" s="51">
        <f>VLOOKUP($A21,'Data Vlaue (Cr)'!$C:$FB,66)*100</f>
        <v>-47.99</v>
      </c>
    </row>
    <row r="22" spans="1:15" x14ac:dyDescent="0.25">
      <c r="A22" s="101" t="str">
        <f>'Data Vlaue (Cr)'!C17</f>
        <v>ASIANPAINT</v>
      </c>
      <c r="B22" s="50">
        <f>VLOOKUP($A22,'Data Vlaue (Cr)'!$C:$FB,8)</f>
        <v>2269.6</v>
      </c>
      <c r="C22" s="50">
        <f>VLOOKUP($A22,'Data Vlaue (Cr)'!$C:$FB,11)*100</f>
        <v>-0.55999999999999994</v>
      </c>
      <c r="D22" s="50">
        <f>VLOOKUP($A22,'Data Vlaue (Cr)'!$C:$FB,143)</f>
        <v>1614.45</v>
      </c>
      <c r="E22" s="50">
        <f>VLOOKUP($A22,'Data Vlaue (Cr)'!$C:$FB,144)</f>
        <v>4351.01</v>
      </c>
      <c r="F22" s="50">
        <f>VLOOKUP($A22,'Data Vlaue (Cr)'!$C:$FB,146)*100</f>
        <v>-62.89</v>
      </c>
      <c r="G22" s="49">
        <f>VLOOKUP($A22,'Data Vlaue (Cr)'!$C:$FB,43)</f>
        <v>297</v>
      </c>
      <c r="H22" s="49">
        <f>VLOOKUP($A22,'Data Vlaue (Cr)'!$C:$FB,44)</f>
        <v>689</v>
      </c>
      <c r="I22" s="49">
        <f>VLOOKUP($A22,'Data Vlaue (Cr)'!$C:$FB,46)*100</f>
        <v>-56.92</v>
      </c>
      <c r="J22" s="51">
        <f>VLOOKUP($A22,'Data Vlaue (Cr)'!$C:$FB,59)</f>
        <v>786</v>
      </c>
      <c r="K22" s="51">
        <f>VLOOKUP($A22,'Data Vlaue (Cr)'!$C:$FB,60)</f>
        <v>2341</v>
      </c>
      <c r="L22" s="51">
        <f>VLOOKUP($A22,'Data Vlaue (Cr)'!$C:$FB,62)*100</f>
        <v>-66.42</v>
      </c>
      <c r="M22" s="51">
        <f>VLOOKUP($A22,'Data Vlaue (Cr)'!$C:$FB,63)</f>
        <v>502</v>
      </c>
      <c r="N22" s="51">
        <f>VLOOKUP($A22,'Data Vlaue (Cr)'!$C:$FB,64)</f>
        <v>1243</v>
      </c>
      <c r="O22" s="51">
        <f>VLOOKUP($A22,'Data Vlaue (Cr)'!$C:$FB,66)*100</f>
        <v>-59.599999999999994</v>
      </c>
    </row>
    <row r="23" spans="1:15" x14ac:dyDescent="0.25">
      <c r="A23" s="101" t="str">
        <f>'Data Vlaue (Cr)'!C18</f>
        <v>ASTRAL</v>
      </c>
      <c r="B23" s="50">
        <f>VLOOKUP($A23,'Data Vlaue (Cr)'!$C:$FB,8)</f>
        <v>1563.7</v>
      </c>
      <c r="C23" s="50">
        <f>VLOOKUP($A23,'Data Vlaue (Cr)'!$C:$FB,11)*100</f>
        <v>2.5</v>
      </c>
      <c r="D23" s="50">
        <f>VLOOKUP($A23,'Data Vlaue (Cr)'!$C:$FB,143)</f>
        <v>1021.02</v>
      </c>
      <c r="E23" s="50">
        <f>VLOOKUP($A23,'Data Vlaue (Cr)'!$C:$FB,144)</f>
        <v>1604.43</v>
      </c>
      <c r="F23" s="50">
        <f>VLOOKUP($A23,'Data Vlaue (Cr)'!$C:$FB,146)*100</f>
        <v>-36.36</v>
      </c>
      <c r="G23" s="49">
        <f>VLOOKUP($A23,'Data Vlaue (Cr)'!$C:$FB,43)</f>
        <v>269</v>
      </c>
      <c r="H23" s="49">
        <f>VLOOKUP($A23,'Data Vlaue (Cr)'!$C:$FB,44)</f>
        <v>424</v>
      </c>
      <c r="I23" s="49">
        <f>VLOOKUP($A23,'Data Vlaue (Cr)'!$C:$FB,46)*100</f>
        <v>-36.58</v>
      </c>
      <c r="J23" s="51">
        <f>VLOOKUP($A23,'Data Vlaue (Cr)'!$C:$FB,59)</f>
        <v>417</v>
      </c>
      <c r="K23" s="51">
        <f>VLOOKUP($A23,'Data Vlaue (Cr)'!$C:$FB,60)</f>
        <v>690</v>
      </c>
      <c r="L23" s="51">
        <f>VLOOKUP($A23,'Data Vlaue (Cr)'!$C:$FB,62)*100</f>
        <v>-39.619999999999997</v>
      </c>
      <c r="M23" s="51">
        <f>VLOOKUP($A23,'Data Vlaue (Cr)'!$C:$FB,63)</f>
        <v>327</v>
      </c>
      <c r="N23" s="51">
        <f>VLOOKUP($A23,'Data Vlaue (Cr)'!$C:$FB,64)</f>
        <v>469</v>
      </c>
      <c r="O23" s="51">
        <f>VLOOKUP($A23,'Data Vlaue (Cr)'!$C:$FB,66)*100</f>
        <v>-30.409999999999997</v>
      </c>
    </row>
    <row r="24" spans="1:15" x14ac:dyDescent="0.25">
      <c r="A24" s="101" t="str">
        <f>'Data Vlaue (Cr)'!C19</f>
        <v>AUBANK</v>
      </c>
      <c r="B24" s="50">
        <f>VLOOKUP($A24,'Data Vlaue (Cr)'!$C:$FB,8)</f>
        <v>963</v>
      </c>
      <c r="C24" s="50">
        <f>VLOOKUP($A24,'Data Vlaue (Cr)'!$C:$FB,11)*100</f>
        <v>-0.5</v>
      </c>
      <c r="D24" s="50">
        <f>VLOOKUP($A24,'Data Vlaue (Cr)'!$C:$FB,143)</f>
        <v>1322.3</v>
      </c>
      <c r="E24" s="50">
        <f>VLOOKUP($A24,'Data Vlaue (Cr)'!$C:$FB,144)</f>
        <v>2885.12</v>
      </c>
      <c r="F24" s="50">
        <f>VLOOKUP($A24,'Data Vlaue (Cr)'!$C:$FB,146)*100</f>
        <v>-54.169999999999995</v>
      </c>
      <c r="G24" s="49">
        <f>VLOOKUP($A24,'Data Vlaue (Cr)'!$C:$FB,43)</f>
        <v>311</v>
      </c>
      <c r="H24" s="49">
        <f>VLOOKUP($A24,'Data Vlaue (Cr)'!$C:$FB,44)</f>
        <v>805</v>
      </c>
      <c r="I24" s="49">
        <f>VLOOKUP($A24,'Data Vlaue (Cr)'!$C:$FB,46)*100</f>
        <v>-61.38</v>
      </c>
      <c r="J24" s="51">
        <f>VLOOKUP($A24,'Data Vlaue (Cr)'!$C:$FB,59)</f>
        <v>564</v>
      </c>
      <c r="K24" s="51">
        <f>VLOOKUP($A24,'Data Vlaue (Cr)'!$C:$FB,60)</f>
        <v>1095</v>
      </c>
      <c r="L24" s="51">
        <f>VLOOKUP($A24,'Data Vlaue (Cr)'!$C:$FB,62)*100</f>
        <v>-48.53</v>
      </c>
      <c r="M24" s="51">
        <f>VLOOKUP($A24,'Data Vlaue (Cr)'!$C:$FB,63)</f>
        <v>427</v>
      </c>
      <c r="N24" s="51">
        <f>VLOOKUP($A24,'Data Vlaue (Cr)'!$C:$FB,64)</f>
        <v>997</v>
      </c>
      <c r="O24" s="51">
        <f>VLOOKUP($A24,'Data Vlaue (Cr)'!$C:$FB,66)*100</f>
        <v>-57.13</v>
      </c>
    </row>
    <row r="25" spans="1:15" x14ac:dyDescent="0.25">
      <c r="A25" s="101" t="str">
        <f>'Data Vlaue (Cr)'!C20</f>
        <v>AUROPHARMA</v>
      </c>
      <c r="B25" s="50">
        <f>VLOOKUP($A25,'Data Vlaue (Cr)'!$C:$FB,8)</f>
        <v>1340.4</v>
      </c>
      <c r="C25" s="50">
        <f>VLOOKUP($A25,'Data Vlaue (Cr)'!$C:$FB,11)*100</f>
        <v>0.35000000000000003</v>
      </c>
      <c r="D25" s="50">
        <f>VLOOKUP($A25,'Data Vlaue (Cr)'!$C:$FB,143)</f>
        <v>689.84</v>
      </c>
      <c r="E25" s="50">
        <f>VLOOKUP($A25,'Data Vlaue (Cr)'!$C:$FB,144)</f>
        <v>1399.16</v>
      </c>
      <c r="F25" s="50">
        <f>VLOOKUP($A25,'Data Vlaue (Cr)'!$C:$FB,146)*100</f>
        <v>-50.7</v>
      </c>
      <c r="G25" s="49">
        <f>VLOOKUP($A25,'Data Vlaue (Cr)'!$C:$FB,43)</f>
        <v>121</v>
      </c>
      <c r="H25" s="49">
        <f>VLOOKUP($A25,'Data Vlaue (Cr)'!$C:$FB,44)</f>
        <v>313</v>
      </c>
      <c r="I25" s="49">
        <f>VLOOKUP($A25,'Data Vlaue (Cr)'!$C:$FB,46)*100</f>
        <v>-61.33</v>
      </c>
      <c r="J25" s="51">
        <f>VLOOKUP($A25,'Data Vlaue (Cr)'!$C:$FB,59)</f>
        <v>371</v>
      </c>
      <c r="K25" s="51">
        <f>VLOOKUP($A25,'Data Vlaue (Cr)'!$C:$FB,60)</f>
        <v>678</v>
      </c>
      <c r="L25" s="51">
        <f>VLOOKUP($A25,'Data Vlaue (Cr)'!$C:$FB,62)*100</f>
        <v>-45.25</v>
      </c>
      <c r="M25" s="51">
        <f>VLOOKUP($A25,'Data Vlaue (Cr)'!$C:$FB,63)</f>
        <v>185</v>
      </c>
      <c r="N25" s="51">
        <f>VLOOKUP($A25,'Data Vlaue (Cr)'!$C:$FB,64)</f>
        <v>388</v>
      </c>
      <c r="O25" s="51">
        <f>VLOOKUP($A25,'Data Vlaue (Cr)'!$C:$FB,66)*100</f>
        <v>-52.38</v>
      </c>
    </row>
    <row r="26" spans="1:15" x14ac:dyDescent="0.25">
      <c r="A26" s="101" t="str">
        <f>'Data Vlaue (Cr)'!C21</f>
        <v>AXISBANK</v>
      </c>
      <c r="B26" s="50">
        <f>VLOOKUP($A26,'Data Vlaue (Cr)'!$C:$FB,8)</f>
        <v>1318.5</v>
      </c>
      <c r="C26" s="50">
        <f>VLOOKUP($A26,'Data Vlaue (Cr)'!$C:$FB,11)*100</f>
        <v>-1.0900000000000001</v>
      </c>
      <c r="D26" s="50">
        <f>VLOOKUP($A26,'Data Vlaue (Cr)'!$C:$FB,143)</f>
        <v>5016.3</v>
      </c>
      <c r="E26" s="50">
        <f>VLOOKUP($A26,'Data Vlaue (Cr)'!$C:$FB,144)</f>
        <v>7668.14</v>
      </c>
      <c r="F26" s="50">
        <f>VLOOKUP($A26,'Data Vlaue (Cr)'!$C:$FB,146)*100</f>
        <v>-34.58</v>
      </c>
      <c r="G26" s="49">
        <f>VLOOKUP($A26,'Data Vlaue (Cr)'!$C:$FB,43)</f>
        <v>962</v>
      </c>
      <c r="H26" s="49">
        <f>VLOOKUP($A26,'Data Vlaue (Cr)'!$C:$FB,44)</f>
        <v>1501</v>
      </c>
      <c r="I26" s="49">
        <f>VLOOKUP($A26,'Data Vlaue (Cr)'!$C:$FB,46)*100</f>
        <v>-35.94</v>
      </c>
      <c r="J26" s="51">
        <f>VLOOKUP($A26,'Data Vlaue (Cr)'!$C:$FB,59)</f>
        <v>1834</v>
      </c>
      <c r="K26" s="51">
        <f>VLOOKUP($A26,'Data Vlaue (Cr)'!$C:$FB,60)</f>
        <v>2995</v>
      </c>
      <c r="L26" s="51">
        <f>VLOOKUP($A26,'Data Vlaue (Cr)'!$C:$FB,62)*100</f>
        <v>-38.769999999999996</v>
      </c>
      <c r="M26" s="51">
        <f>VLOOKUP($A26,'Data Vlaue (Cr)'!$C:$FB,63)</f>
        <v>2203</v>
      </c>
      <c r="N26" s="51">
        <f>VLOOKUP($A26,'Data Vlaue (Cr)'!$C:$FB,64)</f>
        <v>3183</v>
      </c>
      <c r="O26" s="51">
        <f>VLOOKUP($A26,'Data Vlaue (Cr)'!$C:$FB,66)*100</f>
        <v>-30.8</v>
      </c>
    </row>
    <row r="27" spans="1:15" x14ac:dyDescent="0.25">
      <c r="A27" s="101" t="str">
        <f>'Data Vlaue (Cr)'!C22</f>
        <v>BAJAJ-AUTO</v>
      </c>
      <c r="B27" s="50">
        <f>VLOOKUP($A27,'Data Vlaue (Cr)'!$C:$FB,8)</f>
        <v>9517</v>
      </c>
      <c r="C27" s="50">
        <f>VLOOKUP($A27,'Data Vlaue (Cr)'!$C:$FB,11)*100</f>
        <v>1.6099999999999999</v>
      </c>
      <c r="D27" s="50">
        <f>VLOOKUP($A27,'Data Vlaue (Cr)'!$C:$FB,143)</f>
        <v>6078.71</v>
      </c>
      <c r="E27" s="50">
        <f>VLOOKUP($A27,'Data Vlaue (Cr)'!$C:$FB,144)</f>
        <v>2703.99</v>
      </c>
      <c r="F27" s="50">
        <f>VLOOKUP($A27,'Data Vlaue (Cr)'!$C:$FB,146)*100</f>
        <v>124.81</v>
      </c>
      <c r="G27" s="49">
        <f>VLOOKUP($A27,'Data Vlaue (Cr)'!$C:$FB,43)</f>
        <v>478</v>
      </c>
      <c r="H27" s="49">
        <f>VLOOKUP($A27,'Data Vlaue (Cr)'!$C:$FB,44)</f>
        <v>375</v>
      </c>
      <c r="I27" s="49">
        <f>VLOOKUP($A27,'Data Vlaue (Cr)'!$C:$FB,46)*100</f>
        <v>27.439999999999998</v>
      </c>
      <c r="J27" s="51">
        <f>VLOOKUP($A27,'Data Vlaue (Cr)'!$C:$FB,59)</f>
        <v>3833</v>
      </c>
      <c r="K27" s="51">
        <f>VLOOKUP($A27,'Data Vlaue (Cr)'!$C:$FB,60)</f>
        <v>1462</v>
      </c>
      <c r="L27" s="51">
        <f>VLOOKUP($A27,'Data Vlaue (Cr)'!$C:$FB,62)*100</f>
        <v>162.1</v>
      </c>
      <c r="M27" s="51">
        <f>VLOOKUP($A27,'Data Vlaue (Cr)'!$C:$FB,63)</f>
        <v>1622</v>
      </c>
      <c r="N27" s="51">
        <f>VLOOKUP($A27,'Data Vlaue (Cr)'!$C:$FB,64)</f>
        <v>863</v>
      </c>
      <c r="O27" s="51">
        <f>VLOOKUP($A27,'Data Vlaue (Cr)'!$C:$FB,66)*100</f>
        <v>87.85</v>
      </c>
    </row>
    <row r="28" spans="1:15" x14ac:dyDescent="0.25">
      <c r="A28" s="101" t="str">
        <f>'Data Vlaue (Cr)'!C23</f>
        <v>BAJAJFINSV</v>
      </c>
      <c r="B28" s="50">
        <f>VLOOKUP($A28,'Data Vlaue (Cr)'!$C:$FB,8)</f>
        <v>1767.7</v>
      </c>
      <c r="C28" s="50">
        <f>VLOOKUP($A28,'Data Vlaue (Cr)'!$C:$FB,11)*100</f>
        <v>-0.95</v>
      </c>
      <c r="D28" s="50">
        <f>VLOOKUP($A28,'Data Vlaue (Cr)'!$C:$FB,143)</f>
        <v>834.79</v>
      </c>
      <c r="E28" s="50">
        <f>VLOOKUP($A28,'Data Vlaue (Cr)'!$C:$FB,144)</f>
        <v>1678.35</v>
      </c>
      <c r="F28" s="50">
        <f>VLOOKUP($A28,'Data Vlaue (Cr)'!$C:$FB,146)*100</f>
        <v>-50.260000000000005</v>
      </c>
      <c r="G28" s="49">
        <f>VLOOKUP($A28,'Data Vlaue (Cr)'!$C:$FB,43)</f>
        <v>129</v>
      </c>
      <c r="H28" s="49">
        <f>VLOOKUP($A28,'Data Vlaue (Cr)'!$C:$FB,44)</f>
        <v>293</v>
      </c>
      <c r="I28" s="49">
        <f>VLOOKUP($A28,'Data Vlaue (Cr)'!$C:$FB,46)*100</f>
        <v>-56.07</v>
      </c>
      <c r="J28" s="51">
        <f>VLOOKUP($A28,'Data Vlaue (Cr)'!$C:$FB,59)</f>
        <v>359</v>
      </c>
      <c r="K28" s="51">
        <f>VLOOKUP($A28,'Data Vlaue (Cr)'!$C:$FB,60)</f>
        <v>847</v>
      </c>
      <c r="L28" s="51">
        <f>VLOOKUP($A28,'Data Vlaue (Cr)'!$C:$FB,62)*100</f>
        <v>-57.64</v>
      </c>
      <c r="M28" s="51">
        <f>VLOOKUP($A28,'Data Vlaue (Cr)'!$C:$FB,63)</f>
        <v>332</v>
      </c>
      <c r="N28" s="51">
        <f>VLOOKUP($A28,'Data Vlaue (Cr)'!$C:$FB,64)</f>
        <v>498</v>
      </c>
      <c r="O28" s="51">
        <f>VLOOKUP($A28,'Data Vlaue (Cr)'!$C:$FB,66)*100</f>
        <v>-33.21</v>
      </c>
    </row>
    <row r="29" spans="1:15" x14ac:dyDescent="0.25">
      <c r="A29" s="101" t="str">
        <f>'Data Vlaue (Cr)'!C24</f>
        <v>BAJAJHLDNG</v>
      </c>
      <c r="B29" s="50">
        <f>VLOOKUP($A29,'Data Vlaue (Cr)'!$C:$FB,8)</f>
        <v>9912.5</v>
      </c>
      <c r="C29" s="50">
        <f>VLOOKUP($A29,'Data Vlaue (Cr)'!$C:$FB,11)*100</f>
        <v>-0.57999999999999996</v>
      </c>
      <c r="D29" s="50">
        <f>VLOOKUP($A29,'Data Vlaue (Cr)'!$C:$FB,143)</f>
        <v>74.06</v>
      </c>
      <c r="E29" s="50">
        <f>VLOOKUP($A29,'Data Vlaue (Cr)'!$C:$FB,144)</f>
        <v>156.22999999999999</v>
      </c>
      <c r="F29" s="50">
        <f>VLOOKUP($A29,'Data Vlaue (Cr)'!$C:$FB,146)*100</f>
        <v>-52.6</v>
      </c>
      <c r="G29" s="49">
        <f>VLOOKUP($A29,'Data Vlaue (Cr)'!$C:$FB,43)</f>
        <v>35</v>
      </c>
      <c r="H29" s="49">
        <f>VLOOKUP($A29,'Data Vlaue (Cr)'!$C:$FB,44)</f>
        <v>56</v>
      </c>
      <c r="I29" s="49">
        <f>VLOOKUP($A29,'Data Vlaue (Cr)'!$C:$FB,46)*100</f>
        <v>-36.89</v>
      </c>
      <c r="J29" s="51">
        <f>VLOOKUP($A29,'Data Vlaue (Cr)'!$C:$FB,59)</f>
        <v>26</v>
      </c>
      <c r="K29" s="51">
        <f>VLOOKUP($A29,'Data Vlaue (Cr)'!$C:$FB,60)</f>
        <v>78</v>
      </c>
      <c r="L29" s="51">
        <f>VLOOKUP($A29,'Data Vlaue (Cr)'!$C:$FB,62)*100</f>
        <v>-66.73</v>
      </c>
      <c r="M29" s="51">
        <f>VLOOKUP($A29,'Data Vlaue (Cr)'!$C:$FB,63)</f>
        <v>12</v>
      </c>
      <c r="N29" s="51">
        <f>VLOOKUP($A29,'Data Vlaue (Cr)'!$C:$FB,64)</f>
        <v>20</v>
      </c>
      <c r="O29" s="51">
        <f>VLOOKUP($A29,'Data Vlaue (Cr)'!$C:$FB,66)*100</f>
        <v>-42.93</v>
      </c>
    </row>
    <row r="30" spans="1:15" x14ac:dyDescent="0.25">
      <c r="A30" s="101" t="str">
        <f>'Data Vlaue (Cr)'!C25</f>
        <v>BAJFINANCE</v>
      </c>
      <c r="B30" s="50">
        <f>VLOOKUP($A30,'Data Vlaue (Cr)'!$C:$FB,8)</f>
        <v>903.25</v>
      </c>
      <c r="C30" s="50">
        <f>VLOOKUP($A30,'Data Vlaue (Cr)'!$C:$FB,11)*100</f>
        <v>-1.29</v>
      </c>
      <c r="D30" s="50">
        <f>VLOOKUP($A30,'Data Vlaue (Cr)'!$C:$FB,143)</f>
        <v>3379.83</v>
      </c>
      <c r="E30" s="50">
        <f>VLOOKUP($A30,'Data Vlaue (Cr)'!$C:$FB,144)</f>
        <v>6815.35</v>
      </c>
      <c r="F30" s="50">
        <f>VLOOKUP($A30,'Data Vlaue (Cr)'!$C:$FB,146)*100</f>
        <v>-50.41</v>
      </c>
      <c r="G30" s="49">
        <f>VLOOKUP($A30,'Data Vlaue (Cr)'!$C:$FB,43)</f>
        <v>637</v>
      </c>
      <c r="H30" s="49">
        <f>VLOOKUP($A30,'Data Vlaue (Cr)'!$C:$FB,44)</f>
        <v>1283</v>
      </c>
      <c r="I30" s="49">
        <f>VLOOKUP($A30,'Data Vlaue (Cr)'!$C:$FB,46)*100</f>
        <v>-50.370000000000005</v>
      </c>
      <c r="J30" s="51">
        <f>VLOOKUP($A30,'Data Vlaue (Cr)'!$C:$FB,59)</f>
        <v>1418</v>
      </c>
      <c r="K30" s="51">
        <f>VLOOKUP($A30,'Data Vlaue (Cr)'!$C:$FB,60)</f>
        <v>3289</v>
      </c>
      <c r="L30" s="51">
        <f>VLOOKUP($A30,'Data Vlaue (Cr)'!$C:$FB,62)*100</f>
        <v>-56.879999999999995</v>
      </c>
      <c r="M30" s="51">
        <f>VLOOKUP($A30,'Data Vlaue (Cr)'!$C:$FB,63)</f>
        <v>1273</v>
      </c>
      <c r="N30" s="51">
        <f>VLOOKUP($A30,'Data Vlaue (Cr)'!$C:$FB,64)</f>
        <v>2127</v>
      </c>
      <c r="O30" s="51">
        <f>VLOOKUP($A30,'Data Vlaue (Cr)'!$C:$FB,66)*100</f>
        <v>-40.150000000000006</v>
      </c>
    </row>
    <row r="31" spans="1:15" x14ac:dyDescent="0.25">
      <c r="A31" s="101" t="str">
        <f>'Data Vlaue (Cr)'!C26</f>
        <v>BANDHANBNK</v>
      </c>
      <c r="B31" s="50">
        <f>VLOOKUP($A31,'Data Vlaue (Cr)'!$C:$FB,8)</f>
        <v>165.94</v>
      </c>
      <c r="C31" s="50">
        <f>VLOOKUP($A31,'Data Vlaue (Cr)'!$C:$FB,11)*100</f>
        <v>0.72</v>
      </c>
      <c r="D31" s="50">
        <f>VLOOKUP($A31,'Data Vlaue (Cr)'!$C:$FB,143)</f>
        <v>907.43</v>
      </c>
      <c r="E31" s="50">
        <f>VLOOKUP($A31,'Data Vlaue (Cr)'!$C:$FB,144)</f>
        <v>1753.04</v>
      </c>
      <c r="F31" s="50">
        <f>VLOOKUP($A31,'Data Vlaue (Cr)'!$C:$FB,146)*100</f>
        <v>-48.24</v>
      </c>
      <c r="G31" s="49">
        <f>VLOOKUP($A31,'Data Vlaue (Cr)'!$C:$FB,43)</f>
        <v>241</v>
      </c>
      <c r="H31" s="49">
        <f>VLOOKUP($A31,'Data Vlaue (Cr)'!$C:$FB,44)</f>
        <v>609</v>
      </c>
      <c r="I31" s="49">
        <f>VLOOKUP($A31,'Data Vlaue (Cr)'!$C:$FB,46)*100</f>
        <v>-60.39</v>
      </c>
      <c r="J31" s="51">
        <f>VLOOKUP($A31,'Data Vlaue (Cr)'!$C:$FB,59)</f>
        <v>391</v>
      </c>
      <c r="K31" s="51">
        <f>VLOOKUP($A31,'Data Vlaue (Cr)'!$C:$FB,60)</f>
        <v>703</v>
      </c>
      <c r="L31" s="51">
        <f>VLOOKUP($A31,'Data Vlaue (Cr)'!$C:$FB,62)*100</f>
        <v>-44.330000000000005</v>
      </c>
      <c r="M31" s="51">
        <f>VLOOKUP($A31,'Data Vlaue (Cr)'!$C:$FB,63)</f>
        <v>251</v>
      </c>
      <c r="N31" s="51">
        <f>VLOOKUP($A31,'Data Vlaue (Cr)'!$C:$FB,64)</f>
        <v>456</v>
      </c>
      <c r="O31" s="51">
        <f>VLOOKUP($A31,'Data Vlaue (Cr)'!$C:$FB,66)*100</f>
        <v>-45.04</v>
      </c>
    </row>
    <row r="32" spans="1:15" x14ac:dyDescent="0.25">
      <c r="A32" s="101" t="str">
        <f>'Data Vlaue (Cr)'!C27</f>
        <v>BANKBARODA</v>
      </c>
      <c r="B32" s="50">
        <f>VLOOKUP($A32,'Data Vlaue (Cr)'!$C:$FB,8)</f>
        <v>274.24</v>
      </c>
      <c r="C32" s="50">
        <f>VLOOKUP($A32,'Data Vlaue (Cr)'!$C:$FB,11)*100</f>
        <v>-0.63</v>
      </c>
      <c r="D32" s="50">
        <f>VLOOKUP($A32,'Data Vlaue (Cr)'!$C:$FB,143)</f>
        <v>2256.4499999999998</v>
      </c>
      <c r="E32" s="50">
        <f>VLOOKUP($A32,'Data Vlaue (Cr)'!$C:$FB,144)</f>
        <v>3521.24</v>
      </c>
      <c r="F32" s="50">
        <f>VLOOKUP($A32,'Data Vlaue (Cr)'!$C:$FB,146)*100</f>
        <v>-35.92</v>
      </c>
      <c r="G32" s="49">
        <f>VLOOKUP($A32,'Data Vlaue (Cr)'!$C:$FB,43)</f>
        <v>510</v>
      </c>
      <c r="H32" s="49">
        <f>VLOOKUP($A32,'Data Vlaue (Cr)'!$C:$FB,44)</f>
        <v>846</v>
      </c>
      <c r="I32" s="49">
        <f>VLOOKUP($A32,'Data Vlaue (Cr)'!$C:$FB,46)*100</f>
        <v>-39.69</v>
      </c>
      <c r="J32" s="51">
        <f>VLOOKUP($A32,'Data Vlaue (Cr)'!$C:$FB,59)</f>
        <v>989</v>
      </c>
      <c r="K32" s="51">
        <f>VLOOKUP($A32,'Data Vlaue (Cr)'!$C:$FB,60)</f>
        <v>1530</v>
      </c>
      <c r="L32" s="51">
        <f>VLOOKUP($A32,'Data Vlaue (Cr)'!$C:$FB,62)*100</f>
        <v>-35.370000000000005</v>
      </c>
      <c r="M32" s="51">
        <f>VLOOKUP($A32,'Data Vlaue (Cr)'!$C:$FB,63)</f>
        <v>693</v>
      </c>
      <c r="N32" s="51">
        <f>VLOOKUP($A32,'Data Vlaue (Cr)'!$C:$FB,64)</f>
        <v>1113</v>
      </c>
      <c r="O32" s="51">
        <f>VLOOKUP($A32,'Data Vlaue (Cr)'!$C:$FB,66)*100</f>
        <v>-37.74</v>
      </c>
    </row>
    <row r="33" spans="1:15" x14ac:dyDescent="0.25">
      <c r="A33" s="101" t="str">
        <f>'Data Vlaue (Cr)'!C28</f>
        <v>BANKINDIA</v>
      </c>
      <c r="B33" s="50">
        <f>VLOOKUP($A33,'Data Vlaue (Cr)'!$C:$FB,8)</f>
        <v>144.29</v>
      </c>
      <c r="C33" s="50">
        <f>VLOOKUP($A33,'Data Vlaue (Cr)'!$C:$FB,11)*100</f>
        <v>-1.5</v>
      </c>
      <c r="D33" s="50">
        <f>VLOOKUP($A33,'Data Vlaue (Cr)'!$C:$FB,143)</f>
        <v>666.6</v>
      </c>
      <c r="E33" s="50">
        <f>VLOOKUP($A33,'Data Vlaue (Cr)'!$C:$FB,144)</f>
        <v>1054.6600000000001</v>
      </c>
      <c r="F33" s="50">
        <f>VLOOKUP($A33,'Data Vlaue (Cr)'!$C:$FB,146)*100</f>
        <v>-36.799999999999997</v>
      </c>
      <c r="G33" s="49">
        <f>VLOOKUP($A33,'Data Vlaue (Cr)'!$C:$FB,43)</f>
        <v>229</v>
      </c>
      <c r="H33" s="49">
        <f>VLOOKUP($A33,'Data Vlaue (Cr)'!$C:$FB,44)</f>
        <v>394</v>
      </c>
      <c r="I33" s="49">
        <f>VLOOKUP($A33,'Data Vlaue (Cr)'!$C:$FB,46)*100</f>
        <v>-41.9</v>
      </c>
      <c r="J33" s="51">
        <f>VLOOKUP($A33,'Data Vlaue (Cr)'!$C:$FB,59)</f>
        <v>240</v>
      </c>
      <c r="K33" s="51">
        <f>VLOOKUP($A33,'Data Vlaue (Cr)'!$C:$FB,60)</f>
        <v>414</v>
      </c>
      <c r="L33" s="51">
        <f>VLOOKUP($A33,'Data Vlaue (Cr)'!$C:$FB,62)*100</f>
        <v>-42.16</v>
      </c>
      <c r="M33" s="51">
        <f>VLOOKUP($A33,'Data Vlaue (Cr)'!$C:$FB,63)</f>
        <v>179</v>
      </c>
      <c r="N33" s="51">
        <f>VLOOKUP($A33,'Data Vlaue (Cr)'!$C:$FB,64)</f>
        <v>218</v>
      </c>
      <c r="O33" s="51">
        <f>VLOOKUP($A33,'Data Vlaue (Cr)'!$C:$FB,66)*100</f>
        <v>-17.84</v>
      </c>
    </row>
    <row r="34" spans="1:15" x14ac:dyDescent="0.25">
      <c r="A34" s="101" t="str">
        <f>'Data Vlaue (Cr)'!C29</f>
        <v>BANKNIFTY</v>
      </c>
      <c r="B34" s="50">
        <f>VLOOKUP($A34,'Data Vlaue (Cr)'!$C:$FB,8)</f>
        <v>54821.7</v>
      </c>
      <c r="C34" s="50">
        <f>VLOOKUP($A34,'Data Vlaue (Cr)'!$C:$FB,11)*100</f>
        <v>-1.58</v>
      </c>
      <c r="D34" s="50">
        <f>VLOOKUP($A34,'Data Vlaue (Cr)'!$C:$FB,143)</f>
        <v>369258.52</v>
      </c>
      <c r="E34" s="50">
        <f>VLOOKUP($A34,'Data Vlaue (Cr)'!$C:$FB,144)</f>
        <v>491864.66</v>
      </c>
      <c r="F34" s="50">
        <f>VLOOKUP($A34,'Data Vlaue (Cr)'!$C:$FB,146)*100</f>
        <v>-24.93</v>
      </c>
      <c r="G34" s="49">
        <f>VLOOKUP($A34,'Data Vlaue (Cr)'!$C:$FB,43)</f>
        <v>6459</v>
      </c>
      <c r="H34" s="49">
        <f>VLOOKUP($A34,'Data Vlaue (Cr)'!$C:$FB,44)</f>
        <v>9829</v>
      </c>
      <c r="I34" s="49">
        <f>VLOOKUP($A34,'Data Vlaue (Cr)'!$C:$FB,46)*100</f>
        <v>-34.28</v>
      </c>
      <c r="J34" s="51">
        <f>VLOOKUP($A34,'Data Vlaue (Cr)'!$C:$FB,59)</f>
        <v>191116</v>
      </c>
      <c r="K34" s="51">
        <f>VLOOKUP($A34,'Data Vlaue (Cr)'!$C:$FB,60)</f>
        <v>282036</v>
      </c>
      <c r="L34" s="51">
        <f>VLOOKUP($A34,'Data Vlaue (Cr)'!$C:$FB,62)*100</f>
        <v>-32.24</v>
      </c>
      <c r="M34" s="51">
        <f>VLOOKUP($A34,'Data Vlaue (Cr)'!$C:$FB,63)</f>
        <v>164295</v>
      </c>
      <c r="N34" s="51">
        <f>VLOOKUP($A34,'Data Vlaue (Cr)'!$C:$FB,64)</f>
        <v>192088</v>
      </c>
      <c r="O34" s="51">
        <f>VLOOKUP($A34,'Data Vlaue (Cr)'!$C:$FB,66)*100</f>
        <v>-14.469999999999999</v>
      </c>
    </row>
    <row r="35" spans="1:15" x14ac:dyDescent="0.25">
      <c r="A35" s="101" t="str">
        <f>'Data Vlaue (Cr)'!C30</f>
        <v>BDL</v>
      </c>
      <c r="B35" s="50">
        <f>VLOOKUP($A35,'Data Vlaue (Cr)'!$C:$FB,8)</f>
        <v>1325.5</v>
      </c>
      <c r="C35" s="50">
        <f>VLOOKUP($A35,'Data Vlaue (Cr)'!$C:$FB,11)*100</f>
        <v>2.64</v>
      </c>
      <c r="D35" s="50">
        <f>VLOOKUP($A35,'Data Vlaue (Cr)'!$C:$FB,143)</f>
        <v>1786.37</v>
      </c>
      <c r="E35" s="50">
        <f>VLOOKUP($A35,'Data Vlaue (Cr)'!$C:$FB,144)</f>
        <v>1340.73</v>
      </c>
      <c r="F35" s="50">
        <f>VLOOKUP($A35,'Data Vlaue (Cr)'!$C:$FB,146)*100</f>
        <v>33.239999999999995</v>
      </c>
      <c r="G35" s="49">
        <f>VLOOKUP($A35,'Data Vlaue (Cr)'!$C:$FB,43)</f>
        <v>287</v>
      </c>
      <c r="H35" s="49">
        <f>VLOOKUP($A35,'Data Vlaue (Cr)'!$C:$FB,44)</f>
        <v>186</v>
      </c>
      <c r="I35" s="49">
        <f>VLOOKUP($A35,'Data Vlaue (Cr)'!$C:$FB,46)*100</f>
        <v>54.55</v>
      </c>
      <c r="J35" s="51">
        <f>VLOOKUP($A35,'Data Vlaue (Cr)'!$C:$FB,59)</f>
        <v>915</v>
      </c>
      <c r="K35" s="51">
        <f>VLOOKUP($A35,'Data Vlaue (Cr)'!$C:$FB,60)</f>
        <v>631</v>
      </c>
      <c r="L35" s="51">
        <f>VLOOKUP($A35,'Data Vlaue (Cr)'!$C:$FB,62)*100</f>
        <v>44.97</v>
      </c>
      <c r="M35" s="51">
        <f>VLOOKUP($A35,'Data Vlaue (Cr)'!$C:$FB,63)</f>
        <v>589</v>
      </c>
      <c r="N35" s="51">
        <f>VLOOKUP($A35,'Data Vlaue (Cr)'!$C:$FB,64)</f>
        <v>595</v>
      </c>
      <c r="O35" s="51">
        <f>VLOOKUP($A35,'Data Vlaue (Cr)'!$C:$FB,66)*100</f>
        <v>-1.04</v>
      </c>
    </row>
    <row r="36" spans="1:15" x14ac:dyDescent="0.25">
      <c r="A36" s="101" t="str">
        <f>'Data Vlaue (Cr)'!C31</f>
        <v>BEL</v>
      </c>
      <c r="B36" s="50">
        <f>VLOOKUP($A36,'Data Vlaue (Cr)'!$C:$FB,8)</f>
        <v>439.75</v>
      </c>
      <c r="C36" s="50">
        <f>VLOOKUP($A36,'Data Vlaue (Cr)'!$C:$FB,11)*100</f>
        <v>1.54</v>
      </c>
      <c r="D36" s="50">
        <f>VLOOKUP($A36,'Data Vlaue (Cr)'!$C:$FB,143)</f>
        <v>6099.41</v>
      </c>
      <c r="E36" s="50">
        <f>VLOOKUP($A36,'Data Vlaue (Cr)'!$C:$FB,144)</f>
        <v>4994.46</v>
      </c>
      <c r="F36" s="50">
        <f>VLOOKUP($A36,'Data Vlaue (Cr)'!$C:$FB,146)*100</f>
        <v>22.12</v>
      </c>
      <c r="G36" s="49">
        <f>VLOOKUP($A36,'Data Vlaue (Cr)'!$C:$FB,43)</f>
        <v>807</v>
      </c>
      <c r="H36" s="49">
        <f>VLOOKUP($A36,'Data Vlaue (Cr)'!$C:$FB,44)</f>
        <v>980</v>
      </c>
      <c r="I36" s="49">
        <f>VLOOKUP($A36,'Data Vlaue (Cr)'!$C:$FB,46)*100</f>
        <v>-17.7</v>
      </c>
      <c r="J36" s="51">
        <f>VLOOKUP($A36,'Data Vlaue (Cr)'!$C:$FB,59)</f>
        <v>3663</v>
      </c>
      <c r="K36" s="51">
        <f>VLOOKUP($A36,'Data Vlaue (Cr)'!$C:$FB,60)</f>
        <v>2679</v>
      </c>
      <c r="L36" s="51">
        <f>VLOOKUP($A36,'Data Vlaue (Cr)'!$C:$FB,62)*100</f>
        <v>36.71</v>
      </c>
      <c r="M36" s="51">
        <f>VLOOKUP($A36,'Data Vlaue (Cr)'!$C:$FB,63)</f>
        <v>1475</v>
      </c>
      <c r="N36" s="51">
        <f>VLOOKUP($A36,'Data Vlaue (Cr)'!$C:$FB,64)</f>
        <v>1316</v>
      </c>
      <c r="O36" s="51">
        <f>VLOOKUP($A36,'Data Vlaue (Cr)'!$C:$FB,66)*100</f>
        <v>12.06</v>
      </c>
    </row>
    <row r="37" spans="1:15" x14ac:dyDescent="0.25">
      <c r="A37" s="101" t="str">
        <f>'Data Vlaue (Cr)'!C32</f>
        <v>BHARATFORG</v>
      </c>
      <c r="B37" s="50">
        <f>VLOOKUP($A37,'Data Vlaue (Cr)'!$C:$FB,8)</f>
        <v>1739.4</v>
      </c>
      <c r="C37" s="50">
        <f>VLOOKUP($A37,'Data Vlaue (Cr)'!$C:$FB,11)*100</f>
        <v>-2.36</v>
      </c>
      <c r="D37" s="50">
        <f>VLOOKUP($A37,'Data Vlaue (Cr)'!$C:$FB,143)</f>
        <v>1341.05</v>
      </c>
      <c r="E37" s="50">
        <f>VLOOKUP($A37,'Data Vlaue (Cr)'!$C:$FB,144)</f>
        <v>2164.39</v>
      </c>
      <c r="F37" s="50">
        <f>VLOOKUP($A37,'Data Vlaue (Cr)'!$C:$FB,146)*100</f>
        <v>-38.04</v>
      </c>
      <c r="G37" s="49">
        <f>VLOOKUP($A37,'Data Vlaue (Cr)'!$C:$FB,43)</f>
        <v>302</v>
      </c>
      <c r="H37" s="49">
        <f>VLOOKUP($A37,'Data Vlaue (Cr)'!$C:$FB,44)</f>
        <v>501</v>
      </c>
      <c r="I37" s="49">
        <f>VLOOKUP($A37,'Data Vlaue (Cr)'!$C:$FB,46)*100</f>
        <v>-39.660000000000004</v>
      </c>
      <c r="J37" s="51">
        <f>VLOOKUP($A37,'Data Vlaue (Cr)'!$C:$FB,59)</f>
        <v>638</v>
      </c>
      <c r="K37" s="51">
        <f>VLOOKUP($A37,'Data Vlaue (Cr)'!$C:$FB,60)</f>
        <v>1102</v>
      </c>
      <c r="L37" s="51">
        <f>VLOOKUP($A37,'Data Vlaue (Cr)'!$C:$FB,62)*100</f>
        <v>-42.08</v>
      </c>
      <c r="M37" s="51">
        <f>VLOOKUP($A37,'Data Vlaue (Cr)'!$C:$FB,63)</f>
        <v>362</v>
      </c>
      <c r="N37" s="51">
        <f>VLOOKUP($A37,'Data Vlaue (Cr)'!$C:$FB,64)</f>
        <v>489</v>
      </c>
      <c r="O37" s="51">
        <f>VLOOKUP($A37,'Data Vlaue (Cr)'!$C:$FB,66)*100</f>
        <v>-26.090000000000003</v>
      </c>
    </row>
    <row r="38" spans="1:15" x14ac:dyDescent="0.25">
      <c r="A38" s="101" t="str">
        <f>'Data Vlaue (Cr)'!C33</f>
        <v>BHARTIARTL</v>
      </c>
      <c r="B38" s="50">
        <f>VLOOKUP($A38,'Data Vlaue (Cr)'!$C:$FB,8)</f>
        <v>1859.4</v>
      </c>
      <c r="C38" s="50">
        <f>VLOOKUP($A38,'Data Vlaue (Cr)'!$C:$FB,11)*100</f>
        <v>-0.12</v>
      </c>
      <c r="D38" s="50">
        <f>VLOOKUP($A38,'Data Vlaue (Cr)'!$C:$FB,143)</f>
        <v>3979.36</v>
      </c>
      <c r="E38" s="50">
        <f>VLOOKUP($A38,'Data Vlaue (Cr)'!$C:$FB,144)</f>
        <v>7817.87</v>
      </c>
      <c r="F38" s="50">
        <f>VLOOKUP($A38,'Data Vlaue (Cr)'!$C:$FB,146)*100</f>
        <v>-49.1</v>
      </c>
      <c r="G38" s="49">
        <f>VLOOKUP($A38,'Data Vlaue (Cr)'!$C:$FB,43)</f>
        <v>735</v>
      </c>
      <c r="H38" s="49">
        <f>VLOOKUP($A38,'Data Vlaue (Cr)'!$C:$FB,44)</f>
        <v>1063</v>
      </c>
      <c r="I38" s="49">
        <f>VLOOKUP($A38,'Data Vlaue (Cr)'!$C:$FB,46)*100</f>
        <v>-30.84</v>
      </c>
      <c r="J38" s="51">
        <f>VLOOKUP($A38,'Data Vlaue (Cr)'!$C:$FB,59)</f>
        <v>2034</v>
      </c>
      <c r="K38" s="51">
        <f>VLOOKUP($A38,'Data Vlaue (Cr)'!$C:$FB,60)</f>
        <v>4726</v>
      </c>
      <c r="L38" s="51">
        <f>VLOOKUP($A38,'Data Vlaue (Cr)'!$C:$FB,62)*100</f>
        <v>-56.96</v>
      </c>
      <c r="M38" s="51">
        <f>VLOOKUP($A38,'Data Vlaue (Cr)'!$C:$FB,63)</f>
        <v>1154</v>
      </c>
      <c r="N38" s="51">
        <f>VLOOKUP($A38,'Data Vlaue (Cr)'!$C:$FB,64)</f>
        <v>1924</v>
      </c>
      <c r="O38" s="51">
        <f>VLOOKUP($A38,'Data Vlaue (Cr)'!$C:$FB,66)*100</f>
        <v>-40.01</v>
      </c>
    </row>
    <row r="39" spans="1:15" x14ac:dyDescent="0.25">
      <c r="A39" s="101" t="str">
        <f>'Data Vlaue (Cr)'!C34</f>
        <v>BHEL</v>
      </c>
      <c r="B39" s="50">
        <f>VLOOKUP($A39,'Data Vlaue (Cr)'!$C:$FB,8)</f>
        <v>277.2</v>
      </c>
      <c r="C39" s="50">
        <f>VLOOKUP($A39,'Data Vlaue (Cr)'!$C:$FB,11)*100</f>
        <v>4.33</v>
      </c>
      <c r="D39" s="50">
        <f>VLOOKUP($A39,'Data Vlaue (Cr)'!$C:$FB,143)</f>
        <v>6250.68</v>
      </c>
      <c r="E39" s="50">
        <f>VLOOKUP($A39,'Data Vlaue (Cr)'!$C:$FB,144)</f>
        <v>2672.61</v>
      </c>
      <c r="F39" s="50">
        <f>VLOOKUP($A39,'Data Vlaue (Cr)'!$C:$FB,146)*100</f>
        <v>133.88</v>
      </c>
      <c r="G39" s="49">
        <f>VLOOKUP($A39,'Data Vlaue (Cr)'!$C:$FB,43)</f>
        <v>925</v>
      </c>
      <c r="H39" s="49">
        <f>VLOOKUP($A39,'Data Vlaue (Cr)'!$C:$FB,44)</f>
        <v>629</v>
      </c>
      <c r="I39" s="49">
        <f>VLOOKUP($A39,'Data Vlaue (Cr)'!$C:$FB,46)*100</f>
        <v>47.05</v>
      </c>
      <c r="J39" s="51">
        <f>VLOOKUP($A39,'Data Vlaue (Cr)'!$C:$FB,59)</f>
        <v>3670</v>
      </c>
      <c r="K39" s="51">
        <f>VLOOKUP($A39,'Data Vlaue (Cr)'!$C:$FB,60)</f>
        <v>1382</v>
      </c>
      <c r="L39" s="51">
        <f>VLOOKUP($A39,'Data Vlaue (Cr)'!$C:$FB,62)*100</f>
        <v>165.66</v>
      </c>
      <c r="M39" s="51">
        <f>VLOOKUP($A39,'Data Vlaue (Cr)'!$C:$FB,63)</f>
        <v>1525</v>
      </c>
      <c r="N39" s="51">
        <f>VLOOKUP($A39,'Data Vlaue (Cr)'!$C:$FB,64)</f>
        <v>726</v>
      </c>
      <c r="O39" s="51">
        <f>VLOOKUP($A39,'Data Vlaue (Cr)'!$C:$FB,66)*100</f>
        <v>110.16</v>
      </c>
    </row>
    <row r="40" spans="1:15" x14ac:dyDescent="0.25">
      <c r="A40" s="101" t="str">
        <f>'Data Vlaue (Cr)'!C35</f>
        <v>BIOCON</v>
      </c>
      <c r="B40" s="50">
        <f>VLOOKUP($A40,'Data Vlaue (Cr)'!$C:$FB,8)</f>
        <v>345.7</v>
      </c>
      <c r="C40" s="50">
        <f>VLOOKUP($A40,'Data Vlaue (Cr)'!$C:$FB,11)*100</f>
        <v>-1.17</v>
      </c>
      <c r="D40" s="50">
        <f>VLOOKUP($A40,'Data Vlaue (Cr)'!$C:$FB,143)</f>
        <v>920.06</v>
      </c>
      <c r="E40" s="50">
        <f>VLOOKUP($A40,'Data Vlaue (Cr)'!$C:$FB,144)</f>
        <v>2224.62</v>
      </c>
      <c r="F40" s="50">
        <f>VLOOKUP($A40,'Data Vlaue (Cr)'!$C:$FB,146)*100</f>
        <v>-58.64</v>
      </c>
      <c r="G40" s="49">
        <f>VLOOKUP($A40,'Data Vlaue (Cr)'!$C:$FB,43)</f>
        <v>232</v>
      </c>
      <c r="H40" s="49">
        <f>VLOOKUP($A40,'Data Vlaue (Cr)'!$C:$FB,44)</f>
        <v>467</v>
      </c>
      <c r="I40" s="49">
        <f>VLOOKUP($A40,'Data Vlaue (Cr)'!$C:$FB,46)*100</f>
        <v>-50.27</v>
      </c>
      <c r="J40" s="51">
        <f>VLOOKUP($A40,'Data Vlaue (Cr)'!$C:$FB,59)</f>
        <v>465</v>
      </c>
      <c r="K40" s="51">
        <f>VLOOKUP($A40,'Data Vlaue (Cr)'!$C:$FB,60)</f>
        <v>1076</v>
      </c>
      <c r="L40" s="51">
        <f>VLOOKUP($A40,'Data Vlaue (Cr)'!$C:$FB,62)*100</f>
        <v>-56.75</v>
      </c>
      <c r="M40" s="51">
        <f>VLOOKUP($A40,'Data Vlaue (Cr)'!$C:$FB,63)</f>
        <v>187</v>
      </c>
      <c r="N40" s="51">
        <f>VLOOKUP($A40,'Data Vlaue (Cr)'!$C:$FB,64)</f>
        <v>591</v>
      </c>
      <c r="O40" s="51">
        <f>VLOOKUP($A40,'Data Vlaue (Cr)'!$C:$FB,66)*100</f>
        <v>-68.349999999999994</v>
      </c>
    </row>
    <row r="41" spans="1:15" x14ac:dyDescent="0.25">
      <c r="A41" s="101" t="str">
        <f>'Data Vlaue (Cr)'!C36</f>
        <v>BLUESTARCO</v>
      </c>
      <c r="B41" s="50">
        <f>VLOOKUP($A41,'Data Vlaue (Cr)'!$C:$FB,8)</f>
        <v>1655.6</v>
      </c>
      <c r="C41" s="50">
        <f>VLOOKUP($A41,'Data Vlaue (Cr)'!$C:$FB,11)*100</f>
        <v>2.2399999999999998</v>
      </c>
      <c r="D41" s="50">
        <f>VLOOKUP($A41,'Data Vlaue (Cr)'!$C:$FB,143)</f>
        <v>643.01</v>
      </c>
      <c r="E41" s="50">
        <f>VLOOKUP($A41,'Data Vlaue (Cr)'!$C:$FB,144)</f>
        <v>794.29</v>
      </c>
      <c r="F41" s="50">
        <f>VLOOKUP($A41,'Data Vlaue (Cr)'!$C:$FB,146)*100</f>
        <v>-19.05</v>
      </c>
      <c r="G41" s="49">
        <f>VLOOKUP($A41,'Data Vlaue (Cr)'!$C:$FB,43)</f>
        <v>203</v>
      </c>
      <c r="H41" s="49">
        <f>VLOOKUP($A41,'Data Vlaue (Cr)'!$C:$FB,44)</f>
        <v>227</v>
      </c>
      <c r="I41" s="49">
        <f>VLOOKUP($A41,'Data Vlaue (Cr)'!$C:$FB,46)*100</f>
        <v>-10.79</v>
      </c>
      <c r="J41" s="51">
        <f>VLOOKUP($A41,'Data Vlaue (Cr)'!$C:$FB,59)</f>
        <v>313</v>
      </c>
      <c r="K41" s="51">
        <f>VLOOKUP($A41,'Data Vlaue (Cr)'!$C:$FB,60)</f>
        <v>338</v>
      </c>
      <c r="L41" s="51">
        <f>VLOOKUP($A41,'Data Vlaue (Cr)'!$C:$FB,62)*100</f>
        <v>-7.3800000000000008</v>
      </c>
      <c r="M41" s="51">
        <f>VLOOKUP($A41,'Data Vlaue (Cr)'!$C:$FB,63)</f>
        <v>111</v>
      </c>
      <c r="N41" s="51">
        <f>VLOOKUP($A41,'Data Vlaue (Cr)'!$C:$FB,64)</f>
        <v>232</v>
      </c>
      <c r="O41" s="51">
        <f>VLOOKUP($A41,'Data Vlaue (Cr)'!$C:$FB,66)*100</f>
        <v>-52.2</v>
      </c>
    </row>
    <row r="42" spans="1:15" x14ac:dyDescent="0.25">
      <c r="A42" s="101" t="str">
        <f>'Data Vlaue (Cr)'!C37</f>
        <v>BOSCHLTD</v>
      </c>
      <c r="B42" s="50">
        <f>VLOOKUP($A42,'Data Vlaue (Cr)'!$C:$FB,8)</f>
        <v>36770</v>
      </c>
      <c r="C42" s="50">
        <f>VLOOKUP($A42,'Data Vlaue (Cr)'!$C:$FB,11)*100</f>
        <v>2.3199999999999998</v>
      </c>
      <c r="D42" s="50">
        <f>VLOOKUP($A42,'Data Vlaue (Cr)'!$C:$FB,143)</f>
        <v>9060.69</v>
      </c>
      <c r="E42" s="50">
        <f>VLOOKUP($A42,'Data Vlaue (Cr)'!$C:$FB,144)</f>
        <v>4828.9399999999996</v>
      </c>
      <c r="F42" s="50">
        <f>VLOOKUP($A42,'Data Vlaue (Cr)'!$C:$FB,146)*100</f>
        <v>87.63</v>
      </c>
      <c r="G42" s="49">
        <f>VLOOKUP($A42,'Data Vlaue (Cr)'!$C:$FB,43)</f>
        <v>1026</v>
      </c>
      <c r="H42" s="49">
        <f>VLOOKUP($A42,'Data Vlaue (Cr)'!$C:$FB,44)</f>
        <v>592</v>
      </c>
      <c r="I42" s="49">
        <f>VLOOKUP($A42,'Data Vlaue (Cr)'!$C:$FB,46)*100</f>
        <v>73.25</v>
      </c>
      <c r="J42" s="51">
        <f>VLOOKUP($A42,'Data Vlaue (Cr)'!$C:$FB,59)</f>
        <v>5747</v>
      </c>
      <c r="K42" s="51">
        <f>VLOOKUP($A42,'Data Vlaue (Cr)'!$C:$FB,60)</f>
        <v>3251</v>
      </c>
      <c r="L42" s="51">
        <f>VLOOKUP($A42,'Data Vlaue (Cr)'!$C:$FB,62)*100</f>
        <v>76.78</v>
      </c>
      <c r="M42" s="51">
        <f>VLOOKUP($A42,'Data Vlaue (Cr)'!$C:$FB,63)</f>
        <v>1910</v>
      </c>
      <c r="N42" s="51">
        <f>VLOOKUP($A42,'Data Vlaue (Cr)'!$C:$FB,64)</f>
        <v>920</v>
      </c>
      <c r="O42" s="51">
        <f>VLOOKUP($A42,'Data Vlaue (Cr)'!$C:$FB,66)*100</f>
        <v>107.53999999999999</v>
      </c>
    </row>
    <row r="43" spans="1:15" x14ac:dyDescent="0.25">
      <c r="A43" s="101" t="str">
        <f>'Data Vlaue (Cr)'!C38</f>
        <v>BPCL</v>
      </c>
      <c r="B43" s="50">
        <f>VLOOKUP($A43,'Data Vlaue (Cr)'!$C:$FB,8)</f>
        <v>297.35000000000002</v>
      </c>
      <c r="C43" s="50">
        <f>VLOOKUP($A43,'Data Vlaue (Cr)'!$C:$FB,11)*100</f>
        <v>-0.25</v>
      </c>
      <c r="D43" s="50">
        <f>VLOOKUP($A43,'Data Vlaue (Cr)'!$C:$FB,143)</f>
        <v>1657.76</v>
      </c>
      <c r="E43" s="50">
        <f>VLOOKUP($A43,'Data Vlaue (Cr)'!$C:$FB,144)</f>
        <v>3503.59</v>
      </c>
      <c r="F43" s="50">
        <f>VLOOKUP($A43,'Data Vlaue (Cr)'!$C:$FB,146)*100</f>
        <v>-52.680000000000007</v>
      </c>
      <c r="G43" s="49">
        <f>VLOOKUP($A43,'Data Vlaue (Cr)'!$C:$FB,43)</f>
        <v>360</v>
      </c>
      <c r="H43" s="49">
        <f>VLOOKUP($A43,'Data Vlaue (Cr)'!$C:$FB,44)</f>
        <v>642</v>
      </c>
      <c r="I43" s="49">
        <f>VLOOKUP($A43,'Data Vlaue (Cr)'!$C:$FB,46)*100</f>
        <v>-43.85</v>
      </c>
      <c r="J43" s="51">
        <f>VLOOKUP($A43,'Data Vlaue (Cr)'!$C:$FB,59)</f>
        <v>736</v>
      </c>
      <c r="K43" s="51">
        <f>VLOOKUP($A43,'Data Vlaue (Cr)'!$C:$FB,60)</f>
        <v>1920</v>
      </c>
      <c r="L43" s="51">
        <f>VLOOKUP($A43,'Data Vlaue (Cr)'!$C:$FB,62)*100</f>
        <v>-61.660000000000004</v>
      </c>
      <c r="M43" s="51">
        <f>VLOOKUP($A43,'Data Vlaue (Cr)'!$C:$FB,63)</f>
        <v>515</v>
      </c>
      <c r="N43" s="51">
        <f>VLOOKUP($A43,'Data Vlaue (Cr)'!$C:$FB,64)</f>
        <v>842</v>
      </c>
      <c r="O43" s="51">
        <f>VLOOKUP($A43,'Data Vlaue (Cr)'!$C:$FB,66)*100</f>
        <v>-38.81</v>
      </c>
    </row>
    <row r="44" spans="1:15" x14ac:dyDescent="0.25">
      <c r="A44" s="101" t="str">
        <f>'Data Vlaue (Cr)'!C39</f>
        <v>BRITANNIA</v>
      </c>
      <c r="B44" s="50">
        <f>VLOOKUP($A44,'Data Vlaue (Cr)'!$C:$FB,8)</f>
        <v>5475</v>
      </c>
      <c r="C44" s="50">
        <f>VLOOKUP($A44,'Data Vlaue (Cr)'!$C:$FB,11)*100</f>
        <v>-2.1399999999999997</v>
      </c>
      <c r="D44" s="50">
        <f>VLOOKUP($A44,'Data Vlaue (Cr)'!$C:$FB,143)</f>
        <v>2026.66</v>
      </c>
      <c r="E44" s="50">
        <f>VLOOKUP($A44,'Data Vlaue (Cr)'!$C:$FB,144)</f>
        <v>772.94</v>
      </c>
      <c r="F44" s="50">
        <f>VLOOKUP($A44,'Data Vlaue (Cr)'!$C:$FB,146)*100</f>
        <v>162.20000000000002</v>
      </c>
      <c r="G44" s="49">
        <f>VLOOKUP($A44,'Data Vlaue (Cr)'!$C:$FB,43)</f>
        <v>515</v>
      </c>
      <c r="H44" s="49">
        <f>VLOOKUP($A44,'Data Vlaue (Cr)'!$C:$FB,44)</f>
        <v>154</v>
      </c>
      <c r="I44" s="49">
        <f>VLOOKUP($A44,'Data Vlaue (Cr)'!$C:$FB,46)*100</f>
        <v>233.32999999999998</v>
      </c>
      <c r="J44" s="51">
        <f>VLOOKUP($A44,'Data Vlaue (Cr)'!$C:$FB,59)</f>
        <v>875</v>
      </c>
      <c r="K44" s="51">
        <f>VLOOKUP($A44,'Data Vlaue (Cr)'!$C:$FB,60)</f>
        <v>421</v>
      </c>
      <c r="L44" s="51">
        <f>VLOOKUP($A44,'Data Vlaue (Cr)'!$C:$FB,62)*100</f>
        <v>107.67999999999999</v>
      </c>
      <c r="M44" s="51">
        <f>VLOOKUP($A44,'Data Vlaue (Cr)'!$C:$FB,63)</f>
        <v>596</v>
      </c>
      <c r="N44" s="51">
        <f>VLOOKUP($A44,'Data Vlaue (Cr)'!$C:$FB,64)</f>
        <v>165</v>
      </c>
      <c r="O44" s="51">
        <f>VLOOKUP($A44,'Data Vlaue (Cr)'!$C:$FB,66)*100</f>
        <v>262.04999999999995</v>
      </c>
    </row>
    <row r="45" spans="1:15" x14ac:dyDescent="0.25">
      <c r="A45" s="101" t="str">
        <f>'Data Vlaue (Cr)'!C40</f>
        <v>BSE</v>
      </c>
      <c r="B45" s="50">
        <f>VLOOKUP($A45,'Data Vlaue (Cr)'!$C:$FB,8)</f>
        <v>3257.4</v>
      </c>
      <c r="C45" s="50">
        <f>VLOOKUP($A45,'Data Vlaue (Cr)'!$C:$FB,11)*100</f>
        <v>2.96</v>
      </c>
      <c r="D45" s="50">
        <f>VLOOKUP($A45,'Data Vlaue (Cr)'!$C:$FB,143)</f>
        <v>13337.14</v>
      </c>
      <c r="E45" s="50">
        <f>VLOOKUP($A45,'Data Vlaue (Cr)'!$C:$FB,144)</f>
        <v>15029.39</v>
      </c>
      <c r="F45" s="50">
        <f>VLOOKUP($A45,'Data Vlaue (Cr)'!$C:$FB,146)*100</f>
        <v>-11.26</v>
      </c>
      <c r="G45" s="49">
        <f>VLOOKUP($A45,'Data Vlaue (Cr)'!$C:$FB,43)</f>
        <v>1468</v>
      </c>
      <c r="H45" s="49">
        <f>VLOOKUP($A45,'Data Vlaue (Cr)'!$C:$FB,44)</f>
        <v>1841</v>
      </c>
      <c r="I45" s="49">
        <f>VLOOKUP($A45,'Data Vlaue (Cr)'!$C:$FB,46)*100</f>
        <v>-20.27</v>
      </c>
      <c r="J45" s="51">
        <f>VLOOKUP($A45,'Data Vlaue (Cr)'!$C:$FB,59)</f>
        <v>7610</v>
      </c>
      <c r="K45" s="51">
        <f>VLOOKUP($A45,'Data Vlaue (Cr)'!$C:$FB,60)</f>
        <v>8731</v>
      </c>
      <c r="L45" s="51">
        <f>VLOOKUP($A45,'Data Vlaue (Cr)'!$C:$FB,62)*100</f>
        <v>-12.839999999999998</v>
      </c>
      <c r="M45" s="51">
        <f>VLOOKUP($A45,'Data Vlaue (Cr)'!$C:$FB,63)</f>
        <v>4081</v>
      </c>
      <c r="N45" s="51">
        <f>VLOOKUP($A45,'Data Vlaue (Cr)'!$C:$FB,64)</f>
        <v>4736</v>
      </c>
      <c r="O45" s="51">
        <f>VLOOKUP($A45,'Data Vlaue (Cr)'!$C:$FB,66)*100</f>
        <v>-13.83</v>
      </c>
    </row>
    <row r="46" spans="1:15" x14ac:dyDescent="0.25">
      <c r="A46" s="101" t="str">
        <f>'Data Vlaue (Cr)'!C41</f>
        <v>CAMS</v>
      </c>
      <c r="B46" s="50">
        <f>VLOOKUP($A46,'Data Vlaue (Cr)'!$C:$FB,8)</f>
        <v>699.05</v>
      </c>
      <c r="C46" s="50">
        <f>VLOOKUP($A46,'Data Vlaue (Cr)'!$C:$FB,11)*100</f>
        <v>-0.82000000000000006</v>
      </c>
      <c r="D46" s="50">
        <f>VLOOKUP($A46,'Data Vlaue (Cr)'!$C:$FB,143)</f>
        <v>594.48</v>
      </c>
      <c r="E46" s="50">
        <f>VLOOKUP($A46,'Data Vlaue (Cr)'!$C:$FB,144)</f>
        <v>522.75</v>
      </c>
      <c r="F46" s="50">
        <f>VLOOKUP($A46,'Data Vlaue (Cr)'!$C:$FB,146)*100</f>
        <v>13.719999999999999</v>
      </c>
      <c r="G46" s="49">
        <f>VLOOKUP($A46,'Data Vlaue (Cr)'!$C:$FB,43)</f>
        <v>154</v>
      </c>
      <c r="H46" s="49">
        <f>VLOOKUP($A46,'Data Vlaue (Cr)'!$C:$FB,44)</f>
        <v>164</v>
      </c>
      <c r="I46" s="49">
        <f>VLOOKUP($A46,'Data Vlaue (Cr)'!$C:$FB,46)*100</f>
        <v>-6.0600000000000005</v>
      </c>
      <c r="J46" s="51">
        <f>VLOOKUP($A46,'Data Vlaue (Cr)'!$C:$FB,59)</f>
        <v>289</v>
      </c>
      <c r="K46" s="51">
        <f>VLOOKUP($A46,'Data Vlaue (Cr)'!$C:$FB,60)</f>
        <v>226</v>
      </c>
      <c r="L46" s="51">
        <f>VLOOKUP($A46,'Data Vlaue (Cr)'!$C:$FB,62)*100</f>
        <v>27.96</v>
      </c>
      <c r="M46" s="51">
        <f>VLOOKUP($A46,'Data Vlaue (Cr)'!$C:$FB,63)</f>
        <v>132</v>
      </c>
      <c r="N46" s="51">
        <f>VLOOKUP($A46,'Data Vlaue (Cr)'!$C:$FB,64)</f>
        <v>120</v>
      </c>
      <c r="O46" s="51">
        <f>VLOOKUP($A46,'Data Vlaue (Cr)'!$C:$FB,66)*100</f>
        <v>10.199999999999999</v>
      </c>
    </row>
    <row r="47" spans="1:15" x14ac:dyDescent="0.25">
      <c r="A47" s="101" t="str">
        <f>'Data Vlaue (Cr)'!C42</f>
        <v>CANBK</v>
      </c>
      <c r="B47" s="50">
        <f>VLOOKUP($A47,'Data Vlaue (Cr)'!$C:$FB,8)</f>
        <v>137.91</v>
      </c>
      <c r="C47" s="50">
        <f>VLOOKUP($A47,'Data Vlaue (Cr)'!$C:$FB,11)*100</f>
        <v>-0.91999999999999993</v>
      </c>
      <c r="D47" s="50">
        <f>VLOOKUP($A47,'Data Vlaue (Cr)'!$C:$FB,143)</f>
        <v>2101.39</v>
      </c>
      <c r="E47" s="50">
        <f>VLOOKUP($A47,'Data Vlaue (Cr)'!$C:$FB,144)</f>
        <v>3806.7</v>
      </c>
      <c r="F47" s="50">
        <f>VLOOKUP($A47,'Data Vlaue (Cr)'!$C:$FB,146)*100</f>
        <v>-44.800000000000004</v>
      </c>
      <c r="G47" s="49">
        <f>VLOOKUP($A47,'Data Vlaue (Cr)'!$C:$FB,43)</f>
        <v>537</v>
      </c>
      <c r="H47" s="49">
        <f>VLOOKUP($A47,'Data Vlaue (Cr)'!$C:$FB,44)</f>
        <v>923</v>
      </c>
      <c r="I47" s="49">
        <f>VLOOKUP($A47,'Data Vlaue (Cr)'!$C:$FB,46)*100</f>
        <v>-41.839999999999996</v>
      </c>
      <c r="J47" s="51">
        <f>VLOOKUP($A47,'Data Vlaue (Cr)'!$C:$FB,59)</f>
        <v>941</v>
      </c>
      <c r="K47" s="51">
        <f>VLOOKUP($A47,'Data Vlaue (Cr)'!$C:$FB,60)</f>
        <v>1736</v>
      </c>
      <c r="L47" s="51">
        <f>VLOOKUP($A47,'Data Vlaue (Cr)'!$C:$FB,62)*100</f>
        <v>-45.769999999999996</v>
      </c>
      <c r="M47" s="51">
        <f>VLOOKUP($A47,'Data Vlaue (Cr)'!$C:$FB,63)</f>
        <v>561</v>
      </c>
      <c r="N47" s="51">
        <f>VLOOKUP($A47,'Data Vlaue (Cr)'!$C:$FB,64)</f>
        <v>1077</v>
      </c>
      <c r="O47" s="51">
        <f>VLOOKUP($A47,'Data Vlaue (Cr)'!$C:$FB,66)*100</f>
        <v>-47.910000000000004</v>
      </c>
    </row>
    <row r="48" spans="1:15" x14ac:dyDescent="0.25">
      <c r="A48" s="101" t="str">
        <f>'Data Vlaue (Cr)'!C43</f>
        <v>CDSL</v>
      </c>
      <c r="B48" s="50">
        <f>VLOOKUP($A48,'Data Vlaue (Cr)'!$C:$FB,8)</f>
        <v>1279.3</v>
      </c>
      <c r="C48" s="50">
        <f>VLOOKUP($A48,'Data Vlaue (Cr)'!$C:$FB,11)*100</f>
        <v>-0.63</v>
      </c>
      <c r="D48" s="50">
        <f>VLOOKUP($A48,'Data Vlaue (Cr)'!$C:$FB,143)</f>
        <v>2286.62</v>
      </c>
      <c r="E48" s="50">
        <f>VLOOKUP($A48,'Data Vlaue (Cr)'!$C:$FB,144)</f>
        <v>2970.53</v>
      </c>
      <c r="F48" s="50">
        <f>VLOOKUP($A48,'Data Vlaue (Cr)'!$C:$FB,146)*100</f>
        <v>-23.02</v>
      </c>
      <c r="G48" s="49">
        <f>VLOOKUP($A48,'Data Vlaue (Cr)'!$C:$FB,43)</f>
        <v>483</v>
      </c>
      <c r="H48" s="49">
        <f>VLOOKUP($A48,'Data Vlaue (Cr)'!$C:$FB,44)</f>
        <v>609</v>
      </c>
      <c r="I48" s="49">
        <f>VLOOKUP($A48,'Data Vlaue (Cr)'!$C:$FB,46)*100</f>
        <v>-20.7</v>
      </c>
      <c r="J48" s="51">
        <f>VLOOKUP($A48,'Data Vlaue (Cr)'!$C:$FB,59)</f>
        <v>1256</v>
      </c>
      <c r="K48" s="51">
        <f>VLOOKUP($A48,'Data Vlaue (Cr)'!$C:$FB,60)</f>
        <v>1621</v>
      </c>
      <c r="L48" s="51">
        <f>VLOOKUP($A48,'Data Vlaue (Cr)'!$C:$FB,62)*100</f>
        <v>-22.509999999999998</v>
      </c>
      <c r="M48" s="51">
        <f>VLOOKUP($A48,'Data Vlaue (Cr)'!$C:$FB,63)</f>
        <v>475</v>
      </c>
      <c r="N48" s="51">
        <f>VLOOKUP($A48,'Data Vlaue (Cr)'!$C:$FB,64)</f>
        <v>690</v>
      </c>
      <c r="O48" s="51">
        <f>VLOOKUP($A48,'Data Vlaue (Cr)'!$C:$FB,66)*100</f>
        <v>-31.119999999999997</v>
      </c>
    </row>
    <row r="49" spans="1:15" x14ac:dyDescent="0.25">
      <c r="A49" s="101" t="str">
        <f>'Data Vlaue (Cr)'!C44</f>
        <v>CGPOWER</v>
      </c>
      <c r="B49" s="50">
        <f>VLOOKUP($A49,'Data Vlaue (Cr)'!$C:$FB,8)</f>
        <v>720.6</v>
      </c>
      <c r="C49" s="50">
        <f>VLOOKUP($A49,'Data Vlaue (Cr)'!$C:$FB,11)*100</f>
        <v>-0.77999999999999992</v>
      </c>
      <c r="D49" s="50">
        <f>VLOOKUP($A49,'Data Vlaue (Cr)'!$C:$FB,143)</f>
        <v>603.34</v>
      </c>
      <c r="E49" s="50">
        <f>VLOOKUP($A49,'Data Vlaue (Cr)'!$C:$FB,144)</f>
        <v>918.4</v>
      </c>
      <c r="F49" s="50">
        <f>VLOOKUP($A49,'Data Vlaue (Cr)'!$C:$FB,146)*100</f>
        <v>-34.31</v>
      </c>
      <c r="G49" s="49">
        <f>VLOOKUP($A49,'Data Vlaue (Cr)'!$C:$FB,43)</f>
        <v>200</v>
      </c>
      <c r="H49" s="49">
        <f>VLOOKUP($A49,'Data Vlaue (Cr)'!$C:$FB,44)</f>
        <v>245</v>
      </c>
      <c r="I49" s="49">
        <f>VLOOKUP($A49,'Data Vlaue (Cr)'!$C:$FB,46)*100</f>
        <v>-18.37</v>
      </c>
      <c r="J49" s="51">
        <f>VLOOKUP($A49,'Data Vlaue (Cr)'!$C:$FB,59)</f>
        <v>245</v>
      </c>
      <c r="K49" s="51">
        <f>VLOOKUP($A49,'Data Vlaue (Cr)'!$C:$FB,60)</f>
        <v>393</v>
      </c>
      <c r="L49" s="51">
        <f>VLOOKUP($A49,'Data Vlaue (Cr)'!$C:$FB,62)*100</f>
        <v>-37.72</v>
      </c>
      <c r="M49" s="51">
        <f>VLOOKUP($A49,'Data Vlaue (Cr)'!$C:$FB,63)</f>
        <v>144</v>
      </c>
      <c r="N49" s="51">
        <f>VLOOKUP($A49,'Data Vlaue (Cr)'!$C:$FB,64)</f>
        <v>258</v>
      </c>
      <c r="O49" s="51">
        <f>VLOOKUP($A49,'Data Vlaue (Cr)'!$C:$FB,66)*100</f>
        <v>-44.09</v>
      </c>
    </row>
    <row r="50" spans="1:15" x14ac:dyDescent="0.25">
      <c r="A50" s="101" t="str">
        <f>'Data Vlaue (Cr)'!C45</f>
        <v>CHOLAFIN</v>
      </c>
      <c r="B50" s="50">
        <f>VLOOKUP($A50,'Data Vlaue (Cr)'!$C:$FB,8)</f>
        <v>1533.1</v>
      </c>
      <c r="C50" s="50">
        <f>VLOOKUP($A50,'Data Vlaue (Cr)'!$C:$FB,11)*100</f>
        <v>-1.3599999999999999</v>
      </c>
      <c r="D50" s="50">
        <f>VLOOKUP($A50,'Data Vlaue (Cr)'!$C:$FB,143)</f>
        <v>1727.49</v>
      </c>
      <c r="E50" s="50">
        <f>VLOOKUP($A50,'Data Vlaue (Cr)'!$C:$FB,144)</f>
        <v>3206.3</v>
      </c>
      <c r="F50" s="50">
        <f>VLOOKUP($A50,'Data Vlaue (Cr)'!$C:$FB,146)*100</f>
        <v>-46.12</v>
      </c>
      <c r="G50" s="49">
        <f>VLOOKUP($A50,'Data Vlaue (Cr)'!$C:$FB,43)</f>
        <v>410</v>
      </c>
      <c r="H50" s="49">
        <f>VLOOKUP($A50,'Data Vlaue (Cr)'!$C:$FB,44)</f>
        <v>695</v>
      </c>
      <c r="I50" s="49">
        <f>VLOOKUP($A50,'Data Vlaue (Cr)'!$C:$FB,46)*100</f>
        <v>-40.97</v>
      </c>
      <c r="J50" s="51">
        <f>VLOOKUP($A50,'Data Vlaue (Cr)'!$C:$FB,59)</f>
        <v>645</v>
      </c>
      <c r="K50" s="51">
        <f>VLOOKUP($A50,'Data Vlaue (Cr)'!$C:$FB,60)</f>
        <v>1521</v>
      </c>
      <c r="L50" s="51">
        <f>VLOOKUP($A50,'Data Vlaue (Cr)'!$C:$FB,62)*100</f>
        <v>-57.589999999999996</v>
      </c>
      <c r="M50" s="51">
        <f>VLOOKUP($A50,'Data Vlaue (Cr)'!$C:$FB,63)</f>
        <v>648</v>
      </c>
      <c r="N50" s="51">
        <f>VLOOKUP($A50,'Data Vlaue (Cr)'!$C:$FB,64)</f>
        <v>945</v>
      </c>
      <c r="O50" s="51">
        <f>VLOOKUP($A50,'Data Vlaue (Cr)'!$C:$FB,66)*100</f>
        <v>-31.41</v>
      </c>
    </row>
    <row r="51" spans="1:15" x14ac:dyDescent="0.25">
      <c r="A51" s="101" t="str">
        <f>'Data Vlaue (Cr)'!C46</f>
        <v>CIPLA</v>
      </c>
      <c r="B51" s="50">
        <f>VLOOKUP($A51,'Data Vlaue (Cr)'!$C:$FB,8)</f>
        <v>1224.4000000000001</v>
      </c>
      <c r="C51" s="50">
        <f>VLOOKUP($A51,'Data Vlaue (Cr)'!$C:$FB,11)*100</f>
        <v>0.70000000000000007</v>
      </c>
      <c r="D51" s="50">
        <f>VLOOKUP($A51,'Data Vlaue (Cr)'!$C:$FB,143)</f>
        <v>1002.9</v>
      </c>
      <c r="E51" s="50">
        <f>VLOOKUP($A51,'Data Vlaue (Cr)'!$C:$FB,144)</f>
        <v>1286.73</v>
      </c>
      <c r="F51" s="50">
        <f>VLOOKUP($A51,'Data Vlaue (Cr)'!$C:$FB,146)*100</f>
        <v>-22.06</v>
      </c>
      <c r="G51" s="49">
        <f>VLOOKUP($A51,'Data Vlaue (Cr)'!$C:$FB,43)</f>
        <v>139</v>
      </c>
      <c r="H51" s="49">
        <f>VLOOKUP($A51,'Data Vlaue (Cr)'!$C:$FB,44)</f>
        <v>221</v>
      </c>
      <c r="I51" s="49">
        <f>VLOOKUP($A51,'Data Vlaue (Cr)'!$C:$FB,46)*100</f>
        <v>-36.980000000000004</v>
      </c>
      <c r="J51" s="51">
        <f>VLOOKUP($A51,'Data Vlaue (Cr)'!$C:$FB,59)</f>
        <v>667</v>
      </c>
      <c r="K51" s="51">
        <f>VLOOKUP($A51,'Data Vlaue (Cr)'!$C:$FB,60)</f>
        <v>815</v>
      </c>
      <c r="L51" s="51">
        <f>VLOOKUP($A51,'Data Vlaue (Cr)'!$C:$FB,62)*100</f>
        <v>-18.14</v>
      </c>
      <c r="M51" s="51">
        <f>VLOOKUP($A51,'Data Vlaue (Cr)'!$C:$FB,63)</f>
        <v>174</v>
      </c>
      <c r="N51" s="51">
        <f>VLOOKUP($A51,'Data Vlaue (Cr)'!$C:$FB,64)</f>
        <v>231</v>
      </c>
      <c r="O51" s="51">
        <f>VLOOKUP($A51,'Data Vlaue (Cr)'!$C:$FB,66)*100</f>
        <v>-24.529999999999998</v>
      </c>
    </row>
    <row r="52" spans="1:15" x14ac:dyDescent="0.25">
      <c r="A52" s="101" t="str">
        <f>'Data Vlaue (Cr)'!C47</f>
        <v>COALINDIA</v>
      </c>
      <c r="B52" s="50">
        <f>VLOOKUP($A52,'Data Vlaue (Cr)'!$C:$FB,8)</f>
        <v>454.1</v>
      </c>
      <c r="C52" s="50">
        <f>VLOOKUP($A52,'Data Vlaue (Cr)'!$C:$FB,11)*100</f>
        <v>1.08</v>
      </c>
      <c r="D52" s="50">
        <f>VLOOKUP($A52,'Data Vlaue (Cr)'!$C:$FB,143)</f>
        <v>3033.8</v>
      </c>
      <c r="E52" s="50">
        <f>VLOOKUP($A52,'Data Vlaue (Cr)'!$C:$FB,144)</f>
        <v>4312.1499999999996</v>
      </c>
      <c r="F52" s="50">
        <f>VLOOKUP($A52,'Data Vlaue (Cr)'!$C:$FB,146)*100</f>
        <v>-29.65</v>
      </c>
      <c r="G52" s="49">
        <f>VLOOKUP($A52,'Data Vlaue (Cr)'!$C:$FB,43)</f>
        <v>496</v>
      </c>
      <c r="H52" s="49">
        <f>VLOOKUP($A52,'Data Vlaue (Cr)'!$C:$FB,44)</f>
        <v>851</v>
      </c>
      <c r="I52" s="49">
        <f>VLOOKUP($A52,'Data Vlaue (Cr)'!$C:$FB,46)*100</f>
        <v>-41.78</v>
      </c>
      <c r="J52" s="51">
        <f>VLOOKUP($A52,'Data Vlaue (Cr)'!$C:$FB,59)</f>
        <v>1795</v>
      </c>
      <c r="K52" s="51">
        <f>VLOOKUP($A52,'Data Vlaue (Cr)'!$C:$FB,60)</f>
        <v>2313</v>
      </c>
      <c r="L52" s="51">
        <f>VLOOKUP($A52,'Data Vlaue (Cr)'!$C:$FB,62)*100</f>
        <v>-22.41</v>
      </c>
      <c r="M52" s="51">
        <f>VLOOKUP($A52,'Data Vlaue (Cr)'!$C:$FB,63)</f>
        <v>670</v>
      </c>
      <c r="N52" s="51">
        <f>VLOOKUP($A52,'Data Vlaue (Cr)'!$C:$FB,64)</f>
        <v>1056</v>
      </c>
      <c r="O52" s="51">
        <f>VLOOKUP($A52,'Data Vlaue (Cr)'!$C:$FB,66)*100</f>
        <v>-36.590000000000003</v>
      </c>
    </row>
    <row r="53" spans="1:15" x14ac:dyDescent="0.25">
      <c r="A53" s="101" t="str">
        <f>'Data Vlaue (Cr)'!C48</f>
        <v>COCHINSHIP</v>
      </c>
      <c r="B53" s="50">
        <f>VLOOKUP($A53,'Data Vlaue (Cr)'!$C:$FB,8)</f>
        <v>1423.9</v>
      </c>
      <c r="C53" s="50">
        <f>VLOOKUP($A53,'Data Vlaue (Cr)'!$C:$FB,11)*100</f>
        <v>3.2</v>
      </c>
      <c r="D53" s="50">
        <f>VLOOKUP($A53,'Data Vlaue (Cr)'!$C:$FB,143)</f>
        <v>1362.71</v>
      </c>
      <c r="E53" s="50">
        <f>VLOOKUP($A53,'Data Vlaue (Cr)'!$C:$FB,144)</f>
        <v>201.62</v>
      </c>
      <c r="F53" s="50">
        <f>VLOOKUP($A53,'Data Vlaue (Cr)'!$C:$FB,146)*100</f>
        <v>575.88</v>
      </c>
      <c r="G53" s="49">
        <f>VLOOKUP($A53,'Data Vlaue (Cr)'!$C:$FB,43)</f>
        <v>206</v>
      </c>
      <c r="H53" s="49">
        <f>VLOOKUP($A53,'Data Vlaue (Cr)'!$C:$FB,44)</f>
        <v>60</v>
      </c>
      <c r="I53" s="49">
        <f>VLOOKUP($A53,'Data Vlaue (Cr)'!$C:$FB,46)*100</f>
        <v>244.91</v>
      </c>
      <c r="J53" s="51">
        <f>VLOOKUP($A53,'Data Vlaue (Cr)'!$C:$FB,59)</f>
        <v>869</v>
      </c>
      <c r="K53" s="51">
        <f>VLOOKUP($A53,'Data Vlaue (Cr)'!$C:$FB,60)</f>
        <v>105</v>
      </c>
      <c r="L53" s="51">
        <f>VLOOKUP($A53,'Data Vlaue (Cr)'!$C:$FB,62)*100</f>
        <v>724.02</v>
      </c>
      <c r="M53" s="51">
        <f>VLOOKUP($A53,'Data Vlaue (Cr)'!$C:$FB,63)</f>
        <v>242</v>
      </c>
      <c r="N53" s="51">
        <f>VLOOKUP($A53,'Data Vlaue (Cr)'!$C:$FB,64)</f>
        <v>39</v>
      </c>
      <c r="O53" s="51">
        <f>VLOOKUP($A53,'Data Vlaue (Cr)'!$C:$FB,66)*100</f>
        <v>516.5</v>
      </c>
    </row>
    <row r="54" spans="1:15" x14ac:dyDescent="0.25">
      <c r="A54" s="101" t="str">
        <f>'Data Vlaue (Cr)'!C49</f>
        <v>COFORGE</v>
      </c>
      <c r="B54" s="50">
        <f>VLOOKUP($A54,'Data Vlaue (Cr)'!$C:$FB,8)</f>
        <v>1264.9000000000001</v>
      </c>
      <c r="C54" s="50">
        <f>VLOOKUP($A54,'Data Vlaue (Cr)'!$C:$FB,11)*100</f>
        <v>-0.43</v>
      </c>
      <c r="D54" s="50">
        <f>VLOOKUP($A54,'Data Vlaue (Cr)'!$C:$FB,143)</f>
        <v>2232.3000000000002</v>
      </c>
      <c r="E54" s="50">
        <f>VLOOKUP($A54,'Data Vlaue (Cr)'!$C:$FB,144)</f>
        <v>2678.81</v>
      </c>
      <c r="F54" s="50">
        <f>VLOOKUP($A54,'Data Vlaue (Cr)'!$C:$FB,146)*100</f>
        <v>-16.669999999999998</v>
      </c>
      <c r="G54" s="49">
        <f>VLOOKUP($A54,'Data Vlaue (Cr)'!$C:$FB,43)</f>
        <v>413</v>
      </c>
      <c r="H54" s="49">
        <f>VLOOKUP($A54,'Data Vlaue (Cr)'!$C:$FB,44)</f>
        <v>494</v>
      </c>
      <c r="I54" s="49">
        <f>VLOOKUP($A54,'Data Vlaue (Cr)'!$C:$FB,46)*100</f>
        <v>-16.350000000000001</v>
      </c>
      <c r="J54" s="51">
        <f>VLOOKUP($A54,'Data Vlaue (Cr)'!$C:$FB,59)</f>
        <v>1189</v>
      </c>
      <c r="K54" s="51">
        <f>VLOOKUP($A54,'Data Vlaue (Cr)'!$C:$FB,60)</f>
        <v>1546</v>
      </c>
      <c r="L54" s="51">
        <f>VLOOKUP($A54,'Data Vlaue (Cr)'!$C:$FB,62)*100</f>
        <v>-23.09</v>
      </c>
      <c r="M54" s="51">
        <f>VLOOKUP($A54,'Data Vlaue (Cr)'!$C:$FB,63)</f>
        <v>586</v>
      </c>
      <c r="N54" s="51">
        <f>VLOOKUP($A54,'Data Vlaue (Cr)'!$C:$FB,64)</f>
        <v>595</v>
      </c>
      <c r="O54" s="51">
        <f>VLOOKUP($A54,'Data Vlaue (Cr)'!$C:$FB,66)*100</f>
        <v>-1.39</v>
      </c>
    </row>
    <row r="55" spans="1:15" x14ac:dyDescent="0.25">
      <c r="A55" s="101" t="str">
        <f>'Data Vlaue (Cr)'!C50</f>
        <v>COLPAL</v>
      </c>
      <c r="B55" s="50">
        <f>VLOOKUP($A55,'Data Vlaue (Cr)'!$C:$FB,8)</f>
        <v>1906.7</v>
      </c>
      <c r="C55" s="50">
        <f>VLOOKUP($A55,'Data Vlaue (Cr)'!$C:$FB,11)*100</f>
        <v>-0.02</v>
      </c>
      <c r="D55" s="50">
        <f>VLOOKUP($A55,'Data Vlaue (Cr)'!$C:$FB,143)</f>
        <v>700.38</v>
      </c>
      <c r="E55" s="50">
        <f>VLOOKUP($A55,'Data Vlaue (Cr)'!$C:$FB,144)</f>
        <v>1003.13</v>
      </c>
      <c r="F55" s="50">
        <f>VLOOKUP($A55,'Data Vlaue (Cr)'!$C:$FB,146)*100</f>
        <v>-30.18</v>
      </c>
      <c r="G55" s="49">
        <f>VLOOKUP($A55,'Data Vlaue (Cr)'!$C:$FB,43)</f>
        <v>133</v>
      </c>
      <c r="H55" s="49">
        <f>VLOOKUP($A55,'Data Vlaue (Cr)'!$C:$FB,44)</f>
        <v>152</v>
      </c>
      <c r="I55" s="49">
        <f>VLOOKUP($A55,'Data Vlaue (Cr)'!$C:$FB,46)*100</f>
        <v>-12.139999999999999</v>
      </c>
      <c r="J55" s="51">
        <f>VLOOKUP($A55,'Data Vlaue (Cr)'!$C:$FB,59)</f>
        <v>421</v>
      </c>
      <c r="K55" s="51">
        <f>VLOOKUP($A55,'Data Vlaue (Cr)'!$C:$FB,60)</f>
        <v>647</v>
      </c>
      <c r="L55" s="51">
        <f>VLOOKUP($A55,'Data Vlaue (Cr)'!$C:$FB,62)*100</f>
        <v>-34.9</v>
      </c>
      <c r="M55" s="51">
        <f>VLOOKUP($A55,'Data Vlaue (Cr)'!$C:$FB,63)</f>
        <v>131</v>
      </c>
      <c r="N55" s="51">
        <f>VLOOKUP($A55,'Data Vlaue (Cr)'!$C:$FB,64)</f>
        <v>188</v>
      </c>
      <c r="O55" s="51">
        <f>VLOOKUP($A55,'Data Vlaue (Cr)'!$C:$FB,66)*100</f>
        <v>-30.3</v>
      </c>
    </row>
    <row r="56" spans="1:15" x14ac:dyDescent="0.25">
      <c r="A56" s="101" t="str">
        <f>'Data Vlaue (Cr)'!C51</f>
        <v>CONCOR</v>
      </c>
      <c r="B56" s="50">
        <f>VLOOKUP($A56,'Data Vlaue (Cr)'!$C:$FB,8)</f>
        <v>482.25</v>
      </c>
      <c r="C56" s="50">
        <f>VLOOKUP($A56,'Data Vlaue (Cr)'!$C:$FB,11)*100</f>
        <v>1.7999999999999998</v>
      </c>
      <c r="D56" s="50">
        <f>VLOOKUP($A56,'Data Vlaue (Cr)'!$C:$FB,143)</f>
        <v>1060.76</v>
      </c>
      <c r="E56" s="50">
        <f>VLOOKUP($A56,'Data Vlaue (Cr)'!$C:$FB,144)</f>
        <v>648.41999999999996</v>
      </c>
      <c r="F56" s="50">
        <f>VLOOKUP($A56,'Data Vlaue (Cr)'!$C:$FB,146)*100</f>
        <v>63.59</v>
      </c>
      <c r="G56" s="49">
        <f>VLOOKUP($A56,'Data Vlaue (Cr)'!$C:$FB,43)</f>
        <v>192</v>
      </c>
      <c r="H56" s="49">
        <f>VLOOKUP($A56,'Data Vlaue (Cr)'!$C:$FB,44)</f>
        <v>152</v>
      </c>
      <c r="I56" s="49">
        <f>VLOOKUP($A56,'Data Vlaue (Cr)'!$C:$FB,46)*100</f>
        <v>26.44</v>
      </c>
      <c r="J56" s="51">
        <f>VLOOKUP($A56,'Data Vlaue (Cr)'!$C:$FB,59)</f>
        <v>694</v>
      </c>
      <c r="K56" s="51">
        <f>VLOOKUP($A56,'Data Vlaue (Cr)'!$C:$FB,60)</f>
        <v>381</v>
      </c>
      <c r="L56" s="51">
        <f>VLOOKUP($A56,'Data Vlaue (Cr)'!$C:$FB,62)*100</f>
        <v>82.11</v>
      </c>
      <c r="M56" s="51">
        <f>VLOOKUP($A56,'Data Vlaue (Cr)'!$C:$FB,63)</f>
        <v>146</v>
      </c>
      <c r="N56" s="51">
        <f>VLOOKUP($A56,'Data Vlaue (Cr)'!$C:$FB,64)</f>
        <v>110</v>
      </c>
      <c r="O56" s="51">
        <f>VLOOKUP($A56,'Data Vlaue (Cr)'!$C:$FB,66)*100</f>
        <v>33.239999999999995</v>
      </c>
    </row>
    <row r="57" spans="1:15" x14ac:dyDescent="0.25">
      <c r="A57" s="101" t="str">
        <f>'Data Vlaue (Cr)'!C52</f>
        <v>CROMPTON</v>
      </c>
      <c r="B57" s="50">
        <f>VLOOKUP($A57,'Data Vlaue (Cr)'!$C:$FB,8)</f>
        <v>237.9</v>
      </c>
      <c r="C57" s="50">
        <f>VLOOKUP($A57,'Data Vlaue (Cr)'!$C:$FB,11)*100</f>
        <v>-3.3099999999999996</v>
      </c>
      <c r="D57" s="50">
        <f>VLOOKUP($A57,'Data Vlaue (Cr)'!$C:$FB,143)</f>
        <v>476.19</v>
      </c>
      <c r="E57" s="50">
        <f>VLOOKUP($A57,'Data Vlaue (Cr)'!$C:$FB,144)</f>
        <v>476.04</v>
      </c>
      <c r="F57" s="50">
        <f>VLOOKUP($A57,'Data Vlaue (Cr)'!$C:$FB,146)*100</f>
        <v>0.03</v>
      </c>
      <c r="G57" s="49">
        <f>VLOOKUP($A57,'Data Vlaue (Cr)'!$C:$FB,43)</f>
        <v>136</v>
      </c>
      <c r="H57" s="49">
        <f>VLOOKUP($A57,'Data Vlaue (Cr)'!$C:$FB,44)</f>
        <v>125</v>
      </c>
      <c r="I57" s="49">
        <f>VLOOKUP($A57,'Data Vlaue (Cr)'!$C:$FB,46)*100</f>
        <v>8.2900000000000009</v>
      </c>
      <c r="J57" s="51">
        <f>VLOOKUP($A57,'Data Vlaue (Cr)'!$C:$FB,59)</f>
        <v>207</v>
      </c>
      <c r="K57" s="51">
        <f>VLOOKUP($A57,'Data Vlaue (Cr)'!$C:$FB,60)</f>
        <v>220</v>
      </c>
      <c r="L57" s="51">
        <f>VLOOKUP($A57,'Data Vlaue (Cr)'!$C:$FB,62)*100</f>
        <v>-5.88</v>
      </c>
      <c r="M57" s="51">
        <f>VLOOKUP($A57,'Data Vlaue (Cr)'!$C:$FB,63)</f>
        <v>115</v>
      </c>
      <c r="N57" s="51">
        <f>VLOOKUP($A57,'Data Vlaue (Cr)'!$C:$FB,64)</f>
        <v>106</v>
      </c>
      <c r="O57" s="51">
        <f>VLOOKUP($A57,'Data Vlaue (Cr)'!$C:$FB,66)*100</f>
        <v>8.6900000000000013</v>
      </c>
    </row>
    <row r="58" spans="1:15" x14ac:dyDescent="0.25">
      <c r="A58" s="101" t="str">
        <f>'Data Vlaue (Cr)'!C53</f>
        <v>CUMMINSIND</v>
      </c>
      <c r="B58" s="50">
        <f>VLOOKUP($A58,'Data Vlaue (Cr)'!$C:$FB,8)</f>
        <v>4907.3999999999996</v>
      </c>
      <c r="C58" s="50">
        <f>VLOOKUP($A58,'Data Vlaue (Cr)'!$C:$FB,11)*100</f>
        <v>2.3199999999999998</v>
      </c>
      <c r="D58" s="50">
        <f>VLOOKUP($A58,'Data Vlaue (Cr)'!$C:$FB,143)</f>
        <v>2123.08</v>
      </c>
      <c r="E58" s="50">
        <f>VLOOKUP($A58,'Data Vlaue (Cr)'!$C:$FB,144)</f>
        <v>2053.39</v>
      </c>
      <c r="F58" s="50">
        <f>VLOOKUP($A58,'Data Vlaue (Cr)'!$C:$FB,146)*100</f>
        <v>3.39</v>
      </c>
      <c r="G58" s="49">
        <f>VLOOKUP($A58,'Data Vlaue (Cr)'!$C:$FB,43)</f>
        <v>425</v>
      </c>
      <c r="H58" s="49">
        <f>VLOOKUP($A58,'Data Vlaue (Cr)'!$C:$FB,44)</f>
        <v>509</v>
      </c>
      <c r="I58" s="49">
        <f>VLOOKUP($A58,'Data Vlaue (Cr)'!$C:$FB,46)*100</f>
        <v>-16.43</v>
      </c>
      <c r="J58" s="51">
        <f>VLOOKUP($A58,'Data Vlaue (Cr)'!$C:$FB,59)</f>
        <v>1265</v>
      </c>
      <c r="K58" s="51">
        <f>VLOOKUP($A58,'Data Vlaue (Cr)'!$C:$FB,60)</f>
        <v>1230</v>
      </c>
      <c r="L58" s="51">
        <f>VLOOKUP($A58,'Data Vlaue (Cr)'!$C:$FB,62)*100</f>
        <v>2.82</v>
      </c>
      <c r="M58" s="51">
        <f>VLOOKUP($A58,'Data Vlaue (Cr)'!$C:$FB,63)</f>
        <v>420</v>
      </c>
      <c r="N58" s="51">
        <f>VLOOKUP($A58,'Data Vlaue (Cr)'!$C:$FB,64)</f>
        <v>319</v>
      </c>
      <c r="O58" s="51">
        <f>VLOOKUP($A58,'Data Vlaue (Cr)'!$C:$FB,66)*100</f>
        <v>31.569999999999997</v>
      </c>
    </row>
    <row r="59" spans="1:15" x14ac:dyDescent="0.25">
      <c r="A59" s="101" t="str">
        <f>'Data Vlaue (Cr)'!C54</f>
        <v>DABUR</v>
      </c>
      <c r="B59" s="50">
        <f>VLOOKUP($A59,'Data Vlaue (Cr)'!$C:$FB,8)</f>
        <v>429.4</v>
      </c>
      <c r="C59" s="50">
        <f>VLOOKUP($A59,'Data Vlaue (Cr)'!$C:$FB,11)*100</f>
        <v>0.5</v>
      </c>
      <c r="D59" s="50">
        <f>VLOOKUP($A59,'Data Vlaue (Cr)'!$C:$FB,143)</f>
        <v>583.12</v>
      </c>
      <c r="E59" s="50">
        <f>VLOOKUP($A59,'Data Vlaue (Cr)'!$C:$FB,144)</f>
        <v>1128.5999999999999</v>
      </c>
      <c r="F59" s="50">
        <f>VLOOKUP($A59,'Data Vlaue (Cr)'!$C:$FB,146)*100</f>
        <v>-48.33</v>
      </c>
      <c r="G59" s="49">
        <f>VLOOKUP($A59,'Data Vlaue (Cr)'!$C:$FB,43)</f>
        <v>119</v>
      </c>
      <c r="H59" s="49">
        <f>VLOOKUP($A59,'Data Vlaue (Cr)'!$C:$FB,44)</f>
        <v>266</v>
      </c>
      <c r="I59" s="49">
        <f>VLOOKUP($A59,'Data Vlaue (Cr)'!$C:$FB,46)*100</f>
        <v>-55.22</v>
      </c>
      <c r="J59" s="51">
        <f>VLOOKUP($A59,'Data Vlaue (Cr)'!$C:$FB,59)</f>
        <v>346</v>
      </c>
      <c r="K59" s="51">
        <f>VLOOKUP($A59,'Data Vlaue (Cr)'!$C:$FB,60)</f>
        <v>617</v>
      </c>
      <c r="L59" s="51">
        <f>VLOOKUP($A59,'Data Vlaue (Cr)'!$C:$FB,62)*100</f>
        <v>-43.94</v>
      </c>
      <c r="M59" s="51">
        <f>VLOOKUP($A59,'Data Vlaue (Cr)'!$C:$FB,63)</f>
        <v>101</v>
      </c>
      <c r="N59" s="51">
        <f>VLOOKUP($A59,'Data Vlaue (Cr)'!$C:$FB,64)</f>
        <v>219</v>
      </c>
      <c r="O59" s="51">
        <f>VLOOKUP($A59,'Data Vlaue (Cr)'!$C:$FB,66)*100</f>
        <v>-53.7</v>
      </c>
    </row>
    <row r="60" spans="1:15" x14ac:dyDescent="0.25">
      <c r="A60" s="101" t="str">
        <f>'Data Vlaue (Cr)'!C55</f>
        <v>DALBHARAT</v>
      </c>
      <c r="B60" s="50">
        <f>VLOOKUP($A60,'Data Vlaue (Cr)'!$C:$FB,8)</f>
        <v>1910.6</v>
      </c>
      <c r="C60" s="50">
        <f>VLOOKUP($A60,'Data Vlaue (Cr)'!$C:$FB,11)*100</f>
        <v>-0.62</v>
      </c>
      <c r="D60" s="50">
        <f>VLOOKUP($A60,'Data Vlaue (Cr)'!$C:$FB,143)</f>
        <v>184.87</v>
      </c>
      <c r="E60" s="50">
        <f>VLOOKUP($A60,'Data Vlaue (Cr)'!$C:$FB,144)</f>
        <v>770.05</v>
      </c>
      <c r="F60" s="50">
        <f>VLOOKUP($A60,'Data Vlaue (Cr)'!$C:$FB,146)*100</f>
        <v>-75.990000000000009</v>
      </c>
      <c r="G60" s="49">
        <f>VLOOKUP($A60,'Data Vlaue (Cr)'!$C:$FB,43)</f>
        <v>68</v>
      </c>
      <c r="H60" s="49">
        <f>VLOOKUP($A60,'Data Vlaue (Cr)'!$C:$FB,44)</f>
        <v>178</v>
      </c>
      <c r="I60" s="49">
        <f>VLOOKUP($A60,'Data Vlaue (Cr)'!$C:$FB,46)*100</f>
        <v>-61.72</v>
      </c>
      <c r="J60" s="51">
        <f>VLOOKUP($A60,'Data Vlaue (Cr)'!$C:$FB,59)</f>
        <v>68</v>
      </c>
      <c r="K60" s="51">
        <f>VLOOKUP($A60,'Data Vlaue (Cr)'!$C:$FB,60)</f>
        <v>244</v>
      </c>
      <c r="L60" s="51">
        <f>VLOOKUP($A60,'Data Vlaue (Cr)'!$C:$FB,62)*100</f>
        <v>-72.23</v>
      </c>
      <c r="M60" s="51">
        <f>VLOOKUP($A60,'Data Vlaue (Cr)'!$C:$FB,63)</f>
        <v>43</v>
      </c>
      <c r="N60" s="51">
        <f>VLOOKUP($A60,'Data Vlaue (Cr)'!$C:$FB,64)</f>
        <v>351</v>
      </c>
      <c r="O60" s="51">
        <f>VLOOKUP($A60,'Data Vlaue (Cr)'!$C:$FB,66)*100</f>
        <v>-87.62</v>
      </c>
    </row>
    <row r="61" spans="1:15" x14ac:dyDescent="0.25">
      <c r="A61" s="101" t="str">
        <f>'Data Vlaue (Cr)'!C56</f>
        <v>DELHIVERY</v>
      </c>
      <c r="B61" s="50">
        <f>VLOOKUP($A61,'Data Vlaue (Cr)'!$C:$FB,8)</f>
        <v>469.85</v>
      </c>
      <c r="C61" s="50">
        <f>VLOOKUP($A61,'Data Vlaue (Cr)'!$C:$FB,11)*100</f>
        <v>2.17</v>
      </c>
      <c r="D61" s="50">
        <f>VLOOKUP($A61,'Data Vlaue (Cr)'!$C:$FB,143)</f>
        <v>1587.83</v>
      </c>
      <c r="E61" s="50">
        <f>VLOOKUP($A61,'Data Vlaue (Cr)'!$C:$FB,144)</f>
        <v>1478.9</v>
      </c>
      <c r="F61" s="50">
        <f>VLOOKUP($A61,'Data Vlaue (Cr)'!$C:$FB,146)*100</f>
        <v>7.37</v>
      </c>
      <c r="G61" s="49">
        <f>VLOOKUP($A61,'Data Vlaue (Cr)'!$C:$FB,43)</f>
        <v>386</v>
      </c>
      <c r="H61" s="49">
        <f>VLOOKUP($A61,'Data Vlaue (Cr)'!$C:$FB,44)</f>
        <v>446</v>
      </c>
      <c r="I61" s="49">
        <f>VLOOKUP($A61,'Data Vlaue (Cr)'!$C:$FB,46)*100</f>
        <v>-13.51</v>
      </c>
      <c r="J61" s="51">
        <f>VLOOKUP($A61,'Data Vlaue (Cr)'!$C:$FB,59)</f>
        <v>834</v>
      </c>
      <c r="K61" s="51">
        <f>VLOOKUP($A61,'Data Vlaue (Cr)'!$C:$FB,60)</f>
        <v>736</v>
      </c>
      <c r="L61" s="51">
        <f>VLOOKUP($A61,'Data Vlaue (Cr)'!$C:$FB,62)*100</f>
        <v>13.28</v>
      </c>
      <c r="M61" s="51">
        <f>VLOOKUP($A61,'Data Vlaue (Cr)'!$C:$FB,63)</f>
        <v>334</v>
      </c>
      <c r="N61" s="51">
        <f>VLOOKUP($A61,'Data Vlaue (Cr)'!$C:$FB,64)</f>
        <v>315</v>
      </c>
      <c r="O61" s="51">
        <f>VLOOKUP($A61,'Data Vlaue (Cr)'!$C:$FB,66)*100</f>
        <v>6</v>
      </c>
    </row>
    <row r="62" spans="1:15" x14ac:dyDescent="0.25">
      <c r="A62" s="101" t="str">
        <f>'Data Vlaue (Cr)'!C57</f>
        <v>DIVISLAB</v>
      </c>
      <c r="B62" s="50">
        <f>VLOOKUP($A62,'Data Vlaue (Cr)'!$C:$FB,8)</f>
        <v>5952.5</v>
      </c>
      <c r="C62" s="50">
        <f>VLOOKUP($A62,'Data Vlaue (Cr)'!$C:$FB,11)*100</f>
        <v>1.2</v>
      </c>
      <c r="D62" s="50">
        <f>VLOOKUP($A62,'Data Vlaue (Cr)'!$C:$FB,143)</f>
        <v>943.92</v>
      </c>
      <c r="E62" s="50">
        <f>VLOOKUP($A62,'Data Vlaue (Cr)'!$C:$FB,144)</f>
        <v>1240.67</v>
      </c>
      <c r="F62" s="50">
        <f>VLOOKUP($A62,'Data Vlaue (Cr)'!$C:$FB,146)*100</f>
        <v>-23.919999999999998</v>
      </c>
      <c r="G62" s="49">
        <f>VLOOKUP($A62,'Data Vlaue (Cr)'!$C:$FB,43)</f>
        <v>178</v>
      </c>
      <c r="H62" s="49">
        <f>VLOOKUP($A62,'Data Vlaue (Cr)'!$C:$FB,44)</f>
        <v>207</v>
      </c>
      <c r="I62" s="49">
        <f>VLOOKUP($A62,'Data Vlaue (Cr)'!$C:$FB,46)*100</f>
        <v>-14.12</v>
      </c>
      <c r="J62" s="51">
        <f>VLOOKUP($A62,'Data Vlaue (Cr)'!$C:$FB,59)</f>
        <v>546</v>
      </c>
      <c r="K62" s="51">
        <f>VLOOKUP($A62,'Data Vlaue (Cr)'!$C:$FB,60)</f>
        <v>735</v>
      </c>
      <c r="L62" s="51">
        <f>VLOOKUP($A62,'Data Vlaue (Cr)'!$C:$FB,62)*100</f>
        <v>-25.790000000000003</v>
      </c>
      <c r="M62" s="51">
        <f>VLOOKUP($A62,'Data Vlaue (Cr)'!$C:$FB,63)</f>
        <v>200</v>
      </c>
      <c r="N62" s="51">
        <f>VLOOKUP($A62,'Data Vlaue (Cr)'!$C:$FB,64)</f>
        <v>274</v>
      </c>
      <c r="O62" s="51">
        <f>VLOOKUP($A62,'Data Vlaue (Cr)'!$C:$FB,66)*100</f>
        <v>-26.810000000000002</v>
      </c>
    </row>
    <row r="63" spans="1:15" x14ac:dyDescent="0.25">
      <c r="A63" s="101" t="str">
        <f>'Data Vlaue (Cr)'!C58</f>
        <v>DIXON</v>
      </c>
      <c r="B63" s="50">
        <f>VLOOKUP($A63,'Data Vlaue (Cr)'!$C:$FB,8)</f>
        <v>10625.5</v>
      </c>
      <c r="C63" s="50">
        <f>VLOOKUP($A63,'Data Vlaue (Cr)'!$C:$FB,11)*100</f>
        <v>-0.1</v>
      </c>
      <c r="D63" s="50">
        <f>VLOOKUP($A63,'Data Vlaue (Cr)'!$C:$FB,143)</f>
        <v>3893.79</v>
      </c>
      <c r="E63" s="50">
        <f>VLOOKUP($A63,'Data Vlaue (Cr)'!$C:$FB,144)</f>
        <v>6993.8</v>
      </c>
      <c r="F63" s="50">
        <f>VLOOKUP($A63,'Data Vlaue (Cr)'!$C:$FB,146)*100</f>
        <v>-44.330000000000005</v>
      </c>
      <c r="G63" s="49">
        <f>VLOOKUP($A63,'Data Vlaue (Cr)'!$C:$FB,43)</f>
        <v>883</v>
      </c>
      <c r="H63" s="49">
        <f>VLOOKUP($A63,'Data Vlaue (Cr)'!$C:$FB,44)</f>
        <v>1256</v>
      </c>
      <c r="I63" s="49">
        <f>VLOOKUP($A63,'Data Vlaue (Cr)'!$C:$FB,46)*100</f>
        <v>-29.68</v>
      </c>
      <c r="J63" s="51">
        <f>VLOOKUP($A63,'Data Vlaue (Cr)'!$C:$FB,59)</f>
        <v>1901</v>
      </c>
      <c r="K63" s="51">
        <f>VLOOKUP($A63,'Data Vlaue (Cr)'!$C:$FB,60)</f>
        <v>3799</v>
      </c>
      <c r="L63" s="51">
        <f>VLOOKUP($A63,'Data Vlaue (Cr)'!$C:$FB,62)*100</f>
        <v>-49.95</v>
      </c>
      <c r="M63" s="51">
        <f>VLOOKUP($A63,'Data Vlaue (Cr)'!$C:$FB,63)</f>
        <v>994</v>
      </c>
      <c r="N63" s="51">
        <f>VLOOKUP($A63,'Data Vlaue (Cr)'!$C:$FB,64)</f>
        <v>1756</v>
      </c>
      <c r="O63" s="51">
        <f>VLOOKUP($A63,'Data Vlaue (Cr)'!$C:$FB,66)*100</f>
        <v>-43.38</v>
      </c>
    </row>
    <row r="64" spans="1:15" x14ac:dyDescent="0.25">
      <c r="A64" s="101" t="str">
        <f>'Data Vlaue (Cr)'!C59</f>
        <v>DLF</v>
      </c>
      <c r="B64" s="50">
        <f>VLOOKUP($A64,'Data Vlaue (Cr)'!$C:$FB,8)</f>
        <v>562.95000000000005</v>
      </c>
      <c r="C64" s="50">
        <f>VLOOKUP($A64,'Data Vlaue (Cr)'!$C:$FB,11)*100</f>
        <v>-1.73</v>
      </c>
      <c r="D64" s="50">
        <f>VLOOKUP($A64,'Data Vlaue (Cr)'!$C:$FB,143)</f>
        <v>1226.9000000000001</v>
      </c>
      <c r="E64" s="50">
        <f>VLOOKUP($A64,'Data Vlaue (Cr)'!$C:$FB,144)</f>
        <v>2714.05</v>
      </c>
      <c r="F64" s="50">
        <f>VLOOKUP($A64,'Data Vlaue (Cr)'!$C:$FB,146)*100</f>
        <v>-54.790000000000006</v>
      </c>
      <c r="G64" s="49">
        <f>VLOOKUP($A64,'Data Vlaue (Cr)'!$C:$FB,43)</f>
        <v>271</v>
      </c>
      <c r="H64" s="49">
        <f>VLOOKUP($A64,'Data Vlaue (Cr)'!$C:$FB,44)</f>
        <v>626</v>
      </c>
      <c r="I64" s="49">
        <f>VLOOKUP($A64,'Data Vlaue (Cr)'!$C:$FB,46)*100</f>
        <v>-56.720000000000006</v>
      </c>
      <c r="J64" s="51">
        <f>VLOOKUP($A64,'Data Vlaue (Cr)'!$C:$FB,59)</f>
        <v>568</v>
      </c>
      <c r="K64" s="51">
        <f>VLOOKUP($A64,'Data Vlaue (Cr)'!$C:$FB,60)</f>
        <v>1253</v>
      </c>
      <c r="L64" s="51">
        <f>VLOOKUP($A64,'Data Vlaue (Cr)'!$C:$FB,62)*100</f>
        <v>-54.690000000000005</v>
      </c>
      <c r="M64" s="51">
        <f>VLOOKUP($A64,'Data Vlaue (Cr)'!$C:$FB,63)</f>
        <v>356</v>
      </c>
      <c r="N64" s="51">
        <f>VLOOKUP($A64,'Data Vlaue (Cr)'!$C:$FB,64)</f>
        <v>774</v>
      </c>
      <c r="O64" s="51">
        <f>VLOOKUP($A64,'Data Vlaue (Cr)'!$C:$FB,66)*100</f>
        <v>-54.02</v>
      </c>
    </row>
    <row r="65" spans="1:15" x14ac:dyDescent="0.25">
      <c r="A65" s="101" t="str">
        <f>'Data Vlaue (Cr)'!C60</f>
        <v>DMART</v>
      </c>
      <c r="B65" s="50">
        <f>VLOOKUP($A65,'Data Vlaue (Cr)'!$C:$FB,8)</f>
        <v>4415.6000000000004</v>
      </c>
      <c r="C65" s="50">
        <f>VLOOKUP($A65,'Data Vlaue (Cr)'!$C:$FB,11)*100</f>
        <v>1.0699999999999998</v>
      </c>
      <c r="D65" s="50">
        <f>VLOOKUP($A65,'Data Vlaue (Cr)'!$C:$FB,143)</f>
        <v>1700.02</v>
      </c>
      <c r="E65" s="50">
        <f>VLOOKUP($A65,'Data Vlaue (Cr)'!$C:$FB,144)</f>
        <v>3094.4</v>
      </c>
      <c r="F65" s="50">
        <f>VLOOKUP($A65,'Data Vlaue (Cr)'!$C:$FB,146)*100</f>
        <v>-45.06</v>
      </c>
      <c r="G65" s="49">
        <f>VLOOKUP($A65,'Data Vlaue (Cr)'!$C:$FB,43)</f>
        <v>306</v>
      </c>
      <c r="H65" s="49">
        <f>VLOOKUP($A65,'Data Vlaue (Cr)'!$C:$FB,44)</f>
        <v>621</v>
      </c>
      <c r="I65" s="49">
        <f>VLOOKUP($A65,'Data Vlaue (Cr)'!$C:$FB,46)*100</f>
        <v>-50.71</v>
      </c>
      <c r="J65" s="51">
        <f>VLOOKUP($A65,'Data Vlaue (Cr)'!$C:$FB,59)</f>
        <v>861</v>
      </c>
      <c r="K65" s="51">
        <f>VLOOKUP($A65,'Data Vlaue (Cr)'!$C:$FB,60)</f>
        <v>1478</v>
      </c>
      <c r="L65" s="51">
        <f>VLOOKUP($A65,'Data Vlaue (Cr)'!$C:$FB,62)*100</f>
        <v>-41.77</v>
      </c>
      <c r="M65" s="51">
        <f>VLOOKUP($A65,'Data Vlaue (Cr)'!$C:$FB,63)</f>
        <v>502</v>
      </c>
      <c r="N65" s="51">
        <f>VLOOKUP($A65,'Data Vlaue (Cr)'!$C:$FB,64)</f>
        <v>928</v>
      </c>
      <c r="O65" s="51">
        <f>VLOOKUP($A65,'Data Vlaue (Cr)'!$C:$FB,66)*100</f>
        <v>-45.92</v>
      </c>
    </row>
    <row r="66" spans="1:15" x14ac:dyDescent="0.25">
      <c r="A66" s="101" t="str">
        <f>'Data Vlaue (Cr)'!C61</f>
        <v>DRREDDY</v>
      </c>
      <c r="B66" s="50">
        <f>VLOOKUP($A66,'Data Vlaue (Cr)'!$C:$FB,8)</f>
        <v>1211.9000000000001</v>
      </c>
      <c r="C66" s="50">
        <f>VLOOKUP($A66,'Data Vlaue (Cr)'!$C:$FB,11)*100</f>
        <v>1.72</v>
      </c>
      <c r="D66" s="50">
        <f>VLOOKUP($A66,'Data Vlaue (Cr)'!$C:$FB,143)</f>
        <v>2039.59</v>
      </c>
      <c r="E66" s="50">
        <f>VLOOKUP($A66,'Data Vlaue (Cr)'!$C:$FB,144)</f>
        <v>2036.84</v>
      </c>
      <c r="F66" s="50">
        <f>VLOOKUP($A66,'Data Vlaue (Cr)'!$C:$FB,146)*100</f>
        <v>0.13999999999999999</v>
      </c>
      <c r="G66" s="49">
        <f>VLOOKUP($A66,'Data Vlaue (Cr)'!$C:$FB,43)</f>
        <v>329</v>
      </c>
      <c r="H66" s="49">
        <f>VLOOKUP($A66,'Data Vlaue (Cr)'!$C:$FB,44)</f>
        <v>413</v>
      </c>
      <c r="I66" s="49">
        <f>VLOOKUP($A66,'Data Vlaue (Cr)'!$C:$FB,46)*100</f>
        <v>-20.369999999999997</v>
      </c>
      <c r="J66" s="51">
        <f>VLOOKUP($A66,'Data Vlaue (Cr)'!$C:$FB,59)</f>
        <v>1016</v>
      </c>
      <c r="K66" s="51">
        <f>VLOOKUP($A66,'Data Vlaue (Cr)'!$C:$FB,60)</f>
        <v>1014</v>
      </c>
      <c r="L66" s="51">
        <f>VLOOKUP($A66,'Data Vlaue (Cr)'!$C:$FB,62)*100</f>
        <v>0.16999999999999998</v>
      </c>
      <c r="M66" s="51">
        <f>VLOOKUP($A66,'Data Vlaue (Cr)'!$C:$FB,63)</f>
        <v>685</v>
      </c>
      <c r="N66" s="51">
        <f>VLOOKUP($A66,'Data Vlaue (Cr)'!$C:$FB,64)</f>
        <v>602</v>
      </c>
      <c r="O66" s="51">
        <f>VLOOKUP($A66,'Data Vlaue (Cr)'!$C:$FB,66)*100</f>
        <v>13.750000000000002</v>
      </c>
    </row>
    <row r="67" spans="1:15" x14ac:dyDescent="0.25">
      <c r="A67" s="101" t="str">
        <f>'Data Vlaue (Cr)'!C62</f>
        <v>EICHERMOT</v>
      </c>
      <c r="B67" s="50">
        <f>VLOOKUP($A67,'Data Vlaue (Cr)'!$C:$FB,8)</f>
        <v>7147.5</v>
      </c>
      <c r="C67" s="50">
        <f>VLOOKUP($A67,'Data Vlaue (Cr)'!$C:$FB,11)*100</f>
        <v>0.22999999999999998</v>
      </c>
      <c r="D67" s="50">
        <f>VLOOKUP($A67,'Data Vlaue (Cr)'!$C:$FB,143)</f>
        <v>3126.3</v>
      </c>
      <c r="E67" s="50">
        <f>VLOOKUP($A67,'Data Vlaue (Cr)'!$C:$FB,144)</f>
        <v>5394.12</v>
      </c>
      <c r="F67" s="50">
        <f>VLOOKUP($A67,'Data Vlaue (Cr)'!$C:$FB,146)*100</f>
        <v>-42.04</v>
      </c>
      <c r="G67" s="49">
        <f>VLOOKUP($A67,'Data Vlaue (Cr)'!$C:$FB,43)</f>
        <v>509</v>
      </c>
      <c r="H67" s="49">
        <f>VLOOKUP($A67,'Data Vlaue (Cr)'!$C:$FB,44)</f>
        <v>730</v>
      </c>
      <c r="I67" s="49">
        <f>VLOOKUP($A67,'Data Vlaue (Cr)'!$C:$FB,46)*100</f>
        <v>-30.349999999999998</v>
      </c>
      <c r="J67" s="51">
        <f>VLOOKUP($A67,'Data Vlaue (Cr)'!$C:$FB,59)</f>
        <v>1446</v>
      </c>
      <c r="K67" s="51">
        <f>VLOOKUP($A67,'Data Vlaue (Cr)'!$C:$FB,60)</f>
        <v>3196</v>
      </c>
      <c r="L67" s="51">
        <f>VLOOKUP($A67,'Data Vlaue (Cr)'!$C:$FB,62)*100</f>
        <v>-54.74</v>
      </c>
      <c r="M67" s="51">
        <f>VLOOKUP($A67,'Data Vlaue (Cr)'!$C:$FB,63)</f>
        <v>1136</v>
      </c>
      <c r="N67" s="51">
        <f>VLOOKUP($A67,'Data Vlaue (Cr)'!$C:$FB,64)</f>
        <v>1407</v>
      </c>
      <c r="O67" s="51">
        <f>VLOOKUP($A67,'Data Vlaue (Cr)'!$C:$FB,66)*100</f>
        <v>-19.239999999999998</v>
      </c>
    </row>
    <row r="68" spans="1:15" x14ac:dyDescent="0.25">
      <c r="A68" s="101" t="str">
        <f>'Data Vlaue (Cr)'!C63</f>
        <v>ETERNAL</v>
      </c>
      <c r="B68" s="50">
        <f>VLOOKUP($A68,'Data Vlaue (Cr)'!$C:$FB,8)</f>
        <v>237.89</v>
      </c>
      <c r="C68" s="50">
        <f>VLOOKUP($A68,'Data Vlaue (Cr)'!$C:$FB,11)*100</f>
        <v>-2.35</v>
      </c>
      <c r="D68" s="50">
        <f>VLOOKUP($A68,'Data Vlaue (Cr)'!$C:$FB,143)</f>
        <v>2583.02</v>
      </c>
      <c r="E68" s="50">
        <f>VLOOKUP($A68,'Data Vlaue (Cr)'!$C:$FB,144)</f>
        <v>3571.26</v>
      </c>
      <c r="F68" s="50">
        <f>VLOOKUP($A68,'Data Vlaue (Cr)'!$C:$FB,146)*100</f>
        <v>-27.67</v>
      </c>
      <c r="G68" s="49">
        <f>VLOOKUP($A68,'Data Vlaue (Cr)'!$C:$FB,43)</f>
        <v>598</v>
      </c>
      <c r="H68" s="49">
        <f>VLOOKUP($A68,'Data Vlaue (Cr)'!$C:$FB,44)</f>
        <v>821</v>
      </c>
      <c r="I68" s="49">
        <f>VLOOKUP($A68,'Data Vlaue (Cr)'!$C:$FB,46)*100</f>
        <v>-27.1</v>
      </c>
      <c r="J68" s="51">
        <f>VLOOKUP($A68,'Data Vlaue (Cr)'!$C:$FB,59)</f>
        <v>1256</v>
      </c>
      <c r="K68" s="51">
        <f>VLOOKUP($A68,'Data Vlaue (Cr)'!$C:$FB,60)</f>
        <v>1748</v>
      </c>
      <c r="L68" s="51">
        <f>VLOOKUP($A68,'Data Vlaue (Cr)'!$C:$FB,62)*100</f>
        <v>-28.139999999999997</v>
      </c>
      <c r="M68" s="51">
        <f>VLOOKUP($A68,'Data Vlaue (Cr)'!$C:$FB,63)</f>
        <v>622</v>
      </c>
      <c r="N68" s="51">
        <f>VLOOKUP($A68,'Data Vlaue (Cr)'!$C:$FB,64)</f>
        <v>821</v>
      </c>
      <c r="O68" s="51">
        <f>VLOOKUP($A68,'Data Vlaue (Cr)'!$C:$FB,66)*100</f>
        <v>-24.21</v>
      </c>
    </row>
    <row r="69" spans="1:15" x14ac:dyDescent="0.25">
      <c r="A69" s="101" t="str">
        <f>'Data Vlaue (Cr)'!C64</f>
        <v>EXIDEIND</v>
      </c>
      <c r="B69" s="50">
        <f>VLOOKUP($A69,'Data Vlaue (Cr)'!$C:$FB,8)</f>
        <v>311.25</v>
      </c>
      <c r="C69" s="50">
        <f>VLOOKUP($A69,'Data Vlaue (Cr)'!$C:$FB,11)*100</f>
        <v>-0.91999999999999993</v>
      </c>
      <c r="D69" s="50">
        <f>VLOOKUP($A69,'Data Vlaue (Cr)'!$C:$FB,143)</f>
        <v>1029.29</v>
      </c>
      <c r="E69" s="50">
        <f>VLOOKUP($A69,'Data Vlaue (Cr)'!$C:$FB,144)</f>
        <v>812.84</v>
      </c>
      <c r="F69" s="50">
        <f>VLOOKUP($A69,'Data Vlaue (Cr)'!$C:$FB,146)*100</f>
        <v>26.63</v>
      </c>
      <c r="G69" s="49">
        <f>VLOOKUP($A69,'Data Vlaue (Cr)'!$C:$FB,43)</f>
        <v>185</v>
      </c>
      <c r="H69" s="49">
        <f>VLOOKUP($A69,'Data Vlaue (Cr)'!$C:$FB,44)</f>
        <v>170</v>
      </c>
      <c r="I69" s="49">
        <f>VLOOKUP($A69,'Data Vlaue (Cr)'!$C:$FB,46)*100</f>
        <v>8.67</v>
      </c>
      <c r="J69" s="51">
        <f>VLOOKUP($A69,'Data Vlaue (Cr)'!$C:$FB,59)</f>
        <v>381</v>
      </c>
      <c r="K69" s="51">
        <f>VLOOKUP($A69,'Data Vlaue (Cr)'!$C:$FB,60)</f>
        <v>437</v>
      </c>
      <c r="L69" s="51">
        <f>VLOOKUP($A69,'Data Vlaue (Cr)'!$C:$FB,62)*100</f>
        <v>-12.98</v>
      </c>
      <c r="M69" s="51">
        <f>VLOOKUP($A69,'Data Vlaue (Cr)'!$C:$FB,63)</f>
        <v>442</v>
      </c>
      <c r="N69" s="51">
        <f>VLOOKUP($A69,'Data Vlaue (Cr)'!$C:$FB,64)</f>
        <v>181</v>
      </c>
      <c r="O69" s="51">
        <f>VLOOKUP($A69,'Data Vlaue (Cr)'!$C:$FB,66)*100</f>
        <v>144.28</v>
      </c>
    </row>
    <row r="70" spans="1:15" x14ac:dyDescent="0.25">
      <c r="A70" s="101" t="str">
        <f>'Data Vlaue (Cr)'!C65</f>
        <v>FEDERALBNK</v>
      </c>
      <c r="B70" s="50">
        <f>VLOOKUP($A70,'Data Vlaue (Cr)'!$C:$FB,8)</f>
        <v>283.3</v>
      </c>
      <c r="C70" s="50">
        <f>VLOOKUP($A70,'Data Vlaue (Cr)'!$C:$FB,11)*100</f>
        <v>-0.4</v>
      </c>
      <c r="D70" s="50">
        <f>VLOOKUP($A70,'Data Vlaue (Cr)'!$C:$FB,143)</f>
        <v>1500.66</v>
      </c>
      <c r="E70" s="50">
        <f>VLOOKUP($A70,'Data Vlaue (Cr)'!$C:$FB,144)</f>
        <v>2329.38</v>
      </c>
      <c r="F70" s="50">
        <f>VLOOKUP($A70,'Data Vlaue (Cr)'!$C:$FB,146)*100</f>
        <v>-35.58</v>
      </c>
      <c r="G70" s="49">
        <f>VLOOKUP($A70,'Data Vlaue (Cr)'!$C:$FB,43)</f>
        <v>356</v>
      </c>
      <c r="H70" s="49">
        <f>VLOOKUP($A70,'Data Vlaue (Cr)'!$C:$FB,44)</f>
        <v>572</v>
      </c>
      <c r="I70" s="49">
        <f>VLOOKUP($A70,'Data Vlaue (Cr)'!$C:$FB,46)*100</f>
        <v>-37.71</v>
      </c>
      <c r="J70" s="51">
        <f>VLOOKUP($A70,'Data Vlaue (Cr)'!$C:$FB,59)</f>
        <v>703</v>
      </c>
      <c r="K70" s="51">
        <f>VLOOKUP($A70,'Data Vlaue (Cr)'!$C:$FB,60)</f>
        <v>1054</v>
      </c>
      <c r="L70" s="51">
        <f>VLOOKUP($A70,'Data Vlaue (Cr)'!$C:$FB,62)*100</f>
        <v>-33.35</v>
      </c>
      <c r="M70" s="51">
        <f>VLOOKUP($A70,'Data Vlaue (Cr)'!$C:$FB,63)</f>
        <v>417</v>
      </c>
      <c r="N70" s="51">
        <f>VLOOKUP($A70,'Data Vlaue (Cr)'!$C:$FB,64)</f>
        <v>674</v>
      </c>
      <c r="O70" s="51">
        <f>VLOOKUP($A70,'Data Vlaue (Cr)'!$C:$FB,66)*100</f>
        <v>-38.119999999999997</v>
      </c>
    </row>
    <row r="71" spans="1:15" x14ac:dyDescent="0.25">
      <c r="A71" s="101" t="str">
        <f>'Data Vlaue (Cr)'!C66</f>
        <v>FINNIFTY</v>
      </c>
      <c r="B71" s="50">
        <f>VLOOKUP($A71,'Data Vlaue (Cr)'!$C:$FB,8)</f>
        <v>25685.85</v>
      </c>
      <c r="C71" s="50">
        <f>VLOOKUP($A71,'Data Vlaue (Cr)'!$C:$FB,11)*100</f>
        <v>-1.41</v>
      </c>
      <c r="D71" s="50">
        <f>VLOOKUP($A71,'Data Vlaue (Cr)'!$C:$FB,143)</f>
        <v>1079.3699999999999</v>
      </c>
      <c r="E71" s="50">
        <f>VLOOKUP($A71,'Data Vlaue (Cr)'!$C:$FB,144)</f>
        <v>1347.53</v>
      </c>
      <c r="F71" s="50">
        <f>VLOOKUP($A71,'Data Vlaue (Cr)'!$C:$FB,146)*100</f>
        <v>-19.900000000000002</v>
      </c>
      <c r="G71" s="49">
        <f>VLOOKUP($A71,'Data Vlaue (Cr)'!$C:$FB,43)</f>
        <v>26</v>
      </c>
      <c r="H71" s="49">
        <f>VLOOKUP($A71,'Data Vlaue (Cr)'!$C:$FB,44)</f>
        <v>44</v>
      </c>
      <c r="I71" s="49">
        <f>VLOOKUP($A71,'Data Vlaue (Cr)'!$C:$FB,46)*100</f>
        <v>-41.61</v>
      </c>
      <c r="J71" s="51">
        <f>VLOOKUP($A71,'Data Vlaue (Cr)'!$C:$FB,59)</f>
        <v>540</v>
      </c>
      <c r="K71" s="51">
        <f>VLOOKUP($A71,'Data Vlaue (Cr)'!$C:$FB,60)</f>
        <v>866</v>
      </c>
      <c r="L71" s="51">
        <f>VLOOKUP($A71,'Data Vlaue (Cr)'!$C:$FB,62)*100</f>
        <v>-37.6</v>
      </c>
      <c r="M71" s="51">
        <f>VLOOKUP($A71,'Data Vlaue (Cr)'!$C:$FB,63)</f>
        <v>495</v>
      </c>
      <c r="N71" s="51">
        <f>VLOOKUP($A71,'Data Vlaue (Cr)'!$C:$FB,64)</f>
        <v>390</v>
      </c>
      <c r="O71" s="51">
        <f>VLOOKUP($A71,'Data Vlaue (Cr)'!$C:$FB,66)*100</f>
        <v>26.85</v>
      </c>
    </row>
    <row r="72" spans="1:15" x14ac:dyDescent="0.25">
      <c r="A72" s="101" t="str">
        <f>'Data Vlaue (Cr)'!C67</f>
        <v>FORCEMOT</v>
      </c>
      <c r="B72" s="50">
        <f>VLOOKUP($A72,'Data Vlaue (Cr)'!$C:$FB,8)</f>
        <v>22168</v>
      </c>
      <c r="C72" s="50">
        <f>VLOOKUP($A72,'Data Vlaue (Cr)'!$C:$FB,11)*100</f>
        <v>0.42</v>
      </c>
      <c r="D72" s="50">
        <f>VLOOKUP($A72,'Data Vlaue (Cr)'!$C:$FB,143)</f>
        <v>444.04</v>
      </c>
      <c r="E72" s="50">
        <f>VLOOKUP($A72,'Data Vlaue (Cr)'!$C:$FB,144)</f>
        <v>1228.42</v>
      </c>
      <c r="F72" s="50">
        <f>VLOOKUP($A72,'Data Vlaue (Cr)'!$C:$FB,146)*100</f>
        <v>-63.849999999999994</v>
      </c>
      <c r="G72" s="49">
        <f>VLOOKUP($A72,'Data Vlaue (Cr)'!$C:$FB,43)</f>
        <v>126</v>
      </c>
      <c r="H72" s="49">
        <f>VLOOKUP($A72,'Data Vlaue (Cr)'!$C:$FB,44)</f>
        <v>367</v>
      </c>
      <c r="I72" s="49">
        <f>VLOOKUP($A72,'Data Vlaue (Cr)'!$C:$FB,46)*100</f>
        <v>-65.55</v>
      </c>
      <c r="J72" s="51">
        <f>VLOOKUP($A72,'Data Vlaue (Cr)'!$C:$FB,59)</f>
        <v>191</v>
      </c>
      <c r="K72" s="51">
        <f>VLOOKUP($A72,'Data Vlaue (Cr)'!$C:$FB,60)</f>
        <v>669</v>
      </c>
      <c r="L72" s="51">
        <f>VLOOKUP($A72,'Data Vlaue (Cr)'!$C:$FB,62)*100</f>
        <v>-71.460000000000008</v>
      </c>
      <c r="M72" s="51">
        <f>VLOOKUP($A72,'Data Vlaue (Cr)'!$C:$FB,63)</f>
        <v>117</v>
      </c>
      <c r="N72" s="51">
        <f>VLOOKUP($A72,'Data Vlaue (Cr)'!$C:$FB,64)</f>
        <v>187</v>
      </c>
      <c r="O72" s="51">
        <f>VLOOKUP($A72,'Data Vlaue (Cr)'!$C:$FB,66)*100</f>
        <v>-37.46</v>
      </c>
    </row>
    <row r="73" spans="1:15" x14ac:dyDescent="0.25">
      <c r="A73" s="101" t="str">
        <f>'Data Vlaue (Cr)'!C68</f>
        <v>FORTIS</v>
      </c>
      <c r="B73" s="50">
        <f>VLOOKUP($A73,'Data Vlaue (Cr)'!$C:$FB,8)</f>
        <v>850.05</v>
      </c>
      <c r="C73" s="50">
        <f>VLOOKUP($A73,'Data Vlaue (Cr)'!$C:$FB,11)*100</f>
        <v>1.1299999999999999</v>
      </c>
      <c r="D73" s="50">
        <f>VLOOKUP($A73,'Data Vlaue (Cr)'!$C:$FB,143)</f>
        <v>323.52</v>
      </c>
      <c r="E73" s="50">
        <f>VLOOKUP($A73,'Data Vlaue (Cr)'!$C:$FB,144)</f>
        <v>510.36</v>
      </c>
      <c r="F73" s="50">
        <f>VLOOKUP($A73,'Data Vlaue (Cr)'!$C:$FB,146)*100</f>
        <v>-36.61</v>
      </c>
      <c r="G73" s="49">
        <f>VLOOKUP($A73,'Data Vlaue (Cr)'!$C:$FB,43)</f>
        <v>115</v>
      </c>
      <c r="H73" s="49">
        <f>VLOOKUP($A73,'Data Vlaue (Cr)'!$C:$FB,44)</f>
        <v>192</v>
      </c>
      <c r="I73" s="49">
        <f>VLOOKUP($A73,'Data Vlaue (Cr)'!$C:$FB,46)*100</f>
        <v>-40.28</v>
      </c>
      <c r="J73" s="51">
        <f>VLOOKUP($A73,'Data Vlaue (Cr)'!$C:$FB,59)</f>
        <v>159</v>
      </c>
      <c r="K73" s="51">
        <f>VLOOKUP($A73,'Data Vlaue (Cr)'!$C:$FB,60)</f>
        <v>212</v>
      </c>
      <c r="L73" s="51">
        <f>VLOOKUP($A73,'Data Vlaue (Cr)'!$C:$FB,62)*100</f>
        <v>-24.73</v>
      </c>
      <c r="M73" s="51">
        <f>VLOOKUP($A73,'Data Vlaue (Cr)'!$C:$FB,63)</f>
        <v>43</v>
      </c>
      <c r="N73" s="51">
        <f>VLOOKUP($A73,'Data Vlaue (Cr)'!$C:$FB,64)</f>
        <v>100</v>
      </c>
      <c r="O73" s="51">
        <f>VLOOKUP($A73,'Data Vlaue (Cr)'!$C:$FB,66)*100</f>
        <v>-57.17</v>
      </c>
    </row>
    <row r="74" spans="1:15" x14ac:dyDescent="0.25">
      <c r="A74" s="101" t="str">
        <f>'Data Vlaue (Cr)'!C69</f>
        <v>GAIL</v>
      </c>
      <c r="B74" s="50">
        <f>VLOOKUP($A74,'Data Vlaue (Cr)'!$C:$FB,8)</f>
        <v>152.22</v>
      </c>
      <c r="C74" s="50">
        <f>VLOOKUP($A74,'Data Vlaue (Cr)'!$C:$FB,11)*100</f>
        <v>-0.70000000000000007</v>
      </c>
      <c r="D74" s="50">
        <f>VLOOKUP($A74,'Data Vlaue (Cr)'!$C:$FB,143)</f>
        <v>444.05</v>
      </c>
      <c r="E74" s="50">
        <f>VLOOKUP($A74,'Data Vlaue (Cr)'!$C:$FB,144)</f>
        <v>1410.89</v>
      </c>
      <c r="F74" s="50">
        <f>VLOOKUP($A74,'Data Vlaue (Cr)'!$C:$FB,146)*100</f>
        <v>-68.53</v>
      </c>
      <c r="G74" s="49">
        <f>VLOOKUP($A74,'Data Vlaue (Cr)'!$C:$FB,43)</f>
        <v>123</v>
      </c>
      <c r="H74" s="49">
        <f>VLOOKUP($A74,'Data Vlaue (Cr)'!$C:$FB,44)</f>
        <v>332</v>
      </c>
      <c r="I74" s="49">
        <f>VLOOKUP($A74,'Data Vlaue (Cr)'!$C:$FB,46)*100</f>
        <v>-62.960000000000008</v>
      </c>
      <c r="J74" s="51">
        <f>VLOOKUP($A74,'Data Vlaue (Cr)'!$C:$FB,59)</f>
        <v>188</v>
      </c>
      <c r="K74" s="51">
        <f>VLOOKUP($A74,'Data Vlaue (Cr)'!$C:$FB,60)</f>
        <v>611</v>
      </c>
      <c r="L74" s="51">
        <f>VLOOKUP($A74,'Data Vlaue (Cr)'!$C:$FB,62)*100</f>
        <v>-69.27</v>
      </c>
      <c r="M74" s="51">
        <f>VLOOKUP($A74,'Data Vlaue (Cr)'!$C:$FB,63)</f>
        <v>125</v>
      </c>
      <c r="N74" s="51">
        <f>VLOOKUP($A74,'Data Vlaue (Cr)'!$C:$FB,64)</f>
        <v>455</v>
      </c>
      <c r="O74" s="51">
        <f>VLOOKUP($A74,'Data Vlaue (Cr)'!$C:$FB,66)*100</f>
        <v>-72.56</v>
      </c>
    </row>
    <row r="75" spans="1:15" x14ac:dyDescent="0.25">
      <c r="A75" s="101" t="str">
        <f>'Data Vlaue (Cr)'!C70</f>
        <v>GLENMARK</v>
      </c>
      <c r="B75" s="50">
        <f>VLOOKUP($A75,'Data Vlaue (Cr)'!$C:$FB,8)</f>
        <v>2169.1</v>
      </c>
      <c r="C75" s="50">
        <f>VLOOKUP($A75,'Data Vlaue (Cr)'!$C:$FB,11)*100</f>
        <v>-0.2</v>
      </c>
      <c r="D75" s="50">
        <f>VLOOKUP($A75,'Data Vlaue (Cr)'!$C:$FB,143)</f>
        <v>778.07</v>
      </c>
      <c r="E75" s="50">
        <f>VLOOKUP($A75,'Data Vlaue (Cr)'!$C:$FB,144)</f>
        <v>956.06</v>
      </c>
      <c r="F75" s="50">
        <f>VLOOKUP($A75,'Data Vlaue (Cr)'!$C:$FB,146)*100</f>
        <v>-18.62</v>
      </c>
      <c r="G75" s="49">
        <f>VLOOKUP($A75,'Data Vlaue (Cr)'!$C:$FB,43)</f>
        <v>185</v>
      </c>
      <c r="H75" s="49">
        <f>VLOOKUP($A75,'Data Vlaue (Cr)'!$C:$FB,44)</f>
        <v>223</v>
      </c>
      <c r="I75" s="49">
        <f>VLOOKUP($A75,'Data Vlaue (Cr)'!$C:$FB,46)*100</f>
        <v>-17.23</v>
      </c>
      <c r="J75" s="51">
        <f>VLOOKUP($A75,'Data Vlaue (Cr)'!$C:$FB,59)</f>
        <v>337</v>
      </c>
      <c r="K75" s="51">
        <f>VLOOKUP($A75,'Data Vlaue (Cr)'!$C:$FB,60)</f>
        <v>492</v>
      </c>
      <c r="L75" s="51">
        <f>VLOOKUP($A75,'Data Vlaue (Cr)'!$C:$FB,62)*100</f>
        <v>-31.55</v>
      </c>
      <c r="M75" s="51">
        <f>VLOOKUP($A75,'Data Vlaue (Cr)'!$C:$FB,63)</f>
        <v>258</v>
      </c>
      <c r="N75" s="51">
        <f>VLOOKUP($A75,'Data Vlaue (Cr)'!$C:$FB,64)</f>
        <v>226</v>
      </c>
      <c r="O75" s="51">
        <f>VLOOKUP($A75,'Data Vlaue (Cr)'!$C:$FB,66)*100</f>
        <v>14.069999999999999</v>
      </c>
    </row>
    <row r="76" spans="1:15" x14ac:dyDescent="0.25">
      <c r="A76" s="101" t="str">
        <f>'Data Vlaue (Cr)'!C71</f>
        <v>GMRAIRPORT</v>
      </c>
      <c r="B76" s="50">
        <f>VLOOKUP($A76,'Data Vlaue (Cr)'!$C:$FB,8)</f>
        <v>94.53</v>
      </c>
      <c r="C76" s="50">
        <f>VLOOKUP($A76,'Data Vlaue (Cr)'!$C:$FB,11)*100</f>
        <v>-1.35</v>
      </c>
      <c r="D76" s="50">
        <f>VLOOKUP($A76,'Data Vlaue (Cr)'!$C:$FB,143)</f>
        <v>601.32000000000005</v>
      </c>
      <c r="E76" s="50">
        <f>VLOOKUP($A76,'Data Vlaue (Cr)'!$C:$FB,144)</f>
        <v>820.89</v>
      </c>
      <c r="F76" s="50">
        <f>VLOOKUP($A76,'Data Vlaue (Cr)'!$C:$FB,146)*100</f>
        <v>-26.75</v>
      </c>
      <c r="G76" s="49">
        <f>VLOOKUP($A76,'Data Vlaue (Cr)'!$C:$FB,43)</f>
        <v>180</v>
      </c>
      <c r="H76" s="49">
        <f>VLOOKUP($A76,'Data Vlaue (Cr)'!$C:$FB,44)</f>
        <v>229</v>
      </c>
      <c r="I76" s="49">
        <f>VLOOKUP($A76,'Data Vlaue (Cr)'!$C:$FB,46)*100</f>
        <v>-21.46</v>
      </c>
      <c r="J76" s="51">
        <f>VLOOKUP($A76,'Data Vlaue (Cr)'!$C:$FB,59)</f>
        <v>272</v>
      </c>
      <c r="K76" s="51">
        <f>VLOOKUP($A76,'Data Vlaue (Cr)'!$C:$FB,60)</f>
        <v>360</v>
      </c>
      <c r="L76" s="51">
        <f>VLOOKUP($A76,'Data Vlaue (Cr)'!$C:$FB,62)*100</f>
        <v>-24.41</v>
      </c>
      <c r="M76" s="51">
        <f>VLOOKUP($A76,'Data Vlaue (Cr)'!$C:$FB,63)</f>
        <v>135</v>
      </c>
      <c r="N76" s="51">
        <f>VLOOKUP($A76,'Data Vlaue (Cr)'!$C:$FB,64)</f>
        <v>213</v>
      </c>
      <c r="O76" s="51">
        <f>VLOOKUP($A76,'Data Vlaue (Cr)'!$C:$FB,66)*100</f>
        <v>-36.620000000000005</v>
      </c>
    </row>
    <row r="77" spans="1:15" x14ac:dyDescent="0.25">
      <c r="A77" s="101" t="str">
        <f>'Data Vlaue (Cr)'!C72</f>
        <v>GODFRYPHLP</v>
      </c>
      <c r="B77" s="50">
        <f>VLOOKUP($A77,'Data Vlaue (Cr)'!$C:$FB,8)</f>
        <v>2034.8</v>
      </c>
      <c r="C77" s="50">
        <f>VLOOKUP($A77,'Data Vlaue (Cr)'!$C:$FB,11)*100</f>
        <v>1.46</v>
      </c>
      <c r="D77" s="50">
        <f>VLOOKUP($A77,'Data Vlaue (Cr)'!$C:$FB,143)</f>
        <v>240.1</v>
      </c>
      <c r="E77" s="50">
        <f>VLOOKUP($A77,'Data Vlaue (Cr)'!$C:$FB,144)</f>
        <v>89.71</v>
      </c>
      <c r="F77" s="50">
        <f>VLOOKUP($A77,'Data Vlaue (Cr)'!$C:$FB,146)*100</f>
        <v>167.65</v>
      </c>
      <c r="G77" s="49">
        <f>VLOOKUP($A77,'Data Vlaue (Cr)'!$C:$FB,43)</f>
        <v>66</v>
      </c>
      <c r="H77" s="49">
        <f>VLOOKUP($A77,'Data Vlaue (Cr)'!$C:$FB,44)</f>
        <v>40</v>
      </c>
      <c r="I77" s="49">
        <f>VLOOKUP($A77,'Data Vlaue (Cr)'!$C:$FB,46)*100</f>
        <v>64.08</v>
      </c>
      <c r="J77" s="51">
        <f>VLOOKUP($A77,'Data Vlaue (Cr)'!$C:$FB,59)</f>
        <v>139</v>
      </c>
      <c r="K77" s="51">
        <f>VLOOKUP($A77,'Data Vlaue (Cr)'!$C:$FB,60)</f>
        <v>35</v>
      </c>
      <c r="L77" s="51">
        <f>VLOOKUP($A77,'Data Vlaue (Cr)'!$C:$FB,62)*100</f>
        <v>299.84000000000003</v>
      </c>
      <c r="M77" s="51">
        <f>VLOOKUP($A77,'Data Vlaue (Cr)'!$C:$FB,63)</f>
        <v>25</v>
      </c>
      <c r="N77" s="51">
        <f>VLOOKUP($A77,'Data Vlaue (Cr)'!$C:$FB,64)</f>
        <v>15</v>
      </c>
      <c r="O77" s="51">
        <f>VLOOKUP($A77,'Data Vlaue (Cr)'!$C:$FB,66)*100</f>
        <v>72.8</v>
      </c>
    </row>
    <row r="78" spans="1:15" x14ac:dyDescent="0.25">
      <c r="A78" s="101" t="str">
        <f>'Data Vlaue (Cr)'!C73</f>
        <v>GODREJCP</v>
      </c>
      <c r="B78" s="50">
        <f>VLOOKUP($A78,'Data Vlaue (Cr)'!$C:$FB,8)</f>
        <v>1063.3499999999999</v>
      </c>
      <c r="C78" s="50">
        <f>VLOOKUP($A78,'Data Vlaue (Cr)'!$C:$FB,11)*100</f>
        <v>-1.0999999999999999</v>
      </c>
      <c r="D78" s="50">
        <f>VLOOKUP($A78,'Data Vlaue (Cr)'!$C:$FB,143)</f>
        <v>291.58</v>
      </c>
      <c r="E78" s="50">
        <f>VLOOKUP($A78,'Data Vlaue (Cr)'!$C:$FB,144)</f>
        <v>868.27</v>
      </c>
      <c r="F78" s="50">
        <f>VLOOKUP($A78,'Data Vlaue (Cr)'!$C:$FB,146)*100</f>
        <v>-66.42</v>
      </c>
      <c r="G78" s="49">
        <f>VLOOKUP($A78,'Data Vlaue (Cr)'!$C:$FB,43)</f>
        <v>142</v>
      </c>
      <c r="H78" s="49">
        <f>VLOOKUP($A78,'Data Vlaue (Cr)'!$C:$FB,44)</f>
        <v>371</v>
      </c>
      <c r="I78" s="49">
        <f>VLOOKUP($A78,'Data Vlaue (Cr)'!$C:$FB,46)*100</f>
        <v>-61.71</v>
      </c>
      <c r="J78" s="51">
        <f>VLOOKUP($A78,'Data Vlaue (Cr)'!$C:$FB,59)</f>
        <v>87</v>
      </c>
      <c r="K78" s="51">
        <f>VLOOKUP($A78,'Data Vlaue (Cr)'!$C:$FB,60)</f>
        <v>309</v>
      </c>
      <c r="L78" s="51">
        <f>VLOOKUP($A78,'Data Vlaue (Cr)'!$C:$FB,62)*100</f>
        <v>-71.7</v>
      </c>
      <c r="M78" s="51">
        <f>VLOOKUP($A78,'Data Vlaue (Cr)'!$C:$FB,63)</f>
        <v>58</v>
      </c>
      <c r="N78" s="51">
        <f>VLOOKUP($A78,'Data Vlaue (Cr)'!$C:$FB,64)</f>
        <v>169</v>
      </c>
      <c r="O78" s="51">
        <f>VLOOKUP($A78,'Data Vlaue (Cr)'!$C:$FB,66)*100</f>
        <v>-65.849999999999994</v>
      </c>
    </row>
    <row r="79" spans="1:15" x14ac:dyDescent="0.25">
      <c r="A79" s="101" t="str">
        <f>'Data Vlaue (Cr)'!C74</f>
        <v>GODREJPROP</v>
      </c>
      <c r="B79" s="50">
        <f>VLOOKUP($A79,'Data Vlaue (Cr)'!$C:$FB,8)</f>
        <v>1695.5</v>
      </c>
      <c r="C79" s="50">
        <f>VLOOKUP($A79,'Data Vlaue (Cr)'!$C:$FB,11)*100</f>
        <v>-0.38999999999999996</v>
      </c>
      <c r="D79" s="50">
        <f>VLOOKUP($A79,'Data Vlaue (Cr)'!$C:$FB,143)</f>
        <v>596.97</v>
      </c>
      <c r="E79" s="50">
        <f>VLOOKUP($A79,'Data Vlaue (Cr)'!$C:$FB,144)</f>
        <v>1189.1400000000001</v>
      </c>
      <c r="F79" s="50">
        <f>VLOOKUP($A79,'Data Vlaue (Cr)'!$C:$FB,146)*100</f>
        <v>-49.8</v>
      </c>
      <c r="G79" s="49">
        <f>VLOOKUP($A79,'Data Vlaue (Cr)'!$C:$FB,43)</f>
        <v>158</v>
      </c>
      <c r="H79" s="49">
        <f>VLOOKUP($A79,'Data Vlaue (Cr)'!$C:$FB,44)</f>
        <v>235</v>
      </c>
      <c r="I79" s="49">
        <f>VLOOKUP($A79,'Data Vlaue (Cr)'!$C:$FB,46)*100</f>
        <v>-32.61</v>
      </c>
      <c r="J79" s="51">
        <f>VLOOKUP($A79,'Data Vlaue (Cr)'!$C:$FB,59)</f>
        <v>223</v>
      </c>
      <c r="K79" s="51">
        <f>VLOOKUP($A79,'Data Vlaue (Cr)'!$C:$FB,60)</f>
        <v>590</v>
      </c>
      <c r="L79" s="51">
        <f>VLOOKUP($A79,'Data Vlaue (Cr)'!$C:$FB,62)*100</f>
        <v>-62.239999999999995</v>
      </c>
      <c r="M79" s="51">
        <f>VLOOKUP($A79,'Data Vlaue (Cr)'!$C:$FB,63)</f>
        <v>207</v>
      </c>
      <c r="N79" s="51">
        <f>VLOOKUP($A79,'Data Vlaue (Cr)'!$C:$FB,64)</f>
        <v>344</v>
      </c>
      <c r="O79" s="51">
        <f>VLOOKUP($A79,'Data Vlaue (Cr)'!$C:$FB,66)*100</f>
        <v>-39.770000000000003</v>
      </c>
    </row>
    <row r="80" spans="1:15" x14ac:dyDescent="0.25">
      <c r="A80" s="101" t="str">
        <f>'Data Vlaue (Cr)'!C75</f>
        <v>GRASIM</v>
      </c>
      <c r="B80" s="50">
        <f>VLOOKUP($A80,'Data Vlaue (Cr)'!$C:$FB,8)</f>
        <v>2740.5</v>
      </c>
      <c r="C80" s="50">
        <f>VLOOKUP($A80,'Data Vlaue (Cr)'!$C:$FB,11)*100</f>
        <v>-0.57000000000000006</v>
      </c>
      <c r="D80" s="50">
        <f>VLOOKUP($A80,'Data Vlaue (Cr)'!$C:$FB,143)</f>
        <v>575.85</v>
      </c>
      <c r="E80" s="50">
        <f>VLOOKUP($A80,'Data Vlaue (Cr)'!$C:$FB,144)</f>
        <v>1056.1300000000001</v>
      </c>
      <c r="F80" s="50">
        <f>VLOOKUP($A80,'Data Vlaue (Cr)'!$C:$FB,146)*100</f>
        <v>-45.48</v>
      </c>
      <c r="G80" s="49">
        <f>VLOOKUP($A80,'Data Vlaue (Cr)'!$C:$FB,43)</f>
        <v>214</v>
      </c>
      <c r="H80" s="49">
        <f>VLOOKUP($A80,'Data Vlaue (Cr)'!$C:$FB,44)</f>
        <v>305</v>
      </c>
      <c r="I80" s="49">
        <f>VLOOKUP($A80,'Data Vlaue (Cr)'!$C:$FB,46)*100</f>
        <v>-29.92</v>
      </c>
      <c r="J80" s="51">
        <f>VLOOKUP($A80,'Data Vlaue (Cr)'!$C:$FB,59)</f>
        <v>203</v>
      </c>
      <c r="K80" s="51">
        <f>VLOOKUP($A80,'Data Vlaue (Cr)'!$C:$FB,60)</f>
        <v>439</v>
      </c>
      <c r="L80" s="51">
        <f>VLOOKUP($A80,'Data Vlaue (Cr)'!$C:$FB,62)*100</f>
        <v>-53.849999999999994</v>
      </c>
      <c r="M80" s="51">
        <f>VLOOKUP($A80,'Data Vlaue (Cr)'!$C:$FB,63)</f>
        <v>154</v>
      </c>
      <c r="N80" s="51">
        <f>VLOOKUP($A80,'Data Vlaue (Cr)'!$C:$FB,64)</f>
        <v>295</v>
      </c>
      <c r="O80" s="51">
        <f>VLOOKUP($A80,'Data Vlaue (Cr)'!$C:$FB,66)*100</f>
        <v>-47.77</v>
      </c>
    </row>
    <row r="81" spans="1:15" x14ac:dyDescent="0.25">
      <c r="A81" s="101" t="str">
        <f>'Data Vlaue (Cr)'!C76</f>
        <v>HAL</v>
      </c>
      <c r="B81" s="50">
        <f>VLOOKUP($A81,'Data Vlaue (Cr)'!$C:$FB,8)</f>
        <v>4032.9</v>
      </c>
      <c r="C81" s="50">
        <f>VLOOKUP($A81,'Data Vlaue (Cr)'!$C:$FB,11)*100</f>
        <v>3.2099999999999995</v>
      </c>
      <c r="D81" s="50">
        <f>VLOOKUP($A81,'Data Vlaue (Cr)'!$C:$FB,143)</f>
        <v>9965.64</v>
      </c>
      <c r="E81" s="50">
        <f>VLOOKUP($A81,'Data Vlaue (Cr)'!$C:$FB,144)</f>
        <v>2817.49</v>
      </c>
      <c r="F81" s="50">
        <f>VLOOKUP($A81,'Data Vlaue (Cr)'!$C:$FB,146)*100</f>
        <v>253.71</v>
      </c>
      <c r="G81" s="49">
        <f>VLOOKUP($A81,'Data Vlaue (Cr)'!$C:$FB,43)</f>
        <v>915</v>
      </c>
      <c r="H81" s="49">
        <f>VLOOKUP($A81,'Data Vlaue (Cr)'!$C:$FB,44)</f>
        <v>481</v>
      </c>
      <c r="I81" s="49">
        <f>VLOOKUP($A81,'Data Vlaue (Cr)'!$C:$FB,46)*100</f>
        <v>90.24</v>
      </c>
      <c r="J81" s="51">
        <f>VLOOKUP($A81,'Data Vlaue (Cr)'!$C:$FB,59)</f>
        <v>6367</v>
      </c>
      <c r="K81" s="51">
        <f>VLOOKUP($A81,'Data Vlaue (Cr)'!$C:$FB,60)</f>
        <v>1592</v>
      </c>
      <c r="L81" s="51">
        <f>VLOOKUP($A81,'Data Vlaue (Cr)'!$C:$FB,62)*100</f>
        <v>299.90000000000003</v>
      </c>
      <c r="M81" s="51">
        <f>VLOOKUP($A81,'Data Vlaue (Cr)'!$C:$FB,63)</f>
        <v>2368</v>
      </c>
      <c r="N81" s="51">
        <f>VLOOKUP($A81,'Data Vlaue (Cr)'!$C:$FB,64)</f>
        <v>788</v>
      </c>
      <c r="O81" s="51">
        <f>VLOOKUP($A81,'Data Vlaue (Cr)'!$C:$FB,66)*100</f>
        <v>200.36999999999998</v>
      </c>
    </row>
    <row r="82" spans="1:15" x14ac:dyDescent="0.25">
      <c r="A82" s="101" t="str">
        <f>'Data Vlaue (Cr)'!C77</f>
        <v>HAVELLS</v>
      </c>
      <c r="B82" s="50">
        <f>VLOOKUP($A82,'Data Vlaue (Cr)'!$C:$FB,8)</f>
        <v>1257</v>
      </c>
      <c r="C82" s="50">
        <f>VLOOKUP($A82,'Data Vlaue (Cr)'!$C:$FB,11)*100</f>
        <v>0.85000000000000009</v>
      </c>
      <c r="D82" s="50">
        <f>VLOOKUP($A82,'Data Vlaue (Cr)'!$C:$FB,143)</f>
        <v>428.59</v>
      </c>
      <c r="E82" s="50">
        <f>VLOOKUP($A82,'Data Vlaue (Cr)'!$C:$FB,144)</f>
        <v>689.02</v>
      </c>
      <c r="F82" s="50">
        <f>VLOOKUP($A82,'Data Vlaue (Cr)'!$C:$FB,146)*100</f>
        <v>-37.799999999999997</v>
      </c>
      <c r="G82" s="49">
        <f>VLOOKUP($A82,'Data Vlaue (Cr)'!$C:$FB,43)</f>
        <v>164</v>
      </c>
      <c r="H82" s="49">
        <f>VLOOKUP($A82,'Data Vlaue (Cr)'!$C:$FB,44)</f>
        <v>194</v>
      </c>
      <c r="I82" s="49">
        <f>VLOOKUP($A82,'Data Vlaue (Cr)'!$C:$FB,46)*100</f>
        <v>-15.78</v>
      </c>
      <c r="J82" s="51">
        <f>VLOOKUP($A82,'Data Vlaue (Cr)'!$C:$FB,59)</f>
        <v>175</v>
      </c>
      <c r="K82" s="51">
        <f>VLOOKUP($A82,'Data Vlaue (Cr)'!$C:$FB,60)</f>
        <v>304</v>
      </c>
      <c r="L82" s="51">
        <f>VLOOKUP($A82,'Data Vlaue (Cr)'!$C:$FB,62)*100</f>
        <v>-42.3</v>
      </c>
      <c r="M82" s="51">
        <f>VLOOKUP($A82,'Data Vlaue (Cr)'!$C:$FB,63)</f>
        <v>80</v>
      </c>
      <c r="N82" s="51">
        <f>VLOOKUP($A82,'Data Vlaue (Cr)'!$C:$FB,64)</f>
        <v>174</v>
      </c>
      <c r="O82" s="51">
        <f>VLOOKUP($A82,'Data Vlaue (Cr)'!$C:$FB,66)*100</f>
        <v>-54.15</v>
      </c>
    </row>
    <row r="83" spans="1:15" x14ac:dyDescent="0.25">
      <c r="A83" s="101" t="str">
        <f>'Data Vlaue (Cr)'!C78</f>
        <v>HCLTECH</v>
      </c>
      <c r="B83" s="50">
        <f>VLOOKUP($A83,'Data Vlaue (Cr)'!$C:$FB,8)</f>
        <v>1464.9</v>
      </c>
      <c r="C83" s="50">
        <f>VLOOKUP($A83,'Data Vlaue (Cr)'!$C:$FB,11)*100</f>
        <v>0.27</v>
      </c>
      <c r="D83" s="50">
        <f>VLOOKUP($A83,'Data Vlaue (Cr)'!$C:$FB,143)</f>
        <v>2748.57</v>
      </c>
      <c r="E83" s="50">
        <f>VLOOKUP($A83,'Data Vlaue (Cr)'!$C:$FB,144)</f>
        <v>2295.98</v>
      </c>
      <c r="F83" s="50">
        <f>VLOOKUP($A83,'Data Vlaue (Cr)'!$C:$FB,146)*100</f>
        <v>19.71</v>
      </c>
      <c r="G83" s="49">
        <f>VLOOKUP($A83,'Data Vlaue (Cr)'!$C:$FB,43)</f>
        <v>535</v>
      </c>
      <c r="H83" s="49">
        <f>VLOOKUP($A83,'Data Vlaue (Cr)'!$C:$FB,44)</f>
        <v>569</v>
      </c>
      <c r="I83" s="49">
        <f>VLOOKUP($A83,'Data Vlaue (Cr)'!$C:$FB,46)*100</f>
        <v>-5.9700000000000006</v>
      </c>
      <c r="J83" s="51">
        <f>VLOOKUP($A83,'Data Vlaue (Cr)'!$C:$FB,59)</f>
        <v>1320</v>
      </c>
      <c r="K83" s="51">
        <f>VLOOKUP($A83,'Data Vlaue (Cr)'!$C:$FB,60)</f>
        <v>1136</v>
      </c>
      <c r="L83" s="51">
        <f>VLOOKUP($A83,'Data Vlaue (Cr)'!$C:$FB,62)*100</f>
        <v>16.13</v>
      </c>
      <c r="M83" s="51">
        <f>VLOOKUP($A83,'Data Vlaue (Cr)'!$C:$FB,63)</f>
        <v>868</v>
      </c>
      <c r="N83" s="51">
        <f>VLOOKUP($A83,'Data Vlaue (Cr)'!$C:$FB,64)</f>
        <v>575</v>
      </c>
      <c r="O83" s="51">
        <f>VLOOKUP($A83,'Data Vlaue (Cr)'!$C:$FB,66)*100</f>
        <v>51.06</v>
      </c>
    </row>
    <row r="84" spans="1:15" x14ac:dyDescent="0.25">
      <c r="A84" s="101" t="str">
        <f>'Data Vlaue (Cr)'!C79</f>
        <v>HDFCAMC</v>
      </c>
      <c r="B84" s="50">
        <f>VLOOKUP($A84,'Data Vlaue (Cr)'!$C:$FB,8)</f>
        <v>2515</v>
      </c>
      <c r="C84" s="50">
        <f>VLOOKUP($A84,'Data Vlaue (Cr)'!$C:$FB,11)*100</f>
        <v>-0.96</v>
      </c>
      <c r="D84" s="50">
        <f>VLOOKUP($A84,'Data Vlaue (Cr)'!$C:$FB,143)</f>
        <v>753.42</v>
      </c>
      <c r="E84" s="50">
        <f>VLOOKUP($A84,'Data Vlaue (Cr)'!$C:$FB,144)</f>
        <v>1639.92</v>
      </c>
      <c r="F84" s="50">
        <f>VLOOKUP($A84,'Data Vlaue (Cr)'!$C:$FB,146)*100</f>
        <v>-54.059999999999995</v>
      </c>
      <c r="G84" s="49">
        <f>VLOOKUP($A84,'Data Vlaue (Cr)'!$C:$FB,43)</f>
        <v>277</v>
      </c>
      <c r="H84" s="49">
        <f>VLOOKUP($A84,'Data Vlaue (Cr)'!$C:$FB,44)</f>
        <v>591</v>
      </c>
      <c r="I84" s="49">
        <f>VLOOKUP($A84,'Data Vlaue (Cr)'!$C:$FB,46)*100</f>
        <v>-53.11</v>
      </c>
      <c r="J84" s="51">
        <f>VLOOKUP($A84,'Data Vlaue (Cr)'!$C:$FB,59)</f>
        <v>265</v>
      </c>
      <c r="K84" s="51">
        <f>VLOOKUP($A84,'Data Vlaue (Cr)'!$C:$FB,60)</f>
        <v>698</v>
      </c>
      <c r="L84" s="51">
        <f>VLOOKUP($A84,'Data Vlaue (Cr)'!$C:$FB,62)*100</f>
        <v>-61.95</v>
      </c>
      <c r="M84" s="51">
        <f>VLOOKUP($A84,'Data Vlaue (Cr)'!$C:$FB,63)</f>
        <v>195</v>
      </c>
      <c r="N84" s="51">
        <f>VLOOKUP($A84,'Data Vlaue (Cr)'!$C:$FB,64)</f>
        <v>324</v>
      </c>
      <c r="O84" s="51">
        <f>VLOOKUP($A84,'Data Vlaue (Cr)'!$C:$FB,66)*100</f>
        <v>-39.86</v>
      </c>
    </row>
    <row r="85" spans="1:15" x14ac:dyDescent="0.25">
      <c r="A85" s="101" t="str">
        <f>'Data Vlaue (Cr)'!C80</f>
        <v>HDFCBANK</v>
      </c>
      <c r="B85" s="50">
        <f>VLOOKUP($A85,'Data Vlaue (Cr)'!$C:$FB,8)</f>
        <v>797.7</v>
      </c>
      <c r="C85" s="50">
        <f>VLOOKUP($A85,'Data Vlaue (Cr)'!$C:$FB,11)*100</f>
        <v>-2.25</v>
      </c>
      <c r="D85" s="50">
        <f>VLOOKUP($A85,'Data Vlaue (Cr)'!$C:$FB,143)</f>
        <v>13394.52</v>
      </c>
      <c r="E85" s="50">
        <f>VLOOKUP($A85,'Data Vlaue (Cr)'!$C:$FB,144)</f>
        <v>20431.810000000001</v>
      </c>
      <c r="F85" s="50">
        <f>VLOOKUP($A85,'Data Vlaue (Cr)'!$C:$FB,146)*100</f>
        <v>-34.44</v>
      </c>
      <c r="G85" s="49">
        <f>VLOOKUP($A85,'Data Vlaue (Cr)'!$C:$FB,43)</f>
        <v>3949</v>
      </c>
      <c r="H85" s="49">
        <f>VLOOKUP($A85,'Data Vlaue (Cr)'!$C:$FB,44)</f>
        <v>3935</v>
      </c>
      <c r="I85" s="49">
        <f>VLOOKUP($A85,'Data Vlaue (Cr)'!$C:$FB,46)*100</f>
        <v>0.35000000000000003</v>
      </c>
      <c r="J85" s="51">
        <f>VLOOKUP($A85,'Data Vlaue (Cr)'!$C:$FB,59)</f>
        <v>5543</v>
      </c>
      <c r="K85" s="51">
        <f>VLOOKUP($A85,'Data Vlaue (Cr)'!$C:$FB,60)</f>
        <v>10141</v>
      </c>
      <c r="L85" s="51">
        <f>VLOOKUP($A85,'Data Vlaue (Cr)'!$C:$FB,62)*100</f>
        <v>-45.34</v>
      </c>
      <c r="M85" s="51">
        <f>VLOOKUP($A85,'Data Vlaue (Cr)'!$C:$FB,63)</f>
        <v>3629</v>
      </c>
      <c r="N85" s="51">
        <f>VLOOKUP($A85,'Data Vlaue (Cr)'!$C:$FB,64)</f>
        <v>5776</v>
      </c>
      <c r="O85" s="51">
        <f>VLOOKUP($A85,'Data Vlaue (Cr)'!$C:$FB,66)*100</f>
        <v>-37.169999999999995</v>
      </c>
    </row>
    <row r="86" spans="1:15" x14ac:dyDescent="0.25">
      <c r="A86" s="101" t="str">
        <f>'Data Vlaue (Cr)'!C81</f>
        <v>HDFCLIFE</v>
      </c>
      <c r="B86" s="50">
        <f>VLOOKUP($A86,'Data Vlaue (Cr)'!$C:$FB,8)</f>
        <v>591.20000000000005</v>
      </c>
      <c r="C86" s="50">
        <f>VLOOKUP($A86,'Data Vlaue (Cr)'!$C:$FB,11)*100</f>
        <v>-1.1900000000000002</v>
      </c>
      <c r="D86" s="50">
        <f>VLOOKUP($A86,'Data Vlaue (Cr)'!$C:$FB,143)</f>
        <v>1116.6099999999999</v>
      </c>
      <c r="E86" s="50">
        <f>VLOOKUP($A86,'Data Vlaue (Cr)'!$C:$FB,144)</f>
        <v>1477.14</v>
      </c>
      <c r="F86" s="50">
        <f>VLOOKUP($A86,'Data Vlaue (Cr)'!$C:$FB,146)*100</f>
        <v>-24.41</v>
      </c>
      <c r="G86" s="49">
        <f>VLOOKUP($A86,'Data Vlaue (Cr)'!$C:$FB,43)</f>
        <v>234</v>
      </c>
      <c r="H86" s="49">
        <f>VLOOKUP($A86,'Data Vlaue (Cr)'!$C:$FB,44)</f>
        <v>321</v>
      </c>
      <c r="I86" s="49">
        <f>VLOOKUP($A86,'Data Vlaue (Cr)'!$C:$FB,46)*100</f>
        <v>-26.939999999999998</v>
      </c>
      <c r="J86" s="51">
        <f>VLOOKUP($A86,'Data Vlaue (Cr)'!$C:$FB,59)</f>
        <v>573</v>
      </c>
      <c r="K86" s="51">
        <f>VLOOKUP($A86,'Data Vlaue (Cr)'!$C:$FB,60)</f>
        <v>756</v>
      </c>
      <c r="L86" s="51">
        <f>VLOOKUP($A86,'Data Vlaue (Cr)'!$C:$FB,62)*100</f>
        <v>-24.16</v>
      </c>
      <c r="M86" s="51">
        <f>VLOOKUP($A86,'Data Vlaue (Cr)'!$C:$FB,63)</f>
        <v>268</v>
      </c>
      <c r="N86" s="51">
        <f>VLOOKUP($A86,'Data Vlaue (Cr)'!$C:$FB,64)</f>
        <v>340</v>
      </c>
      <c r="O86" s="51">
        <f>VLOOKUP($A86,'Data Vlaue (Cr)'!$C:$FB,66)*100</f>
        <v>-21.19</v>
      </c>
    </row>
    <row r="87" spans="1:15" x14ac:dyDescent="0.25">
      <c r="A87" s="101" t="str">
        <f>'Data Vlaue (Cr)'!C82</f>
        <v>HEROMOTOCO</v>
      </c>
      <c r="B87" s="50">
        <f>VLOOKUP($A87,'Data Vlaue (Cr)'!$C:$FB,8)</f>
        <v>5284</v>
      </c>
      <c r="C87" s="50">
        <f>VLOOKUP($A87,'Data Vlaue (Cr)'!$C:$FB,11)*100</f>
        <v>-6.9999999999999993E-2</v>
      </c>
      <c r="D87" s="50">
        <f>VLOOKUP($A87,'Data Vlaue (Cr)'!$C:$FB,143)</f>
        <v>1911.71</v>
      </c>
      <c r="E87" s="50">
        <f>VLOOKUP($A87,'Data Vlaue (Cr)'!$C:$FB,144)</f>
        <v>2436.39</v>
      </c>
      <c r="F87" s="50">
        <f>VLOOKUP($A87,'Data Vlaue (Cr)'!$C:$FB,146)*100</f>
        <v>-21.54</v>
      </c>
      <c r="G87" s="49">
        <f>VLOOKUP($A87,'Data Vlaue (Cr)'!$C:$FB,43)</f>
        <v>312</v>
      </c>
      <c r="H87" s="49">
        <f>VLOOKUP($A87,'Data Vlaue (Cr)'!$C:$FB,44)</f>
        <v>415</v>
      </c>
      <c r="I87" s="49">
        <f>VLOOKUP($A87,'Data Vlaue (Cr)'!$C:$FB,46)*100</f>
        <v>-24.759999999999998</v>
      </c>
      <c r="J87" s="51">
        <f>VLOOKUP($A87,'Data Vlaue (Cr)'!$C:$FB,59)</f>
        <v>985</v>
      </c>
      <c r="K87" s="51">
        <f>VLOOKUP($A87,'Data Vlaue (Cr)'!$C:$FB,60)</f>
        <v>1198</v>
      </c>
      <c r="L87" s="51">
        <f>VLOOKUP($A87,'Data Vlaue (Cr)'!$C:$FB,62)*100</f>
        <v>-17.78</v>
      </c>
      <c r="M87" s="51">
        <f>VLOOKUP($A87,'Data Vlaue (Cr)'!$C:$FB,63)</f>
        <v>560</v>
      </c>
      <c r="N87" s="51">
        <f>VLOOKUP($A87,'Data Vlaue (Cr)'!$C:$FB,64)</f>
        <v>764</v>
      </c>
      <c r="O87" s="51">
        <f>VLOOKUP($A87,'Data Vlaue (Cr)'!$C:$FB,66)*100</f>
        <v>-26.729999999999997</v>
      </c>
    </row>
    <row r="88" spans="1:15" x14ac:dyDescent="0.25">
      <c r="A88" s="101" t="str">
        <f>'Data Vlaue (Cr)'!C83</f>
        <v>HINDALCO</v>
      </c>
      <c r="B88" s="50">
        <f>VLOOKUP($A88,'Data Vlaue (Cr)'!$C:$FB,8)</f>
        <v>985.65</v>
      </c>
      <c r="C88" s="50">
        <f>VLOOKUP($A88,'Data Vlaue (Cr)'!$C:$FB,11)*100</f>
        <v>3.56</v>
      </c>
      <c r="D88" s="50">
        <f>VLOOKUP($A88,'Data Vlaue (Cr)'!$C:$FB,143)</f>
        <v>7439.39</v>
      </c>
      <c r="E88" s="50">
        <f>VLOOKUP($A88,'Data Vlaue (Cr)'!$C:$FB,144)</f>
        <v>4704.78</v>
      </c>
      <c r="F88" s="50">
        <f>VLOOKUP($A88,'Data Vlaue (Cr)'!$C:$FB,146)*100</f>
        <v>58.120000000000005</v>
      </c>
      <c r="G88" s="49">
        <f>VLOOKUP($A88,'Data Vlaue (Cr)'!$C:$FB,43)</f>
        <v>1012</v>
      </c>
      <c r="H88" s="49">
        <f>VLOOKUP($A88,'Data Vlaue (Cr)'!$C:$FB,44)</f>
        <v>1050</v>
      </c>
      <c r="I88" s="49">
        <f>VLOOKUP($A88,'Data Vlaue (Cr)'!$C:$FB,46)*100</f>
        <v>-3.64</v>
      </c>
      <c r="J88" s="51">
        <f>VLOOKUP($A88,'Data Vlaue (Cr)'!$C:$FB,59)</f>
        <v>4399</v>
      </c>
      <c r="K88" s="51">
        <f>VLOOKUP($A88,'Data Vlaue (Cr)'!$C:$FB,60)</f>
        <v>2214</v>
      </c>
      <c r="L88" s="51">
        <f>VLOOKUP($A88,'Data Vlaue (Cr)'!$C:$FB,62)*100</f>
        <v>98.67</v>
      </c>
      <c r="M88" s="51">
        <f>VLOOKUP($A88,'Data Vlaue (Cr)'!$C:$FB,63)</f>
        <v>1896</v>
      </c>
      <c r="N88" s="51">
        <f>VLOOKUP($A88,'Data Vlaue (Cr)'!$C:$FB,64)</f>
        <v>1492</v>
      </c>
      <c r="O88" s="51">
        <f>VLOOKUP($A88,'Data Vlaue (Cr)'!$C:$FB,66)*100</f>
        <v>27.089999999999996</v>
      </c>
    </row>
    <row r="89" spans="1:15" x14ac:dyDescent="0.25">
      <c r="A89" s="101" t="str">
        <f>'Data Vlaue (Cr)'!C84</f>
        <v>HINDPETRO</v>
      </c>
      <c r="B89" s="50">
        <f>VLOOKUP($A89,'Data Vlaue (Cr)'!$C:$FB,8)</f>
        <v>358</v>
      </c>
      <c r="C89" s="50">
        <f>VLOOKUP($A89,'Data Vlaue (Cr)'!$C:$FB,11)*100</f>
        <v>-1.72</v>
      </c>
      <c r="D89" s="50">
        <f>VLOOKUP($A89,'Data Vlaue (Cr)'!$C:$FB,143)</f>
        <v>1780.05</v>
      </c>
      <c r="E89" s="50">
        <f>VLOOKUP($A89,'Data Vlaue (Cr)'!$C:$FB,144)</f>
        <v>4470.46</v>
      </c>
      <c r="F89" s="50">
        <f>VLOOKUP($A89,'Data Vlaue (Cr)'!$C:$FB,146)*100</f>
        <v>-60.18</v>
      </c>
      <c r="G89" s="49">
        <f>VLOOKUP($A89,'Data Vlaue (Cr)'!$C:$FB,43)</f>
        <v>453</v>
      </c>
      <c r="H89" s="49">
        <f>VLOOKUP($A89,'Data Vlaue (Cr)'!$C:$FB,44)</f>
        <v>1027</v>
      </c>
      <c r="I89" s="49">
        <f>VLOOKUP($A89,'Data Vlaue (Cr)'!$C:$FB,46)*100</f>
        <v>-55.879999999999995</v>
      </c>
      <c r="J89" s="51">
        <f>VLOOKUP($A89,'Data Vlaue (Cr)'!$C:$FB,59)</f>
        <v>770</v>
      </c>
      <c r="K89" s="51">
        <f>VLOOKUP($A89,'Data Vlaue (Cr)'!$C:$FB,60)</f>
        <v>2186</v>
      </c>
      <c r="L89" s="51">
        <f>VLOOKUP($A89,'Data Vlaue (Cr)'!$C:$FB,62)*100</f>
        <v>-64.759999999999991</v>
      </c>
      <c r="M89" s="51">
        <f>VLOOKUP($A89,'Data Vlaue (Cr)'!$C:$FB,63)</f>
        <v>511</v>
      </c>
      <c r="N89" s="51">
        <f>VLOOKUP($A89,'Data Vlaue (Cr)'!$C:$FB,64)</f>
        <v>1128</v>
      </c>
      <c r="O89" s="51">
        <f>VLOOKUP($A89,'Data Vlaue (Cr)'!$C:$FB,66)*100</f>
        <v>-54.679999999999993</v>
      </c>
    </row>
    <row r="90" spans="1:15" x14ac:dyDescent="0.25">
      <c r="A90" s="101" t="str">
        <f>'Data Vlaue (Cr)'!C85</f>
        <v>HINDUNILVR</v>
      </c>
      <c r="B90" s="50">
        <f>VLOOKUP($A90,'Data Vlaue (Cr)'!$C:$FB,8)</f>
        <v>2133.1999999999998</v>
      </c>
      <c r="C90" s="50">
        <f>VLOOKUP($A90,'Data Vlaue (Cr)'!$C:$FB,11)*100</f>
        <v>-0.57999999999999996</v>
      </c>
      <c r="D90" s="50">
        <f>VLOOKUP($A90,'Data Vlaue (Cr)'!$C:$FB,143)</f>
        <v>1998.42</v>
      </c>
      <c r="E90" s="50">
        <f>VLOOKUP($A90,'Data Vlaue (Cr)'!$C:$FB,144)</f>
        <v>4204.97</v>
      </c>
      <c r="F90" s="50">
        <f>VLOOKUP($A90,'Data Vlaue (Cr)'!$C:$FB,146)*100</f>
        <v>-52.470000000000006</v>
      </c>
      <c r="G90" s="49">
        <f>VLOOKUP($A90,'Data Vlaue (Cr)'!$C:$FB,43)</f>
        <v>327</v>
      </c>
      <c r="H90" s="49">
        <f>VLOOKUP($A90,'Data Vlaue (Cr)'!$C:$FB,44)</f>
        <v>922</v>
      </c>
      <c r="I90" s="49">
        <f>VLOOKUP($A90,'Data Vlaue (Cr)'!$C:$FB,46)*100</f>
        <v>-64.55</v>
      </c>
      <c r="J90" s="51">
        <f>VLOOKUP($A90,'Data Vlaue (Cr)'!$C:$FB,59)</f>
        <v>1073</v>
      </c>
      <c r="K90" s="51">
        <f>VLOOKUP($A90,'Data Vlaue (Cr)'!$C:$FB,60)</f>
        <v>1815</v>
      </c>
      <c r="L90" s="51">
        <f>VLOOKUP($A90,'Data Vlaue (Cr)'!$C:$FB,62)*100</f>
        <v>-40.9</v>
      </c>
      <c r="M90" s="51">
        <f>VLOOKUP($A90,'Data Vlaue (Cr)'!$C:$FB,63)</f>
        <v>564</v>
      </c>
      <c r="N90" s="51">
        <f>VLOOKUP($A90,'Data Vlaue (Cr)'!$C:$FB,64)</f>
        <v>1393</v>
      </c>
      <c r="O90" s="51">
        <f>VLOOKUP($A90,'Data Vlaue (Cr)'!$C:$FB,66)*100</f>
        <v>-59.51</v>
      </c>
    </row>
    <row r="91" spans="1:15" x14ac:dyDescent="0.25">
      <c r="A91" s="101" t="str">
        <f>'Data Vlaue (Cr)'!C86</f>
        <v>HINDZINC</v>
      </c>
      <c r="B91" s="50">
        <f>VLOOKUP($A91,'Data Vlaue (Cr)'!$C:$FB,8)</f>
        <v>558.5</v>
      </c>
      <c r="C91" s="50">
        <f>VLOOKUP($A91,'Data Vlaue (Cr)'!$C:$FB,11)*100</f>
        <v>-0.15</v>
      </c>
      <c r="D91" s="50">
        <f>VLOOKUP($A91,'Data Vlaue (Cr)'!$C:$FB,143)</f>
        <v>1392.25</v>
      </c>
      <c r="E91" s="50">
        <f>VLOOKUP($A91,'Data Vlaue (Cr)'!$C:$FB,144)</f>
        <v>2559.59</v>
      </c>
      <c r="F91" s="50">
        <f>VLOOKUP($A91,'Data Vlaue (Cr)'!$C:$FB,146)*100</f>
        <v>-45.61</v>
      </c>
      <c r="G91" s="49">
        <f>VLOOKUP($A91,'Data Vlaue (Cr)'!$C:$FB,43)</f>
        <v>195</v>
      </c>
      <c r="H91" s="49">
        <f>VLOOKUP($A91,'Data Vlaue (Cr)'!$C:$FB,44)</f>
        <v>421</v>
      </c>
      <c r="I91" s="49">
        <f>VLOOKUP($A91,'Data Vlaue (Cr)'!$C:$FB,46)*100</f>
        <v>-53.6</v>
      </c>
      <c r="J91" s="51">
        <f>VLOOKUP($A91,'Data Vlaue (Cr)'!$C:$FB,59)</f>
        <v>700</v>
      </c>
      <c r="K91" s="51">
        <f>VLOOKUP($A91,'Data Vlaue (Cr)'!$C:$FB,60)</f>
        <v>1327</v>
      </c>
      <c r="L91" s="51">
        <f>VLOOKUP($A91,'Data Vlaue (Cr)'!$C:$FB,62)*100</f>
        <v>-47.23</v>
      </c>
      <c r="M91" s="51">
        <f>VLOOKUP($A91,'Data Vlaue (Cr)'!$C:$FB,63)</f>
        <v>466</v>
      </c>
      <c r="N91" s="51">
        <f>VLOOKUP($A91,'Data Vlaue (Cr)'!$C:$FB,64)</f>
        <v>770</v>
      </c>
      <c r="O91" s="51">
        <f>VLOOKUP($A91,'Data Vlaue (Cr)'!$C:$FB,66)*100</f>
        <v>-39.5</v>
      </c>
    </row>
    <row r="92" spans="1:15" x14ac:dyDescent="0.25">
      <c r="A92" s="101" t="str">
        <f>'Data Vlaue (Cr)'!C87</f>
        <v>HUDCO</v>
      </c>
      <c r="B92" s="50">
        <f>VLOOKUP($A92,'Data Vlaue (Cr)'!$C:$FB,8)</f>
        <v>181.93</v>
      </c>
      <c r="C92" s="50">
        <f>VLOOKUP($A92,'Data Vlaue (Cr)'!$C:$FB,11)*100</f>
        <v>-0.12</v>
      </c>
      <c r="D92" s="50">
        <f>VLOOKUP($A92,'Data Vlaue (Cr)'!$C:$FB,143)</f>
        <v>230.98</v>
      </c>
      <c r="E92" s="50">
        <f>VLOOKUP($A92,'Data Vlaue (Cr)'!$C:$FB,144)</f>
        <v>397.8</v>
      </c>
      <c r="F92" s="50">
        <f>VLOOKUP($A92,'Data Vlaue (Cr)'!$C:$FB,146)*100</f>
        <v>-41.93</v>
      </c>
      <c r="G92" s="49">
        <f>VLOOKUP($A92,'Data Vlaue (Cr)'!$C:$FB,43)</f>
        <v>52</v>
      </c>
      <c r="H92" s="49">
        <f>VLOOKUP($A92,'Data Vlaue (Cr)'!$C:$FB,44)</f>
        <v>77</v>
      </c>
      <c r="I92" s="49">
        <f>VLOOKUP($A92,'Data Vlaue (Cr)'!$C:$FB,46)*100</f>
        <v>-32.24</v>
      </c>
      <c r="J92" s="51">
        <f>VLOOKUP($A92,'Data Vlaue (Cr)'!$C:$FB,59)</f>
        <v>117</v>
      </c>
      <c r="K92" s="51">
        <f>VLOOKUP($A92,'Data Vlaue (Cr)'!$C:$FB,60)</f>
        <v>206</v>
      </c>
      <c r="L92" s="51">
        <f>VLOOKUP($A92,'Data Vlaue (Cr)'!$C:$FB,62)*100</f>
        <v>-43.04</v>
      </c>
      <c r="M92" s="51">
        <f>VLOOKUP($A92,'Data Vlaue (Cr)'!$C:$FB,63)</f>
        <v>55</v>
      </c>
      <c r="N92" s="51">
        <f>VLOOKUP($A92,'Data Vlaue (Cr)'!$C:$FB,64)</f>
        <v>109</v>
      </c>
      <c r="O92" s="51">
        <f>VLOOKUP($A92,'Data Vlaue (Cr)'!$C:$FB,66)*100</f>
        <v>-49.54</v>
      </c>
    </row>
    <row r="93" spans="1:15" x14ac:dyDescent="0.25">
      <c r="A93" s="101" t="str">
        <f>'Data Vlaue (Cr)'!C88</f>
        <v>HYUNDAI</v>
      </c>
      <c r="B93" s="50">
        <f>VLOOKUP($A93,'Data Vlaue (Cr)'!$C:$FB,8)</f>
        <v>1768.3</v>
      </c>
      <c r="C93" s="50">
        <f>VLOOKUP($A93,'Data Vlaue (Cr)'!$C:$FB,11)*100</f>
        <v>-0.6</v>
      </c>
      <c r="D93" s="50">
        <f>VLOOKUP($A93,'Data Vlaue (Cr)'!$C:$FB,143)</f>
        <v>727.74</v>
      </c>
      <c r="E93" s="50">
        <f>VLOOKUP($A93,'Data Vlaue (Cr)'!$C:$FB,144)</f>
        <v>878.65</v>
      </c>
      <c r="F93" s="50">
        <f>VLOOKUP($A93,'Data Vlaue (Cr)'!$C:$FB,146)*100</f>
        <v>-17.169999999999998</v>
      </c>
      <c r="G93" s="49">
        <f>VLOOKUP($A93,'Data Vlaue (Cr)'!$C:$FB,43)</f>
        <v>298</v>
      </c>
      <c r="H93" s="49">
        <f>VLOOKUP($A93,'Data Vlaue (Cr)'!$C:$FB,44)</f>
        <v>294</v>
      </c>
      <c r="I93" s="49">
        <f>VLOOKUP($A93,'Data Vlaue (Cr)'!$C:$FB,46)*100</f>
        <v>1.18</v>
      </c>
      <c r="J93" s="51">
        <f>VLOOKUP($A93,'Data Vlaue (Cr)'!$C:$FB,59)</f>
        <v>283</v>
      </c>
      <c r="K93" s="51">
        <f>VLOOKUP($A93,'Data Vlaue (Cr)'!$C:$FB,60)</f>
        <v>429</v>
      </c>
      <c r="L93" s="51">
        <f>VLOOKUP($A93,'Data Vlaue (Cr)'!$C:$FB,62)*100</f>
        <v>-33.97</v>
      </c>
      <c r="M93" s="51">
        <f>VLOOKUP($A93,'Data Vlaue (Cr)'!$C:$FB,63)</f>
        <v>121</v>
      </c>
      <c r="N93" s="51">
        <f>VLOOKUP($A93,'Data Vlaue (Cr)'!$C:$FB,64)</f>
        <v>115</v>
      </c>
      <c r="O93" s="51">
        <f>VLOOKUP($A93,'Data Vlaue (Cr)'!$C:$FB,66)*100</f>
        <v>4.97</v>
      </c>
    </row>
    <row r="94" spans="1:15" x14ac:dyDescent="0.25">
      <c r="A94" s="101" t="str">
        <f>'Data Vlaue (Cr)'!C89</f>
        <v>ICICIBANK</v>
      </c>
      <c r="B94" s="50">
        <f>VLOOKUP($A94,'Data Vlaue (Cr)'!$C:$FB,8)</f>
        <v>1281.3</v>
      </c>
      <c r="C94" s="50">
        <f>VLOOKUP($A94,'Data Vlaue (Cr)'!$C:$FB,11)*100</f>
        <v>-2.13</v>
      </c>
      <c r="D94" s="50">
        <f>VLOOKUP($A94,'Data Vlaue (Cr)'!$C:$FB,143)</f>
        <v>7285.34</v>
      </c>
      <c r="E94" s="50">
        <f>VLOOKUP($A94,'Data Vlaue (Cr)'!$C:$FB,144)</f>
        <v>10201.280000000001</v>
      </c>
      <c r="F94" s="50">
        <f>VLOOKUP($A94,'Data Vlaue (Cr)'!$C:$FB,146)*100</f>
        <v>-28.58</v>
      </c>
      <c r="G94" s="49">
        <f>VLOOKUP($A94,'Data Vlaue (Cr)'!$C:$FB,43)</f>
        <v>1643</v>
      </c>
      <c r="H94" s="49">
        <f>VLOOKUP($A94,'Data Vlaue (Cr)'!$C:$FB,44)</f>
        <v>2478</v>
      </c>
      <c r="I94" s="49">
        <f>VLOOKUP($A94,'Data Vlaue (Cr)'!$C:$FB,46)*100</f>
        <v>-33.72</v>
      </c>
      <c r="J94" s="51">
        <f>VLOOKUP($A94,'Data Vlaue (Cr)'!$C:$FB,59)</f>
        <v>2876</v>
      </c>
      <c r="K94" s="51">
        <f>VLOOKUP($A94,'Data Vlaue (Cr)'!$C:$FB,60)</f>
        <v>4236</v>
      </c>
      <c r="L94" s="51">
        <f>VLOOKUP($A94,'Data Vlaue (Cr)'!$C:$FB,62)*100</f>
        <v>-32.1</v>
      </c>
      <c r="M94" s="51">
        <f>VLOOKUP($A94,'Data Vlaue (Cr)'!$C:$FB,63)</f>
        <v>2641</v>
      </c>
      <c r="N94" s="51">
        <f>VLOOKUP($A94,'Data Vlaue (Cr)'!$C:$FB,64)</f>
        <v>3245</v>
      </c>
      <c r="O94" s="51">
        <f>VLOOKUP($A94,'Data Vlaue (Cr)'!$C:$FB,66)*100</f>
        <v>-18.63</v>
      </c>
    </row>
    <row r="95" spans="1:15" x14ac:dyDescent="0.25">
      <c r="A95" s="101" t="str">
        <f>'Data Vlaue (Cr)'!C90</f>
        <v>ICICIGI</v>
      </c>
      <c r="B95" s="50">
        <f>VLOOKUP($A95,'Data Vlaue (Cr)'!$C:$FB,8)</f>
        <v>1768.6</v>
      </c>
      <c r="C95" s="50">
        <f>VLOOKUP($A95,'Data Vlaue (Cr)'!$C:$FB,11)*100</f>
        <v>1.03</v>
      </c>
      <c r="D95" s="50">
        <f>VLOOKUP($A95,'Data Vlaue (Cr)'!$C:$FB,143)</f>
        <v>791.16</v>
      </c>
      <c r="E95" s="50">
        <f>VLOOKUP($A95,'Data Vlaue (Cr)'!$C:$FB,144)</f>
        <v>407.59</v>
      </c>
      <c r="F95" s="50">
        <f>VLOOKUP($A95,'Data Vlaue (Cr)'!$C:$FB,146)*100</f>
        <v>94.11</v>
      </c>
      <c r="G95" s="49">
        <f>VLOOKUP($A95,'Data Vlaue (Cr)'!$C:$FB,43)</f>
        <v>173</v>
      </c>
      <c r="H95" s="49">
        <f>VLOOKUP($A95,'Data Vlaue (Cr)'!$C:$FB,44)</f>
        <v>110</v>
      </c>
      <c r="I95" s="49">
        <f>VLOOKUP($A95,'Data Vlaue (Cr)'!$C:$FB,46)*100</f>
        <v>56.44</v>
      </c>
      <c r="J95" s="51">
        <f>VLOOKUP($A95,'Data Vlaue (Cr)'!$C:$FB,59)</f>
        <v>335</v>
      </c>
      <c r="K95" s="51">
        <f>VLOOKUP($A95,'Data Vlaue (Cr)'!$C:$FB,60)</f>
        <v>167</v>
      </c>
      <c r="L95" s="51">
        <f>VLOOKUP($A95,'Data Vlaue (Cr)'!$C:$FB,62)*100</f>
        <v>100.31000000000002</v>
      </c>
      <c r="M95" s="51">
        <f>VLOOKUP($A95,'Data Vlaue (Cr)'!$C:$FB,63)</f>
        <v>275</v>
      </c>
      <c r="N95" s="51">
        <f>VLOOKUP($A95,'Data Vlaue (Cr)'!$C:$FB,64)</f>
        <v>127</v>
      </c>
      <c r="O95" s="51">
        <f>VLOOKUP($A95,'Data Vlaue (Cr)'!$C:$FB,66)*100</f>
        <v>116.8</v>
      </c>
    </row>
    <row r="96" spans="1:15" x14ac:dyDescent="0.25">
      <c r="A96" s="101" t="str">
        <f>'Data Vlaue (Cr)'!C91</f>
        <v>ICICIPRULI</v>
      </c>
      <c r="B96" s="50">
        <f>VLOOKUP($A96,'Data Vlaue (Cr)'!$C:$FB,8)</f>
        <v>541.95000000000005</v>
      </c>
      <c r="C96" s="50">
        <f>VLOOKUP($A96,'Data Vlaue (Cr)'!$C:$FB,11)*100</f>
        <v>0.06</v>
      </c>
      <c r="D96" s="50">
        <f>VLOOKUP($A96,'Data Vlaue (Cr)'!$C:$FB,143)</f>
        <v>390.8</v>
      </c>
      <c r="E96" s="50">
        <f>VLOOKUP($A96,'Data Vlaue (Cr)'!$C:$FB,144)</f>
        <v>209.59</v>
      </c>
      <c r="F96" s="50">
        <f>VLOOKUP($A96,'Data Vlaue (Cr)'!$C:$FB,146)*100</f>
        <v>86.460000000000008</v>
      </c>
      <c r="G96" s="49">
        <f>VLOOKUP($A96,'Data Vlaue (Cr)'!$C:$FB,43)</f>
        <v>143</v>
      </c>
      <c r="H96" s="49">
        <f>VLOOKUP($A96,'Data Vlaue (Cr)'!$C:$FB,44)</f>
        <v>79</v>
      </c>
      <c r="I96" s="49">
        <f>VLOOKUP($A96,'Data Vlaue (Cr)'!$C:$FB,46)*100</f>
        <v>80.44</v>
      </c>
      <c r="J96" s="51">
        <f>VLOOKUP($A96,'Data Vlaue (Cr)'!$C:$FB,59)</f>
        <v>182</v>
      </c>
      <c r="K96" s="51">
        <f>VLOOKUP($A96,'Data Vlaue (Cr)'!$C:$FB,60)</f>
        <v>78</v>
      </c>
      <c r="L96" s="51">
        <f>VLOOKUP($A96,'Data Vlaue (Cr)'!$C:$FB,62)*100</f>
        <v>132.94999999999999</v>
      </c>
      <c r="M96" s="51">
        <f>VLOOKUP($A96,'Data Vlaue (Cr)'!$C:$FB,63)</f>
        <v>55</v>
      </c>
      <c r="N96" s="51">
        <f>VLOOKUP($A96,'Data Vlaue (Cr)'!$C:$FB,64)</f>
        <v>51</v>
      </c>
      <c r="O96" s="51">
        <f>VLOOKUP($A96,'Data Vlaue (Cr)'!$C:$FB,66)*100</f>
        <v>6.58</v>
      </c>
    </row>
    <row r="97" spans="1:15" x14ac:dyDescent="0.25">
      <c r="A97" s="101" t="str">
        <f>'Data Vlaue (Cr)'!C92</f>
        <v>IDEA</v>
      </c>
      <c r="B97" s="50">
        <f>VLOOKUP($A97,'Data Vlaue (Cr)'!$C:$FB,8)</f>
        <v>9.1199999999999992</v>
      </c>
      <c r="C97" s="50">
        <f>VLOOKUP($A97,'Data Vlaue (Cr)'!$C:$FB,11)*100</f>
        <v>-0.86999999999999988</v>
      </c>
      <c r="D97" s="50">
        <f>VLOOKUP($A97,'Data Vlaue (Cr)'!$C:$FB,143)</f>
        <v>1437.7</v>
      </c>
      <c r="E97" s="50">
        <f>VLOOKUP($A97,'Data Vlaue (Cr)'!$C:$FB,144)</f>
        <v>2623.14</v>
      </c>
      <c r="F97" s="50">
        <f>VLOOKUP($A97,'Data Vlaue (Cr)'!$C:$FB,146)*100</f>
        <v>-45.190000000000005</v>
      </c>
      <c r="G97" s="49">
        <f>VLOOKUP($A97,'Data Vlaue (Cr)'!$C:$FB,43)</f>
        <v>310</v>
      </c>
      <c r="H97" s="49">
        <f>VLOOKUP($A97,'Data Vlaue (Cr)'!$C:$FB,44)</f>
        <v>597</v>
      </c>
      <c r="I97" s="49">
        <f>VLOOKUP($A97,'Data Vlaue (Cr)'!$C:$FB,46)*100</f>
        <v>-47.97</v>
      </c>
      <c r="J97" s="51">
        <f>VLOOKUP($A97,'Data Vlaue (Cr)'!$C:$FB,59)</f>
        <v>765</v>
      </c>
      <c r="K97" s="51">
        <f>VLOOKUP($A97,'Data Vlaue (Cr)'!$C:$FB,60)</f>
        <v>1372</v>
      </c>
      <c r="L97" s="51">
        <f>VLOOKUP($A97,'Data Vlaue (Cr)'!$C:$FB,62)*100</f>
        <v>-44.26</v>
      </c>
      <c r="M97" s="51">
        <f>VLOOKUP($A97,'Data Vlaue (Cr)'!$C:$FB,63)</f>
        <v>246</v>
      </c>
      <c r="N97" s="51">
        <f>VLOOKUP($A97,'Data Vlaue (Cr)'!$C:$FB,64)</f>
        <v>488</v>
      </c>
      <c r="O97" s="51">
        <f>VLOOKUP($A97,'Data Vlaue (Cr)'!$C:$FB,66)*100</f>
        <v>-49.62</v>
      </c>
    </row>
    <row r="98" spans="1:15" x14ac:dyDescent="0.25">
      <c r="A98" s="101" t="str">
        <f>'Data Vlaue (Cr)'!C93</f>
        <v>IDFCFIRSTB</v>
      </c>
      <c r="B98" s="50">
        <f>VLOOKUP($A98,'Data Vlaue (Cr)'!$C:$FB,8)</f>
        <v>65.28</v>
      </c>
      <c r="C98" s="50">
        <f>VLOOKUP($A98,'Data Vlaue (Cr)'!$C:$FB,11)*100</f>
        <v>-0.89999999999999991</v>
      </c>
      <c r="D98" s="50">
        <f>VLOOKUP($A98,'Data Vlaue (Cr)'!$C:$FB,143)</f>
        <v>1003.05</v>
      </c>
      <c r="E98" s="50">
        <f>VLOOKUP($A98,'Data Vlaue (Cr)'!$C:$FB,144)</f>
        <v>2286.8200000000002</v>
      </c>
      <c r="F98" s="50">
        <f>VLOOKUP($A98,'Data Vlaue (Cr)'!$C:$FB,146)*100</f>
        <v>-56.14</v>
      </c>
      <c r="G98" s="49">
        <f>VLOOKUP($A98,'Data Vlaue (Cr)'!$C:$FB,43)</f>
        <v>284</v>
      </c>
      <c r="H98" s="49">
        <f>VLOOKUP($A98,'Data Vlaue (Cr)'!$C:$FB,44)</f>
        <v>712</v>
      </c>
      <c r="I98" s="49">
        <f>VLOOKUP($A98,'Data Vlaue (Cr)'!$C:$FB,46)*100</f>
        <v>-60.099999999999994</v>
      </c>
      <c r="J98" s="51">
        <f>VLOOKUP($A98,'Data Vlaue (Cr)'!$C:$FB,59)</f>
        <v>389</v>
      </c>
      <c r="K98" s="51">
        <f>VLOOKUP($A98,'Data Vlaue (Cr)'!$C:$FB,60)</f>
        <v>886</v>
      </c>
      <c r="L98" s="51">
        <f>VLOOKUP($A98,'Data Vlaue (Cr)'!$C:$FB,62)*100</f>
        <v>-56.15</v>
      </c>
      <c r="M98" s="51">
        <f>VLOOKUP($A98,'Data Vlaue (Cr)'!$C:$FB,63)</f>
        <v>314</v>
      </c>
      <c r="N98" s="51">
        <f>VLOOKUP($A98,'Data Vlaue (Cr)'!$C:$FB,64)</f>
        <v>673</v>
      </c>
      <c r="O98" s="51">
        <f>VLOOKUP($A98,'Data Vlaue (Cr)'!$C:$FB,66)*100</f>
        <v>-53.290000000000006</v>
      </c>
    </row>
    <row r="99" spans="1:15" x14ac:dyDescent="0.25">
      <c r="A99" s="101" t="str">
        <f>'Data Vlaue (Cr)'!C94</f>
        <v>IEX</v>
      </c>
      <c r="B99" s="50">
        <f>VLOOKUP($A99,'Data Vlaue (Cr)'!$C:$FB,8)</f>
        <v>129.69</v>
      </c>
      <c r="C99" s="50">
        <f>VLOOKUP($A99,'Data Vlaue (Cr)'!$C:$FB,11)*100</f>
        <v>0.19</v>
      </c>
      <c r="D99" s="50">
        <f>VLOOKUP($A99,'Data Vlaue (Cr)'!$C:$FB,143)</f>
        <v>562.65</v>
      </c>
      <c r="E99" s="50">
        <f>VLOOKUP($A99,'Data Vlaue (Cr)'!$C:$FB,144)</f>
        <v>1066.3599999999999</v>
      </c>
      <c r="F99" s="50">
        <f>VLOOKUP($A99,'Data Vlaue (Cr)'!$C:$FB,146)*100</f>
        <v>-47.24</v>
      </c>
      <c r="G99" s="49">
        <f>VLOOKUP($A99,'Data Vlaue (Cr)'!$C:$FB,43)</f>
        <v>94</v>
      </c>
      <c r="H99" s="49">
        <f>VLOOKUP($A99,'Data Vlaue (Cr)'!$C:$FB,44)</f>
        <v>128</v>
      </c>
      <c r="I99" s="49">
        <f>VLOOKUP($A99,'Data Vlaue (Cr)'!$C:$FB,46)*100</f>
        <v>-26.86</v>
      </c>
      <c r="J99" s="51">
        <f>VLOOKUP($A99,'Data Vlaue (Cr)'!$C:$FB,59)</f>
        <v>327</v>
      </c>
      <c r="K99" s="51">
        <f>VLOOKUP($A99,'Data Vlaue (Cr)'!$C:$FB,60)</f>
        <v>551</v>
      </c>
      <c r="L99" s="51">
        <f>VLOOKUP($A99,'Data Vlaue (Cr)'!$C:$FB,62)*100</f>
        <v>-40.75</v>
      </c>
      <c r="M99" s="51">
        <f>VLOOKUP($A99,'Data Vlaue (Cr)'!$C:$FB,63)</f>
        <v>132</v>
      </c>
      <c r="N99" s="51">
        <f>VLOOKUP($A99,'Data Vlaue (Cr)'!$C:$FB,64)</f>
        <v>393</v>
      </c>
      <c r="O99" s="51">
        <f>VLOOKUP($A99,'Data Vlaue (Cr)'!$C:$FB,66)*100</f>
        <v>-66.290000000000006</v>
      </c>
    </row>
    <row r="100" spans="1:15" x14ac:dyDescent="0.25">
      <c r="A100" s="101" t="str">
        <f>'Data Vlaue (Cr)'!C95</f>
        <v>INDHOTEL</v>
      </c>
      <c r="B100" s="50">
        <f>VLOOKUP($A100,'Data Vlaue (Cr)'!$C:$FB,8)</f>
        <v>629.1</v>
      </c>
      <c r="C100" s="50">
        <f>VLOOKUP($A100,'Data Vlaue (Cr)'!$C:$FB,11)*100</f>
        <v>-1.1400000000000001</v>
      </c>
      <c r="D100" s="50">
        <f>VLOOKUP($A100,'Data Vlaue (Cr)'!$C:$FB,143)</f>
        <v>865.51</v>
      </c>
      <c r="E100" s="50">
        <f>VLOOKUP($A100,'Data Vlaue (Cr)'!$C:$FB,144)</f>
        <v>1181.95</v>
      </c>
      <c r="F100" s="50">
        <f>VLOOKUP($A100,'Data Vlaue (Cr)'!$C:$FB,146)*100</f>
        <v>-26.77</v>
      </c>
      <c r="G100" s="49">
        <f>VLOOKUP($A100,'Data Vlaue (Cr)'!$C:$FB,43)</f>
        <v>263</v>
      </c>
      <c r="H100" s="49">
        <f>VLOOKUP($A100,'Data Vlaue (Cr)'!$C:$FB,44)</f>
        <v>341</v>
      </c>
      <c r="I100" s="49">
        <f>VLOOKUP($A100,'Data Vlaue (Cr)'!$C:$FB,46)*100</f>
        <v>-22.8</v>
      </c>
      <c r="J100" s="51">
        <f>VLOOKUP($A100,'Data Vlaue (Cr)'!$C:$FB,59)</f>
        <v>318</v>
      </c>
      <c r="K100" s="51">
        <f>VLOOKUP($A100,'Data Vlaue (Cr)'!$C:$FB,60)</f>
        <v>478</v>
      </c>
      <c r="L100" s="51">
        <f>VLOOKUP($A100,'Data Vlaue (Cr)'!$C:$FB,62)*100</f>
        <v>-33.47</v>
      </c>
      <c r="M100" s="51">
        <f>VLOOKUP($A100,'Data Vlaue (Cr)'!$C:$FB,63)</f>
        <v>269</v>
      </c>
      <c r="N100" s="51">
        <f>VLOOKUP($A100,'Data Vlaue (Cr)'!$C:$FB,64)</f>
        <v>334</v>
      </c>
      <c r="O100" s="51">
        <f>VLOOKUP($A100,'Data Vlaue (Cr)'!$C:$FB,66)*100</f>
        <v>-19.59</v>
      </c>
    </row>
    <row r="101" spans="1:15" x14ac:dyDescent="0.25">
      <c r="A101" s="101" t="str">
        <f>'Data Vlaue (Cr)'!C96</f>
        <v>INDIANB</v>
      </c>
      <c r="B101" s="50">
        <f>VLOOKUP($A101,'Data Vlaue (Cr)'!$C:$FB,8)</f>
        <v>941.85</v>
      </c>
      <c r="C101" s="50">
        <f>VLOOKUP($A101,'Data Vlaue (Cr)'!$C:$FB,11)*100</f>
        <v>-1.53</v>
      </c>
      <c r="D101" s="50">
        <f>VLOOKUP($A101,'Data Vlaue (Cr)'!$C:$FB,143)</f>
        <v>1116.6300000000001</v>
      </c>
      <c r="E101" s="50">
        <f>VLOOKUP($A101,'Data Vlaue (Cr)'!$C:$FB,144)</f>
        <v>1287.77</v>
      </c>
      <c r="F101" s="50">
        <f>VLOOKUP($A101,'Data Vlaue (Cr)'!$C:$FB,146)*100</f>
        <v>-13.29</v>
      </c>
      <c r="G101" s="49">
        <f>VLOOKUP($A101,'Data Vlaue (Cr)'!$C:$FB,43)</f>
        <v>353</v>
      </c>
      <c r="H101" s="49">
        <f>VLOOKUP($A101,'Data Vlaue (Cr)'!$C:$FB,44)</f>
        <v>355</v>
      </c>
      <c r="I101" s="49">
        <f>VLOOKUP($A101,'Data Vlaue (Cr)'!$C:$FB,46)*100</f>
        <v>-0.44999999999999996</v>
      </c>
      <c r="J101" s="51">
        <f>VLOOKUP($A101,'Data Vlaue (Cr)'!$C:$FB,59)</f>
        <v>440</v>
      </c>
      <c r="K101" s="51">
        <f>VLOOKUP($A101,'Data Vlaue (Cr)'!$C:$FB,60)</f>
        <v>624</v>
      </c>
      <c r="L101" s="51">
        <f>VLOOKUP($A101,'Data Vlaue (Cr)'!$C:$FB,62)*100</f>
        <v>-29.53</v>
      </c>
      <c r="M101" s="51">
        <f>VLOOKUP($A101,'Data Vlaue (Cr)'!$C:$FB,63)</f>
        <v>295</v>
      </c>
      <c r="N101" s="51">
        <f>VLOOKUP($A101,'Data Vlaue (Cr)'!$C:$FB,64)</f>
        <v>286</v>
      </c>
      <c r="O101" s="51">
        <f>VLOOKUP($A101,'Data Vlaue (Cr)'!$C:$FB,66)*100</f>
        <v>3.0700000000000003</v>
      </c>
    </row>
    <row r="102" spans="1:15" x14ac:dyDescent="0.25">
      <c r="A102" s="101" t="str">
        <f>'Data Vlaue (Cr)'!C97</f>
        <v>INDIAVIX</v>
      </c>
      <c r="B102" s="50">
        <f>VLOOKUP($A102,'Data Vlaue (Cr)'!$C:$FB,8)</f>
        <v>20.43</v>
      </c>
      <c r="C102" s="50">
        <f>VLOOKUP($A102,'Data Vlaue (Cr)'!$C:$FB,11)*100</f>
        <v>3.6900000000000004</v>
      </c>
      <c r="D102" s="50">
        <f>VLOOKUP($A102,'Data Vlaue (Cr)'!$C:$FB,143)</f>
        <v>0</v>
      </c>
      <c r="E102" s="50">
        <f>VLOOKUP($A102,'Data Vlaue (Cr)'!$C:$FB,144)</f>
        <v>0</v>
      </c>
      <c r="F102" s="50">
        <f>VLOOKUP($A102,'Data Vlaue (Cr)'!$C:$FB,146)*100</f>
        <v>0</v>
      </c>
      <c r="G102" s="49">
        <f>VLOOKUP($A102,'Data Vlaue (Cr)'!$C:$FB,43)</f>
        <v>0</v>
      </c>
      <c r="H102" s="49">
        <f>VLOOKUP($A102,'Data Vlaue (Cr)'!$C:$FB,44)</f>
        <v>0</v>
      </c>
      <c r="I102" s="49">
        <f>VLOOKUP($A102,'Data Vlaue (Cr)'!$C:$FB,46)*100</f>
        <v>0</v>
      </c>
      <c r="J102" s="51">
        <f>VLOOKUP($A102,'Data Vlaue (Cr)'!$C:$FB,59)</f>
        <v>0</v>
      </c>
      <c r="K102" s="51">
        <f>VLOOKUP($A102,'Data Vlaue (Cr)'!$C:$FB,60)</f>
        <v>0</v>
      </c>
      <c r="L102" s="51">
        <f>VLOOKUP($A102,'Data Vlaue (Cr)'!$C:$FB,62)*100</f>
        <v>0</v>
      </c>
      <c r="M102" s="51">
        <f>VLOOKUP($A102,'Data Vlaue (Cr)'!$C:$FB,63)</f>
        <v>0</v>
      </c>
      <c r="N102" s="51">
        <f>VLOOKUP($A102,'Data Vlaue (Cr)'!$C:$FB,64)</f>
        <v>0</v>
      </c>
      <c r="O102" s="51">
        <f>VLOOKUP($A102,'Data Vlaue (Cr)'!$C:$FB,66)*100</f>
        <v>0</v>
      </c>
    </row>
    <row r="103" spans="1:15" x14ac:dyDescent="0.25">
      <c r="A103" s="101" t="str">
        <f>'Data Vlaue (Cr)'!C98</f>
        <v>INDIGO</v>
      </c>
      <c r="B103" s="50">
        <f>VLOOKUP($A103,'Data Vlaue (Cr)'!$C:$FB,8)</f>
        <v>4449.1000000000004</v>
      </c>
      <c r="C103" s="50">
        <f>VLOOKUP($A103,'Data Vlaue (Cr)'!$C:$FB,11)*100</f>
        <v>-3.61</v>
      </c>
      <c r="D103" s="50">
        <f>VLOOKUP($A103,'Data Vlaue (Cr)'!$C:$FB,143)</f>
        <v>7840.64</v>
      </c>
      <c r="E103" s="50">
        <f>VLOOKUP($A103,'Data Vlaue (Cr)'!$C:$FB,144)</f>
        <v>16886.43</v>
      </c>
      <c r="F103" s="50">
        <f>VLOOKUP($A103,'Data Vlaue (Cr)'!$C:$FB,146)*100</f>
        <v>-53.569999999999993</v>
      </c>
      <c r="G103" s="49">
        <f>VLOOKUP($A103,'Data Vlaue (Cr)'!$C:$FB,43)</f>
        <v>770</v>
      </c>
      <c r="H103" s="49">
        <f>VLOOKUP($A103,'Data Vlaue (Cr)'!$C:$FB,44)</f>
        <v>2166</v>
      </c>
      <c r="I103" s="49">
        <f>VLOOKUP($A103,'Data Vlaue (Cr)'!$C:$FB,46)*100</f>
        <v>-64.429999999999993</v>
      </c>
      <c r="J103" s="51">
        <f>VLOOKUP($A103,'Data Vlaue (Cr)'!$C:$FB,59)</f>
        <v>3899</v>
      </c>
      <c r="K103" s="51">
        <f>VLOOKUP($A103,'Data Vlaue (Cr)'!$C:$FB,60)</f>
        <v>8829</v>
      </c>
      <c r="L103" s="51">
        <f>VLOOKUP($A103,'Data Vlaue (Cr)'!$C:$FB,62)*100</f>
        <v>-55.84</v>
      </c>
      <c r="M103" s="51">
        <f>VLOOKUP($A103,'Data Vlaue (Cr)'!$C:$FB,63)</f>
        <v>2869</v>
      </c>
      <c r="N103" s="51">
        <f>VLOOKUP($A103,'Data Vlaue (Cr)'!$C:$FB,64)</f>
        <v>4825</v>
      </c>
      <c r="O103" s="51">
        <f>VLOOKUP($A103,'Data Vlaue (Cr)'!$C:$FB,66)*100</f>
        <v>-40.54</v>
      </c>
    </row>
    <row r="104" spans="1:15" x14ac:dyDescent="0.25">
      <c r="A104" s="101" t="str">
        <f>'Data Vlaue (Cr)'!C99</f>
        <v>INDUSINDBK</v>
      </c>
      <c r="B104" s="50">
        <f>VLOOKUP($A104,'Data Vlaue (Cr)'!$C:$FB,8)</f>
        <v>814.55</v>
      </c>
      <c r="C104" s="50">
        <f>VLOOKUP($A104,'Data Vlaue (Cr)'!$C:$FB,11)*100</f>
        <v>-2.56</v>
      </c>
      <c r="D104" s="50">
        <f>VLOOKUP($A104,'Data Vlaue (Cr)'!$C:$FB,143)</f>
        <v>1479.49</v>
      </c>
      <c r="E104" s="50">
        <f>VLOOKUP($A104,'Data Vlaue (Cr)'!$C:$FB,144)</f>
        <v>2008.07</v>
      </c>
      <c r="F104" s="50">
        <f>VLOOKUP($A104,'Data Vlaue (Cr)'!$C:$FB,146)*100</f>
        <v>-26.32</v>
      </c>
      <c r="G104" s="49">
        <f>VLOOKUP($A104,'Data Vlaue (Cr)'!$C:$FB,43)</f>
        <v>482</v>
      </c>
      <c r="H104" s="49">
        <f>VLOOKUP($A104,'Data Vlaue (Cr)'!$C:$FB,44)</f>
        <v>547</v>
      </c>
      <c r="I104" s="49">
        <f>VLOOKUP($A104,'Data Vlaue (Cr)'!$C:$FB,46)*100</f>
        <v>-12.030000000000001</v>
      </c>
      <c r="J104" s="51">
        <f>VLOOKUP($A104,'Data Vlaue (Cr)'!$C:$FB,59)</f>
        <v>563</v>
      </c>
      <c r="K104" s="51">
        <f>VLOOKUP($A104,'Data Vlaue (Cr)'!$C:$FB,60)</f>
        <v>768</v>
      </c>
      <c r="L104" s="51">
        <f>VLOOKUP($A104,'Data Vlaue (Cr)'!$C:$FB,62)*100</f>
        <v>-26.61</v>
      </c>
      <c r="M104" s="51">
        <f>VLOOKUP($A104,'Data Vlaue (Cr)'!$C:$FB,63)</f>
        <v>398</v>
      </c>
      <c r="N104" s="51">
        <f>VLOOKUP($A104,'Data Vlaue (Cr)'!$C:$FB,64)</f>
        <v>633</v>
      </c>
      <c r="O104" s="51">
        <f>VLOOKUP($A104,'Data Vlaue (Cr)'!$C:$FB,66)*100</f>
        <v>-37.169999999999995</v>
      </c>
    </row>
    <row r="105" spans="1:15" x14ac:dyDescent="0.25">
      <c r="A105" s="101" t="str">
        <f>'Data Vlaue (Cr)'!C100</f>
        <v>INDUSTOWER</v>
      </c>
      <c r="B105" s="50">
        <f>VLOOKUP($A105,'Data Vlaue (Cr)'!$C:$FB,8)</f>
        <v>438.45</v>
      </c>
      <c r="C105" s="50">
        <f>VLOOKUP($A105,'Data Vlaue (Cr)'!$C:$FB,11)*100</f>
        <v>-0.57000000000000006</v>
      </c>
      <c r="D105" s="50">
        <f>VLOOKUP($A105,'Data Vlaue (Cr)'!$C:$FB,143)</f>
        <v>1597.55</v>
      </c>
      <c r="E105" s="50">
        <f>VLOOKUP($A105,'Data Vlaue (Cr)'!$C:$FB,144)</f>
        <v>2320.36</v>
      </c>
      <c r="F105" s="50">
        <f>VLOOKUP($A105,'Data Vlaue (Cr)'!$C:$FB,146)*100</f>
        <v>-31.15</v>
      </c>
      <c r="G105" s="49">
        <f>VLOOKUP($A105,'Data Vlaue (Cr)'!$C:$FB,43)</f>
        <v>377</v>
      </c>
      <c r="H105" s="49">
        <f>VLOOKUP($A105,'Data Vlaue (Cr)'!$C:$FB,44)</f>
        <v>502</v>
      </c>
      <c r="I105" s="49">
        <f>VLOOKUP($A105,'Data Vlaue (Cr)'!$C:$FB,46)*100</f>
        <v>-24.88</v>
      </c>
      <c r="J105" s="51">
        <f>VLOOKUP($A105,'Data Vlaue (Cr)'!$C:$FB,59)</f>
        <v>853</v>
      </c>
      <c r="K105" s="51">
        <f>VLOOKUP($A105,'Data Vlaue (Cr)'!$C:$FB,60)</f>
        <v>1229</v>
      </c>
      <c r="L105" s="51">
        <f>VLOOKUP($A105,'Data Vlaue (Cr)'!$C:$FB,62)*100</f>
        <v>-30.64</v>
      </c>
      <c r="M105" s="51">
        <f>VLOOKUP($A105,'Data Vlaue (Cr)'!$C:$FB,63)</f>
        <v>324</v>
      </c>
      <c r="N105" s="51">
        <f>VLOOKUP($A105,'Data Vlaue (Cr)'!$C:$FB,64)</f>
        <v>540</v>
      </c>
      <c r="O105" s="51">
        <f>VLOOKUP($A105,'Data Vlaue (Cr)'!$C:$FB,66)*100</f>
        <v>-40.050000000000004</v>
      </c>
    </row>
    <row r="106" spans="1:15" x14ac:dyDescent="0.25">
      <c r="A106" s="101" t="str">
        <f>'Data Vlaue (Cr)'!C101</f>
        <v>INFY</v>
      </c>
      <c r="B106" s="50">
        <f>VLOOKUP($A106,'Data Vlaue (Cr)'!$C:$FB,8)</f>
        <v>1331.6</v>
      </c>
      <c r="C106" s="50">
        <f>VLOOKUP($A106,'Data Vlaue (Cr)'!$C:$FB,11)*100</f>
        <v>-1.08</v>
      </c>
      <c r="D106" s="50">
        <f>VLOOKUP($A106,'Data Vlaue (Cr)'!$C:$FB,143)</f>
        <v>6680.54</v>
      </c>
      <c r="E106" s="50">
        <f>VLOOKUP($A106,'Data Vlaue (Cr)'!$C:$FB,144)</f>
        <v>8030.31</v>
      </c>
      <c r="F106" s="50">
        <f>VLOOKUP($A106,'Data Vlaue (Cr)'!$C:$FB,146)*100</f>
        <v>-16.809999999999999</v>
      </c>
      <c r="G106" s="49">
        <f>VLOOKUP($A106,'Data Vlaue (Cr)'!$C:$FB,43)</f>
        <v>1557</v>
      </c>
      <c r="H106" s="49">
        <f>VLOOKUP($A106,'Data Vlaue (Cr)'!$C:$FB,44)</f>
        <v>1754</v>
      </c>
      <c r="I106" s="49">
        <f>VLOOKUP($A106,'Data Vlaue (Cr)'!$C:$FB,46)*100</f>
        <v>-11.23</v>
      </c>
      <c r="J106" s="51">
        <f>VLOOKUP($A106,'Data Vlaue (Cr)'!$C:$FB,59)</f>
        <v>3264</v>
      </c>
      <c r="K106" s="51">
        <f>VLOOKUP($A106,'Data Vlaue (Cr)'!$C:$FB,60)</f>
        <v>4127</v>
      </c>
      <c r="L106" s="51">
        <f>VLOOKUP($A106,'Data Vlaue (Cr)'!$C:$FB,62)*100</f>
        <v>-20.91</v>
      </c>
      <c r="M106" s="51">
        <f>VLOOKUP($A106,'Data Vlaue (Cr)'!$C:$FB,63)</f>
        <v>1738</v>
      </c>
      <c r="N106" s="51">
        <f>VLOOKUP($A106,'Data Vlaue (Cr)'!$C:$FB,64)</f>
        <v>1920</v>
      </c>
      <c r="O106" s="51">
        <f>VLOOKUP($A106,'Data Vlaue (Cr)'!$C:$FB,66)*100</f>
        <v>-9.5200000000000014</v>
      </c>
    </row>
    <row r="107" spans="1:15" x14ac:dyDescent="0.25">
      <c r="A107" s="101" t="str">
        <f>'Data Vlaue (Cr)'!C102</f>
        <v>INOXWIND</v>
      </c>
      <c r="B107" s="50">
        <f>VLOOKUP($A107,'Data Vlaue (Cr)'!$C:$FB,8)</f>
        <v>85.39</v>
      </c>
      <c r="C107" s="50">
        <f>VLOOKUP($A107,'Data Vlaue (Cr)'!$C:$FB,11)*100</f>
        <v>-1.29</v>
      </c>
      <c r="D107" s="50">
        <f>VLOOKUP($A107,'Data Vlaue (Cr)'!$C:$FB,143)</f>
        <v>213.03</v>
      </c>
      <c r="E107" s="50">
        <f>VLOOKUP($A107,'Data Vlaue (Cr)'!$C:$FB,144)</f>
        <v>394.34</v>
      </c>
      <c r="F107" s="50">
        <f>VLOOKUP($A107,'Data Vlaue (Cr)'!$C:$FB,146)*100</f>
        <v>-45.98</v>
      </c>
      <c r="G107" s="49">
        <f>VLOOKUP($A107,'Data Vlaue (Cr)'!$C:$FB,43)</f>
        <v>83</v>
      </c>
      <c r="H107" s="49">
        <f>VLOOKUP($A107,'Data Vlaue (Cr)'!$C:$FB,44)</f>
        <v>107</v>
      </c>
      <c r="I107" s="49">
        <f>VLOOKUP($A107,'Data Vlaue (Cr)'!$C:$FB,46)*100</f>
        <v>-23.06</v>
      </c>
      <c r="J107" s="51">
        <f>VLOOKUP($A107,'Data Vlaue (Cr)'!$C:$FB,59)</f>
        <v>83</v>
      </c>
      <c r="K107" s="51">
        <f>VLOOKUP($A107,'Data Vlaue (Cr)'!$C:$FB,60)</f>
        <v>185</v>
      </c>
      <c r="L107" s="51">
        <f>VLOOKUP($A107,'Data Vlaue (Cr)'!$C:$FB,62)*100</f>
        <v>-55.04</v>
      </c>
      <c r="M107" s="51">
        <f>VLOOKUP($A107,'Data Vlaue (Cr)'!$C:$FB,63)</f>
        <v>40</v>
      </c>
      <c r="N107" s="51">
        <f>VLOOKUP($A107,'Data Vlaue (Cr)'!$C:$FB,64)</f>
        <v>92</v>
      </c>
      <c r="O107" s="51">
        <f>VLOOKUP($A107,'Data Vlaue (Cr)'!$C:$FB,66)*100</f>
        <v>-56.58</v>
      </c>
    </row>
    <row r="108" spans="1:15" x14ac:dyDescent="0.25">
      <c r="A108" s="101" t="str">
        <f>'Data Vlaue (Cr)'!C103</f>
        <v>IOC</v>
      </c>
      <c r="B108" s="50">
        <f>VLOOKUP($A108,'Data Vlaue (Cr)'!$C:$FB,8)</f>
        <v>141.66999999999999</v>
      </c>
      <c r="C108" s="50">
        <f>VLOOKUP($A108,'Data Vlaue (Cr)'!$C:$FB,11)*100</f>
        <v>-1.17</v>
      </c>
      <c r="D108" s="50">
        <f>VLOOKUP($A108,'Data Vlaue (Cr)'!$C:$FB,143)</f>
        <v>1257.8599999999999</v>
      </c>
      <c r="E108" s="50">
        <f>VLOOKUP($A108,'Data Vlaue (Cr)'!$C:$FB,144)</f>
        <v>3810.65</v>
      </c>
      <c r="F108" s="50">
        <f>VLOOKUP($A108,'Data Vlaue (Cr)'!$C:$FB,146)*100</f>
        <v>-66.990000000000009</v>
      </c>
      <c r="G108" s="49">
        <f>VLOOKUP($A108,'Data Vlaue (Cr)'!$C:$FB,43)</f>
        <v>248</v>
      </c>
      <c r="H108" s="49">
        <f>VLOOKUP($A108,'Data Vlaue (Cr)'!$C:$FB,44)</f>
        <v>661</v>
      </c>
      <c r="I108" s="49">
        <f>VLOOKUP($A108,'Data Vlaue (Cr)'!$C:$FB,46)*100</f>
        <v>-62.480000000000004</v>
      </c>
      <c r="J108" s="51">
        <f>VLOOKUP($A108,'Data Vlaue (Cr)'!$C:$FB,59)</f>
        <v>589</v>
      </c>
      <c r="K108" s="51">
        <f>VLOOKUP($A108,'Data Vlaue (Cr)'!$C:$FB,60)</f>
        <v>2181</v>
      </c>
      <c r="L108" s="51">
        <f>VLOOKUP($A108,'Data Vlaue (Cr)'!$C:$FB,62)*100</f>
        <v>-72.98</v>
      </c>
      <c r="M108" s="51">
        <f>VLOOKUP($A108,'Data Vlaue (Cr)'!$C:$FB,63)</f>
        <v>388</v>
      </c>
      <c r="N108" s="51">
        <f>VLOOKUP($A108,'Data Vlaue (Cr)'!$C:$FB,64)</f>
        <v>812</v>
      </c>
      <c r="O108" s="51">
        <f>VLOOKUP($A108,'Data Vlaue (Cr)'!$C:$FB,66)*100</f>
        <v>-52.15</v>
      </c>
    </row>
    <row r="109" spans="1:15" x14ac:dyDescent="0.25">
      <c r="A109" s="101" t="str">
        <f>'Data Vlaue (Cr)'!C104</f>
        <v>IREDA</v>
      </c>
      <c r="B109" s="50">
        <f>VLOOKUP($A109,'Data Vlaue (Cr)'!$C:$FB,8)</f>
        <v>123.13</v>
      </c>
      <c r="C109" s="50">
        <f>VLOOKUP($A109,'Data Vlaue (Cr)'!$C:$FB,11)*100</f>
        <v>0.54999999999999993</v>
      </c>
      <c r="D109" s="50">
        <f>VLOOKUP($A109,'Data Vlaue (Cr)'!$C:$FB,143)</f>
        <v>394.08</v>
      </c>
      <c r="E109" s="50">
        <f>VLOOKUP($A109,'Data Vlaue (Cr)'!$C:$FB,144)</f>
        <v>649.04999999999995</v>
      </c>
      <c r="F109" s="50">
        <f>VLOOKUP($A109,'Data Vlaue (Cr)'!$C:$FB,146)*100</f>
        <v>-39.28</v>
      </c>
      <c r="G109" s="49">
        <f>VLOOKUP($A109,'Data Vlaue (Cr)'!$C:$FB,43)</f>
        <v>126</v>
      </c>
      <c r="H109" s="49">
        <f>VLOOKUP($A109,'Data Vlaue (Cr)'!$C:$FB,44)</f>
        <v>203</v>
      </c>
      <c r="I109" s="49">
        <f>VLOOKUP($A109,'Data Vlaue (Cr)'!$C:$FB,46)*100</f>
        <v>-38.080000000000005</v>
      </c>
      <c r="J109" s="51">
        <f>VLOOKUP($A109,'Data Vlaue (Cr)'!$C:$FB,59)</f>
        <v>180</v>
      </c>
      <c r="K109" s="51">
        <f>VLOOKUP($A109,'Data Vlaue (Cr)'!$C:$FB,60)</f>
        <v>307</v>
      </c>
      <c r="L109" s="51">
        <f>VLOOKUP($A109,'Data Vlaue (Cr)'!$C:$FB,62)*100</f>
        <v>-41.31</v>
      </c>
      <c r="M109" s="51">
        <f>VLOOKUP($A109,'Data Vlaue (Cr)'!$C:$FB,63)</f>
        <v>82</v>
      </c>
      <c r="N109" s="51">
        <f>VLOOKUP($A109,'Data Vlaue (Cr)'!$C:$FB,64)</f>
        <v>133</v>
      </c>
      <c r="O109" s="51">
        <f>VLOOKUP($A109,'Data Vlaue (Cr)'!$C:$FB,66)*100</f>
        <v>-38.54</v>
      </c>
    </row>
    <row r="110" spans="1:15" x14ac:dyDescent="0.25">
      <c r="A110" s="101" t="str">
        <f>'Data Vlaue (Cr)'!C105</f>
        <v>IRFC</v>
      </c>
      <c r="B110" s="50">
        <f>VLOOKUP($A110,'Data Vlaue (Cr)'!$C:$FB,8)</f>
        <v>98.49</v>
      </c>
      <c r="C110" s="50">
        <f>VLOOKUP($A110,'Data Vlaue (Cr)'!$C:$FB,11)*100</f>
        <v>-0.42</v>
      </c>
      <c r="D110" s="50">
        <f>VLOOKUP($A110,'Data Vlaue (Cr)'!$C:$FB,143)</f>
        <v>512.14</v>
      </c>
      <c r="E110" s="50">
        <f>VLOOKUP($A110,'Data Vlaue (Cr)'!$C:$FB,144)</f>
        <v>1098.07</v>
      </c>
      <c r="F110" s="50">
        <f>VLOOKUP($A110,'Data Vlaue (Cr)'!$C:$FB,146)*100</f>
        <v>-53.36</v>
      </c>
      <c r="G110" s="49">
        <f>VLOOKUP($A110,'Data Vlaue (Cr)'!$C:$FB,43)</f>
        <v>79</v>
      </c>
      <c r="H110" s="49">
        <f>VLOOKUP($A110,'Data Vlaue (Cr)'!$C:$FB,44)</f>
        <v>158</v>
      </c>
      <c r="I110" s="49">
        <f>VLOOKUP($A110,'Data Vlaue (Cr)'!$C:$FB,46)*100</f>
        <v>-50.05</v>
      </c>
      <c r="J110" s="51">
        <f>VLOOKUP($A110,'Data Vlaue (Cr)'!$C:$FB,59)</f>
        <v>294</v>
      </c>
      <c r="K110" s="51">
        <f>VLOOKUP($A110,'Data Vlaue (Cr)'!$C:$FB,60)</f>
        <v>694</v>
      </c>
      <c r="L110" s="51">
        <f>VLOOKUP($A110,'Data Vlaue (Cr)'!$C:$FB,62)*100</f>
        <v>-57.66</v>
      </c>
      <c r="M110" s="51">
        <f>VLOOKUP($A110,'Data Vlaue (Cr)'!$C:$FB,63)</f>
        <v>118</v>
      </c>
      <c r="N110" s="51">
        <f>VLOOKUP($A110,'Data Vlaue (Cr)'!$C:$FB,64)</f>
        <v>194</v>
      </c>
      <c r="O110" s="51">
        <f>VLOOKUP($A110,'Data Vlaue (Cr)'!$C:$FB,66)*100</f>
        <v>-38.96</v>
      </c>
    </row>
    <row r="111" spans="1:15" x14ac:dyDescent="0.25">
      <c r="A111" s="101" t="str">
        <f>'Data Vlaue (Cr)'!C106</f>
        <v>ITC</v>
      </c>
      <c r="B111" s="50">
        <f>VLOOKUP($A111,'Data Vlaue (Cr)'!$C:$FB,8)</f>
        <v>303</v>
      </c>
      <c r="C111" s="50">
        <f>VLOOKUP($A111,'Data Vlaue (Cr)'!$C:$FB,11)*100</f>
        <v>0.18</v>
      </c>
      <c r="D111" s="50">
        <f>VLOOKUP($A111,'Data Vlaue (Cr)'!$C:$FB,143)</f>
        <v>3296.26</v>
      </c>
      <c r="E111" s="50">
        <f>VLOOKUP($A111,'Data Vlaue (Cr)'!$C:$FB,144)</f>
        <v>4437.37</v>
      </c>
      <c r="F111" s="50">
        <f>VLOOKUP($A111,'Data Vlaue (Cr)'!$C:$FB,146)*100</f>
        <v>-25.72</v>
      </c>
      <c r="G111" s="49">
        <f>VLOOKUP($A111,'Data Vlaue (Cr)'!$C:$FB,43)</f>
        <v>320</v>
      </c>
      <c r="H111" s="49">
        <f>VLOOKUP($A111,'Data Vlaue (Cr)'!$C:$FB,44)</f>
        <v>595</v>
      </c>
      <c r="I111" s="49">
        <f>VLOOKUP($A111,'Data Vlaue (Cr)'!$C:$FB,46)*100</f>
        <v>-46.22</v>
      </c>
      <c r="J111" s="51">
        <f>VLOOKUP($A111,'Data Vlaue (Cr)'!$C:$FB,59)</f>
        <v>2126</v>
      </c>
      <c r="K111" s="51">
        <f>VLOOKUP($A111,'Data Vlaue (Cr)'!$C:$FB,60)</f>
        <v>2521</v>
      </c>
      <c r="L111" s="51">
        <f>VLOOKUP($A111,'Data Vlaue (Cr)'!$C:$FB,62)*100</f>
        <v>-15.67</v>
      </c>
      <c r="M111" s="51">
        <f>VLOOKUP($A111,'Data Vlaue (Cr)'!$C:$FB,63)</f>
        <v>778</v>
      </c>
      <c r="N111" s="51">
        <f>VLOOKUP($A111,'Data Vlaue (Cr)'!$C:$FB,64)</f>
        <v>1253</v>
      </c>
      <c r="O111" s="51">
        <f>VLOOKUP($A111,'Data Vlaue (Cr)'!$C:$FB,66)*100</f>
        <v>-37.89</v>
      </c>
    </row>
    <row r="112" spans="1:15" x14ac:dyDescent="0.25">
      <c r="A112" s="101" t="str">
        <f>'Data Vlaue (Cr)'!C107</f>
        <v>JINDALSTEL</v>
      </c>
      <c r="B112" s="50">
        <f>VLOOKUP($A112,'Data Vlaue (Cr)'!$C:$FB,8)</f>
        <v>1199.5999999999999</v>
      </c>
      <c r="C112" s="50">
        <f>VLOOKUP($A112,'Data Vlaue (Cr)'!$C:$FB,11)*100</f>
        <v>-1.1100000000000001</v>
      </c>
      <c r="D112" s="50">
        <f>VLOOKUP($A112,'Data Vlaue (Cr)'!$C:$FB,143)</f>
        <v>1012.1</v>
      </c>
      <c r="E112" s="50">
        <f>VLOOKUP($A112,'Data Vlaue (Cr)'!$C:$FB,144)</f>
        <v>1495.62</v>
      </c>
      <c r="F112" s="50">
        <f>VLOOKUP($A112,'Data Vlaue (Cr)'!$C:$FB,146)*100</f>
        <v>-32.33</v>
      </c>
      <c r="G112" s="49">
        <f>VLOOKUP($A112,'Data Vlaue (Cr)'!$C:$FB,43)</f>
        <v>273</v>
      </c>
      <c r="H112" s="49">
        <f>VLOOKUP($A112,'Data Vlaue (Cr)'!$C:$FB,44)</f>
        <v>472</v>
      </c>
      <c r="I112" s="49">
        <f>VLOOKUP($A112,'Data Vlaue (Cr)'!$C:$FB,46)*100</f>
        <v>-42.05</v>
      </c>
      <c r="J112" s="51">
        <f>VLOOKUP($A112,'Data Vlaue (Cr)'!$C:$FB,59)</f>
        <v>370</v>
      </c>
      <c r="K112" s="51">
        <f>VLOOKUP($A112,'Data Vlaue (Cr)'!$C:$FB,60)</f>
        <v>624</v>
      </c>
      <c r="L112" s="51">
        <f>VLOOKUP($A112,'Data Vlaue (Cr)'!$C:$FB,62)*100</f>
        <v>-40.71</v>
      </c>
      <c r="M112" s="51">
        <f>VLOOKUP($A112,'Data Vlaue (Cr)'!$C:$FB,63)</f>
        <v>354</v>
      </c>
      <c r="N112" s="51">
        <f>VLOOKUP($A112,'Data Vlaue (Cr)'!$C:$FB,64)</f>
        <v>383</v>
      </c>
      <c r="O112" s="51">
        <f>VLOOKUP($A112,'Data Vlaue (Cr)'!$C:$FB,66)*100</f>
        <v>-7.57</v>
      </c>
    </row>
    <row r="113" spans="1:15" x14ac:dyDescent="0.25">
      <c r="A113" s="101" t="str">
        <f>'Data Vlaue (Cr)'!C108</f>
        <v>JIOFIN</v>
      </c>
      <c r="B113" s="50">
        <f>VLOOKUP($A113,'Data Vlaue (Cr)'!$C:$FB,8)</f>
        <v>238.84</v>
      </c>
      <c r="C113" s="50">
        <f>VLOOKUP($A113,'Data Vlaue (Cr)'!$C:$FB,11)*100</f>
        <v>-3.25</v>
      </c>
      <c r="D113" s="50">
        <f>VLOOKUP($A113,'Data Vlaue (Cr)'!$C:$FB,143)</f>
        <v>1882.52</v>
      </c>
      <c r="E113" s="50">
        <f>VLOOKUP($A113,'Data Vlaue (Cr)'!$C:$FB,144)</f>
        <v>2289.54</v>
      </c>
      <c r="F113" s="50">
        <f>VLOOKUP($A113,'Data Vlaue (Cr)'!$C:$FB,146)*100</f>
        <v>-17.78</v>
      </c>
      <c r="G113" s="49">
        <f>VLOOKUP($A113,'Data Vlaue (Cr)'!$C:$FB,43)</f>
        <v>441</v>
      </c>
      <c r="H113" s="49">
        <f>VLOOKUP($A113,'Data Vlaue (Cr)'!$C:$FB,44)</f>
        <v>450</v>
      </c>
      <c r="I113" s="49">
        <f>VLOOKUP($A113,'Data Vlaue (Cr)'!$C:$FB,46)*100</f>
        <v>-2.1999999999999997</v>
      </c>
      <c r="J113" s="51">
        <f>VLOOKUP($A113,'Data Vlaue (Cr)'!$C:$FB,59)</f>
        <v>883</v>
      </c>
      <c r="K113" s="51">
        <f>VLOOKUP($A113,'Data Vlaue (Cr)'!$C:$FB,60)</f>
        <v>1159</v>
      </c>
      <c r="L113" s="51">
        <f>VLOOKUP($A113,'Data Vlaue (Cr)'!$C:$FB,62)*100</f>
        <v>-23.799999999999997</v>
      </c>
      <c r="M113" s="51">
        <f>VLOOKUP($A113,'Data Vlaue (Cr)'!$C:$FB,63)</f>
        <v>493</v>
      </c>
      <c r="N113" s="51">
        <f>VLOOKUP($A113,'Data Vlaue (Cr)'!$C:$FB,64)</f>
        <v>565</v>
      </c>
      <c r="O113" s="51">
        <f>VLOOKUP($A113,'Data Vlaue (Cr)'!$C:$FB,66)*100</f>
        <v>-12.770000000000001</v>
      </c>
    </row>
    <row r="114" spans="1:15" x14ac:dyDescent="0.25">
      <c r="A114" s="101" t="str">
        <f>'Data Vlaue (Cr)'!C109</f>
        <v>JSWENERGY</v>
      </c>
      <c r="B114" s="50">
        <f>VLOOKUP($A114,'Data Vlaue (Cr)'!$C:$FB,8)</f>
        <v>489.15</v>
      </c>
      <c r="C114" s="50">
        <f>VLOOKUP($A114,'Data Vlaue (Cr)'!$C:$FB,11)*100</f>
        <v>-2.5700000000000003</v>
      </c>
      <c r="D114" s="50">
        <f>VLOOKUP($A114,'Data Vlaue (Cr)'!$C:$FB,143)</f>
        <v>815.28</v>
      </c>
      <c r="E114" s="50">
        <f>VLOOKUP($A114,'Data Vlaue (Cr)'!$C:$FB,144)</f>
        <v>598.80999999999995</v>
      </c>
      <c r="F114" s="50">
        <f>VLOOKUP($A114,'Data Vlaue (Cr)'!$C:$FB,146)*100</f>
        <v>36.15</v>
      </c>
      <c r="G114" s="49">
        <f>VLOOKUP($A114,'Data Vlaue (Cr)'!$C:$FB,43)</f>
        <v>177</v>
      </c>
      <c r="H114" s="49">
        <f>VLOOKUP($A114,'Data Vlaue (Cr)'!$C:$FB,44)</f>
        <v>142</v>
      </c>
      <c r="I114" s="49">
        <f>VLOOKUP($A114,'Data Vlaue (Cr)'!$C:$FB,46)*100</f>
        <v>24.62</v>
      </c>
      <c r="J114" s="51">
        <f>VLOOKUP($A114,'Data Vlaue (Cr)'!$C:$FB,59)</f>
        <v>456</v>
      </c>
      <c r="K114" s="51">
        <f>VLOOKUP($A114,'Data Vlaue (Cr)'!$C:$FB,60)</f>
        <v>315</v>
      </c>
      <c r="L114" s="51">
        <f>VLOOKUP($A114,'Data Vlaue (Cr)'!$C:$FB,62)*100</f>
        <v>44.67</v>
      </c>
      <c r="M114" s="51">
        <f>VLOOKUP($A114,'Data Vlaue (Cr)'!$C:$FB,63)</f>
        <v>149</v>
      </c>
      <c r="N114" s="51">
        <f>VLOOKUP($A114,'Data Vlaue (Cr)'!$C:$FB,64)</f>
        <v>113</v>
      </c>
      <c r="O114" s="51">
        <f>VLOOKUP($A114,'Data Vlaue (Cr)'!$C:$FB,66)*100</f>
        <v>31.71</v>
      </c>
    </row>
    <row r="115" spans="1:15" x14ac:dyDescent="0.25">
      <c r="A115" s="101" t="str">
        <f>'Data Vlaue (Cr)'!C110</f>
        <v>JSWSTEEL</v>
      </c>
      <c r="B115" s="50">
        <f>VLOOKUP($A115,'Data Vlaue (Cr)'!$C:$FB,8)</f>
        <v>1209.7</v>
      </c>
      <c r="C115" s="50">
        <f>VLOOKUP($A115,'Data Vlaue (Cr)'!$C:$FB,11)*100</f>
        <v>1.29</v>
      </c>
      <c r="D115" s="50">
        <f>VLOOKUP($A115,'Data Vlaue (Cr)'!$C:$FB,143)</f>
        <v>1791.79</v>
      </c>
      <c r="E115" s="50">
        <f>VLOOKUP($A115,'Data Vlaue (Cr)'!$C:$FB,144)</f>
        <v>1955.12</v>
      </c>
      <c r="F115" s="50">
        <f>VLOOKUP($A115,'Data Vlaue (Cr)'!$C:$FB,146)*100</f>
        <v>-8.35</v>
      </c>
      <c r="G115" s="49">
        <f>VLOOKUP($A115,'Data Vlaue (Cr)'!$C:$FB,43)</f>
        <v>432</v>
      </c>
      <c r="H115" s="49">
        <f>VLOOKUP($A115,'Data Vlaue (Cr)'!$C:$FB,44)</f>
        <v>471</v>
      </c>
      <c r="I115" s="49">
        <f>VLOOKUP($A115,'Data Vlaue (Cr)'!$C:$FB,46)*100</f>
        <v>-8.3099999999999987</v>
      </c>
      <c r="J115" s="51">
        <f>VLOOKUP($A115,'Data Vlaue (Cr)'!$C:$FB,59)</f>
        <v>847</v>
      </c>
      <c r="K115" s="51">
        <f>VLOOKUP($A115,'Data Vlaue (Cr)'!$C:$FB,60)</f>
        <v>797</v>
      </c>
      <c r="L115" s="51">
        <f>VLOOKUP($A115,'Data Vlaue (Cr)'!$C:$FB,62)*100</f>
        <v>6.29</v>
      </c>
      <c r="M115" s="51">
        <f>VLOOKUP($A115,'Data Vlaue (Cr)'!$C:$FB,63)</f>
        <v>497</v>
      </c>
      <c r="N115" s="51">
        <f>VLOOKUP($A115,'Data Vlaue (Cr)'!$C:$FB,64)</f>
        <v>716</v>
      </c>
      <c r="O115" s="51">
        <f>VLOOKUP($A115,'Data Vlaue (Cr)'!$C:$FB,66)*100</f>
        <v>-30.56</v>
      </c>
    </row>
    <row r="116" spans="1:15" x14ac:dyDescent="0.25">
      <c r="A116" s="101" t="str">
        <f>'Data Vlaue (Cr)'!C111</f>
        <v>JUBLFOOD</v>
      </c>
      <c r="B116" s="50">
        <f>VLOOKUP($A116,'Data Vlaue (Cr)'!$C:$FB,8)</f>
        <v>427.85</v>
      </c>
      <c r="C116" s="50">
        <f>VLOOKUP($A116,'Data Vlaue (Cr)'!$C:$FB,11)*100</f>
        <v>-1.81</v>
      </c>
      <c r="D116" s="50">
        <f>VLOOKUP($A116,'Data Vlaue (Cr)'!$C:$FB,143)</f>
        <v>1213.48</v>
      </c>
      <c r="E116" s="50">
        <f>VLOOKUP($A116,'Data Vlaue (Cr)'!$C:$FB,144)</f>
        <v>3584.64</v>
      </c>
      <c r="F116" s="50">
        <f>VLOOKUP($A116,'Data Vlaue (Cr)'!$C:$FB,146)*100</f>
        <v>-66.149999999999991</v>
      </c>
      <c r="G116" s="49">
        <f>VLOOKUP($A116,'Data Vlaue (Cr)'!$C:$FB,43)</f>
        <v>292</v>
      </c>
      <c r="H116" s="49">
        <f>VLOOKUP($A116,'Data Vlaue (Cr)'!$C:$FB,44)</f>
        <v>820</v>
      </c>
      <c r="I116" s="49">
        <f>VLOOKUP($A116,'Data Vlaue (Cr)'!$C:$FB,46)*100</f>
        <v>-64.39</v>
      </c>
      <c r="J116" s="51">
        <f>VLOOKUP($A116,'Data Vlaue (Cr)'!$C:$FB,59)</f>
        <v>586</v>
      </c>
      <c r="K116" s="51">
        <f>VLOOKUP($A116,'Data Vlaue (Cr)'!$C:$FB,60)</f>
        <v>1694</v>
      </c>
      <c r="L116" s="51">
        <f>VLOOKUP($A116,'Data Vlaue (Cr)'!$C:$FB,62)*100</f>
        <v>-65.38000000000001</v>
      </c>
      <c r="M116" s="51">
        <f>VLOOKUP($A116,'Data Vlaue (Cr)'!$C:$FB,63)</f>
        <v>270</v>
      </c>
      <c r="N116" s="51">
        <f>VLOOKUP($A116,'Data Vlaue (Cr)'!$C:$FB,64)</f>
        <v>949</v>
      </c>
      <c r="O116" s="51">
        <f>VLOOKUP($A116,'Data Vlaue (Cr)'!$C:$FB,66)*100</f>
        <v>-71.53</v>
      </c>
    </row>
    <row r="117" spans="1:15" x14ac:dyDescent="0.25">
      <c r="A117" s="101" t="str">
        <f>'Data Vlaue (Cr)'!C112</f>
        <v>KALYANKJIL</v>
      </c>
      <c r="B117" s="50">
        <f>VLOOKUP($A117,'Data Vlaue (Cr)'!$C:$FB,8)</f>
        <v>446.1</v>
      </c>
      <c r="C117" s="50">
        <f>VLOOKUP($A117,'Data Vlaue (Cr)'!$C:$FB,11)*100</f>
        <v>0.12</v>
      </c>
      <c r="D117" s="50">
        <f>VLOOKUP($A117,'Data Vlaue (Cr)'!$C:$FB,143)</f>
        <v>817.08</v>
      </c>
      <c r="E117" s="50">
        <f>VLOOKUP($A117,'Data Vlaue (Cr)'!$C:$FB,144)</f>
        <v>1921.81</v>
      </c>
      <c r="F117" s="50">
        <f>VLOOKUP($A117,'Data Vlaue (Cr)'!$C:$FB,146)*100</f>
        <v>-57.48</v>
      </c>
      <c r="G117" s="49">
        <f>VLOOKUP($A117,'Data Vlaue (Cr)'!$C:$FB,43)</f>
        <v>144</v>
      </c>
      <c r="H117" s="49">
        <f>VLOOKUP($A117,'Data Vlaue (Cr)'!$C:$FB,44)</f>
        <v>307</v>
      </c>
      <c r="I117" s="49">
        <f>VLOOKUP($A117,'Data Vlaue (Cr)'!$C:$FB,46)*100</f>
        <v>-53.21</v>
      </c>
      <c r="J117" s="51">
        <f>VLOOKUP($A117,'Data Vlaue (Cr)'!$C:$FB,59)</f>
        <v>406</v>
      </c>
      <c r="K117" s="51">
        <f>VLOOKUP($A117,'Data Vlaue (Cr)'!$C:$FB,60)</f>
        <v>1209</v>
      </c>
      <c r="L117" s="51">
        <f>VLOOKUP($A117,'Data Vlaue (Cr)'!$C:$FB,62)*100</f>
        <v>-66.41</v>
      </c>
      <c r="M117" s="51">
        <f>VLOOKUP($A117,'Data Vlaue (Cr)'!$C:$FB,63)</f>
        <v>249</v>
      </c>
      <c r="N117" s="51">
        <f>VLOOKUP($A117,'Data Vlaue (Cr)'!$C:$FB,64)</f>
        <v>400</v>
      </c>
      <c r="O117" s="51">
        <f>VLOOKUP($A117,'Data Vlaue (Cr)'!$C:$FB,66)*100</f>
        <v>-37.769999999999996</v>
      </c>
    </row>
    <row r="118" spans="1:15" x14ac:dyDescent="0.25">
      <c r="A118" s="101" t="str">
        <f>'Data Vlaue (Cr)'!C113</f>
        <v>KAYNES</v>
      </c>
      <c r="B118" s="50">
        <f>VLOOKUP($A118,'Data Vlaue (Cr)'!$C:$FB,8)</f>
        <v>3851.5</v>
      </c>
      <c r="C118" s="50">
        <f>VLOOKUP($A118,'Data Vlaue (Cr)'!$C:$FB,11)*100</f>
        <v>-1.53</v>
      </c>
      <c r="D118" s="50">
        <f>VLOOKUP($A118,'Data Vlaue (Cr)'!$C:$FB,143)</f>
        <v>1918.04</v>
      </c>
      <c r="E118" s="50">
        <f>VLOOKUP($A118,'Data Vlaue (Cr)'!$C:$FB,144)</f>
        <v>2392.16</v>
      </c>
      <c r="F118" s="50">
        <f>VLOOKUP($A118,'Data Vlaue (Cr)'!$C:$FB,146)*100</f>
        <v>-19.82</v>
      </c>
      <c r="G118" s="49">
        <f>VLOOKUP($A118,'Data Vlaue (Cr)'!$C:$FB,43)</f>
        <v>495</v>
      </c>
      <c r="H118" s="49">
        <f>VLOOKUP($A118,'Data Vlaue (Cr)'!$C:$FB,44)</f>
        <v>516</v>
      </c>
      <c r="I118" s="49">
        <f>VLOOKUP($A118,'Data Vlaue (Cr)'!$C:$FB,46)*100</f>
        <v>-3.94</v>
      </c>
      <c r="J118" s="51">
        <f>VLOOKUP($A118,'Data Vlaue (Cr)'!$C:$FB,59)</f>
        <v>946</v>
      </c>
      <c r="K118" s="51">
        <f>VLOOKUP($A118,'Data Vlaue (Cr)'!$C:$FB,60)</f>
        <v>1280</v>
      </c>
      <c r="L118" s="51">
        <f>VLOOKUP($A118,'Data Vlaue (Cr)'!$C:$FB,62)*100</f>
        <v>-26.090000000000003</v>
      </c>
      <c r="M118" s="51">
        <f>VLOOKUP($A118,'Data Vlaue (Cr)'!$C:$FB,63)</f>
        <v>405</v>
      </c>
      <c r="N118" s="51">
        <f>VLOOKUP($A118,'Data Vlaue (Cr)'!$C:$FB,64)</f>
        <v>494</v>
      </c>
      <c r="O118" s="51">
        <f>VLOOKUP($A118,'Data Vlaue (Cr)'!$C:$FB,66)*100</f>
        <v>-18.04</v>
      </c>
    </row>
    <row r="119" spans="1:15" x14ac:dyDescent="0.25">
      <c r="A119" s="101" t="str">
        <f>'Data Vlaue (Cr)'!C114</f>
        <v>KEI</v>
      </c>
      <c r="B119" s="50">
        <f>VLOOKUP($A119,'Data Vlaue (Cr)'!$C:$FB,8)</f>
        <v>4416.8999999999996</v>
      </c>
      <c r="C119" s="50">
        <f>VLOOKUP($A119,'Data Vlaue (Cr)'!$C:$FB,11)*100</f>
        <v>-2</v>
      </c>
      <c r="D119" s="50">
        <f>VLOOKUP($A119,'Data Vlaue (Cr)'!$C:$FB,143)</f>
        <v>576.17999999999995</v>
      </c>
      <c r="E119" s="50">
        <f>VLOOKUP($A119,'Data Vlaue (Cr)'!$C:$FB,144)</f>
        <v>960.08</v>
      </c>
      <c r="F119" s="50">
        <f>VLOOKUP($A119,'Data Vlaue (Cr)'!$C:$FB,146)*100</f>
        <v>-39.989999999999995</v>
      </c>
      <c r="G119" s="49">
        <f>VLOOKUP($A119,'Data Vlaue (Cr)'!$C:$FB,43)</f>
        <v>167</v>
      </c>
      <c r="H119" s="49">
        <f>VLOOKUP($A119,'Data Vlaue (Cr)'!$C:$FB,44)</f>
        <v>333</v>
      </c>
      <c r="I119" s="49">
        <f>VLOOKUP($A119,'Data Vlaue (Cr)'!$C:$FB,46)*100</f>
        <v>-49.730000000000004</v>
      </c>
      <c r="J119" s="51">
        <f>VLOOKUP($A119,'Data Vlaue (Cr)'!$C:$FB,59)</f>
        <v>269</v>
      </c>
      <c r="K119" s="51">
        <f>VLOOKUP($A119,'Data Vlaue (Cr)'!$C:$FB,60)</f>
        <v>433</v>
      </c>
      <c r="L119" s="51">
        <f>VLOOKUP($A119,'Data Vlaue (Cr)'!$C:$FB,62)*100</f>
        <v>-37.81</v>
      </c>
      <c r="M119" s="51">
        <f>VLOOKUP($A119,'Data Vlaue (Cr)'!$C:$FB,63)</f>
        <v>120</v>
      </c>
      <c r="N119" s="51">
        <f>VLOOKUP($A119,'Data Vlaue (Cr)'!$C:$FB,64)</f>
        <v>168</v>
      </c>
      <c r="O119" s="51">
        <f>VLOOKUP($A119,'Data Vlaue (Cr)'!$C:$FB,66)*100</f>
        <v>-28.499999999999996</v>
      </c>
    </row>
    <row r="120" spans="1:15" x14ac:dyDescent="0.25">
      <c r="A120" s="101" t="str">
        <f>'Data Vlaue (Cr)'!C115</f>
        <v>KFINTECH</v>
      </c>
      <c r="B120" s="50">
        <f>VLOOKUP($A120,'Data Vlaue (Cr)'!$C:$FB,8)</f>
        <v>892.25</v>
      </c>
      <c r="C120" s="50">
        <f>VLOOKUP($A120,'Data Vlaue (Cr)'!$C:$FB,11)*100</f>
        <v>-2.9499999999999997</v>
      </c>
      <c r="D120" s="50">
        <f>VLOOKUP($A120,'Data Vlaue (Cr)'!$C:$FB,143)</f>
        <v>431.88</v>
      </c>
      <c r="E120" s="50">
        <f>VLOOKUP($A120,'Data Vlaue (Cr)'!$C:$FB,144)</f>
        <v>531.54</v>
      </c>
      <c r="F120" s="50">
        <f>VLOOKUP($A120,'Data Vlaue (Cr)'!$C:$FB,146)*100</f>
        <v>-18.75</v>
      </c>
      <c r="G120" s="49">
        <f>VLOOKUP($A120,'Data Vlaue (Cr)'!$C:$FB,43)</f>
        <v>150</v>
      </c>
      <c r="H120" s="49">
        <f>VLOOKUP($A120,'Data Vlaue (Cr)'!$C:$FB,44)</f>
        <v>216</v>
      </c>
      <c r="I120" s="49">
        <f>VLOOKUP($A120,'Data Vlaue (Cr)'!$C:$FB,46)*100</f>
        <v>-30.470000000000002</v>
      </c>
      <c r="J120" s="51">
        <f>VLOOKUP($A120,'Data Vlaue (Cr)'!$C:$FB,59)</f>
        <v>209</v>
      </c>
      <c r="K120" s="51">
        <f>VLOOKUP($A120,'Data Vlaue (Cr)'!$C:$FB,60)</f>
        <v>210</v>
      </c>
      <c r="L120" s="51">
        <f>VLOOKUP($A120,'Data Vlaue (Cr)'!$C:$FB,62)*100</f>
        <v>-0.32</v>
      </c>
      <c r="M120" s="51">
        <f>VLOOKUP($A120,'Data Vlaue (Cr)'!$C:$FB,63)</f>
        <v>52</v>
      </c>
      <c r="N120" s="51">
        <f>VLOOKUP($A120,'Data Vlaue (Cr)'!$C:$FB,64)</f>
        <v>79</v>
      </c>
      <c r="O120" s="51">
        <f>VLOOKUP($A120,'Data Vlaue (Cr)'!$C:$FB,66)*100</f>
        <v>-34.58</v>
      </c>
    </row>
    <row r="121" spans="1:15" x14ac:dyDescent="0.25">
      <c r="A121" s="101" t="str">
        <f>'Data Vlaue (Cr)'!C116</f>
        <v>KOTAKBANK</v>
      </c>
      <c r="B121" s="50">
        <f>VLOOKUP($A121,'Data Vlaue (Cr)'!$C:$FB,8)</f>
        <v>371.9</v>
      </c>
      <c r="C121" s="50">
        <f>VLOOKUP($A121,'Data Vlaue (Cr)'!$C:$FB,11)*100</f>
        <v>-2.17</v>
      </c>
      <c r="D121" s="50">
        <f>VLOOKUP($A121,'Data Vlaue (Cr)'!$C:$FB,143)</f>
        <v>1853.54</v>
      </c>
      <c r="E121" s="50">
        <f>VLOOKUP($A121,'Data Vlaue (Cr)'!$C:$FB,144)</f>
        <v>3568.39</v>
      </c>
      <c r="F121" s="50">
        <f>VLOOKUP($A121,'Data Vlaue (Cr)'!$C:$FB,146)*100</f>
        <v>-48.06</v>
      </c>
      <c r="G121" s="49">
        <f>VLOOKUP($A121,'Data Vlaue (Cr)'!$C:$FB,43)</f>
        <v>513</v>
      </c>
      <c r="H121" s="49">
        <f>VLOOKUP($A121,'Data Vlaue (Cr)'!$C:$FB,44)</f>
        <v>1132</v>
      </c>
      <c r="I121" s="49">
        <f>VLOOKUP($A121,'Data Vlaue (Cr)'!$C:$FB,46)*100</f>
        <v>-54.690000000000005</v>
      </c>
      <c r="J121" s="51">
        <f>VLOOKUP($A121,'Data Vlaue (Cr)'!$C:$FB,59)</f>
        <v>772</v>
      </c>
      <c r="K121" s="51">
        <f>VLOOKUP($A121,'Data Vlaue (Cr)'!$C:$FB,60)</f>
        <v>1400</v>
      </c>
      <c r="L121" s="51">
        <f>VLOOKUP($A121,'Data Vlaue (Cr)'!$C:$FB,62)*100</f>
        <v>-44.87</v>
      </c>
      <c r="M121" s="51">
        <f>VLOOKUP($A121,'Data Vlaue (Cr)'!$C:$FB,63)</f>
        <v>529</v>
      </c>
      <c r="N121" s="51">
        <f>VLOOKUP($A121,'Data Vlaue (Cr)'!$C:$FB,64)</f>
        <v>971</v>
      </c>
      <c r="O121" s="51">
        <f>VLOOKUP($A121,'Data Vlaue (Cr)'!$C:$FB,66)*100</f>
        <v>-45.46</v>
      </c>
    </row>
    <row r="122" spans="1:15" x14ac:dyDescent="0.25">
      <c r="A122" s="101" t="str">
        <f>'Data Vlaue (Cr)'!C117</f>
        <v>KPITTECH</v>
      </c>
      <c r="B122" s="50">
        <f>VLOOKUP($A122,'Data Vlaue (Cr)'!$C:$FB,8)</f>
        <v>716.05</v>
      </c>
      <c r="C122" s="50">
        <f>VLOOKUP($A122,'Data Vlaue (Cr)'!$C:$FB,11)*100</f>
        <v>-0.71000000000000008</v>
      </c>
      <c r="D122" s="50">
        <f>VLOOKUP($A122,'Data Vlaue (Cr)'!$C:$FB,143)</f>
        <v>397.53</v>
      </c>
      <c r="E122" s="50">
        <f>VLOOKUP($A122,'Data Vlaue (Cr)'!$C:$FB,144)</f>
        <v>641.32000000000005</v>
      </c>
      <c r="F122" s="50">
        <f>VLOOKUP($A122,'Data Vlaue (Cr)'!$C:$FB,146)*100</f>
        <v>-38.01</v>
      </c>
      <c r="G122" s="49">
        <f>VLOOKUP($A122,'Data Vlaue (Cr)'!$C:$FB,43)</f>
        <v>103</v>
      </c>
      <c r="H122" s="49">
        <f>VLOOKUP($A122,'Data Vlaue (Cr)'!$C:$FB,44)</f>
        <v>147</v>
      </c>
      <c r="I122" s="49">
        <f>VLOOKUP($A122,'Data Vlaue (Cr)'!$C:$FB,46)*100</f>
        <v>-30.28</v>
      </c>
      <c r="J122" s="51">
        <f>VLOOKUP($A122,'Data Vlaue (Cr)'!$C:$FB,59)</f>
        <v>196</v>
      </c>
      <c r="K122" s="51">
        <f>VLOOKUP($A122,'Data Vlaue (Cr)'!$C:$FB,60)</f>
        <v>354</v>
      </c>
      <c r="L122" s="51">
        <f>VLOOKUP($A122,'Data Vlaue (Cr)'!$C:$FB,62)*100</f>
        <v>-44.629999999999995</v>
      </c>
      <c r="M122" s="51">
        <f>VLOOKUP($A122,'Data Vlaue (Cr)'!$C:$FB,63)</f>
        <v>87</v>
      </c>
      <c r="N122" s="51">
        <f>VLOOKUP($A122,'Data Vlaue (Cr)'!$C:$FB,64)</f>
        <v>116</v>
      </c>
      <c r="O122" s="51">
        <f>VLOOKUP($A122,'Data Vlaue (Cr)'!$C:$FB,66)*100</f>
        <v>-24.57</v>
      </c>
    </row>
    <row r="123" spans="1:15" x14ac:dyDescent="0.25">
      <c r="A123" s="101" t="str">
        <f>'Data Vlaue (Cr)'!C118</f>
        <v>LAURUSLABS</v>
      </c>
      <c r="B123" s="50">
        <f>VLOOKUP($A123,'Data Vlaue (Cr)'!$C:$FB,8)</f>
        <v>1083.7</v>
      </c>
      <c r="C123" s="50">
        <f>VLOOKUP($A123,'Data Vlaue (Cr)'!$C:$FB,11)*100</f>
        <v>0.12</v>
      </c>
      <c r="D123" s="50">
        <f>VLOOKUP($A123,'Data Vlaue (Cr)'!$C:$FB,143)</f>
        <v>820.93</v>
      </c>
      <c r="E123" s="50">
        <f>VLOOKUP($A123,'Data Vlaue (Cr)'!$C:$FB,144)</f>
        <v>1237.8699999999999</v>
      </c>
      <c r="F123" s="50">
        <f>VLOOKUP($A123,'Data Vlaue (Cr)'!$C:$FB,146)*100</f>
        <v>-33.68</v>
      </c>
      <c r="G123" s="49">
        <f>VLOOKUP($A123,'Data Vlaue (Cr)'!$C:$FB,43)</f>
        <v>192</v>
      </c>
      <c r="H123" s="49">
        <f>VLOOKUP($A123,'Data Vlaue (Cr)'!$C:$FB,44)</f>
        <v>343</v>
      </c>
      <c r="I123" s="49">
        <f>VLOOKUP($A123,'Data Vlaue (Cr)'!$C:$FB,46)*100</f>
        <v>-43.93</v>
      </c>
      <c r="J123" s="51">
        <f>VLOOKUP($A123,'Data Vlaue (Cr)'!$C:$FB,59)</f>
        <v>378</v>
      </c>
      <c r="K123" s="51">
        <f>VLOOKUP($A123,'Data Vlaue (Cr)'!$C:$FB,60)</f>
        <v>524</v>
      </c>
      <c r="L123" s="51">
        <f>VLOOKUP($A123,'Data Vlaue (Cr)'!$C:$FB,62)*100</f>
        <v>-27.91</v>
      </c>
      <c r="M123" s="51">
        <f>VLOOKUP($A123,'Data Vlaue (Cr)'!$C:$FB,63)</f>
        <v>237</v>
      </c>
      <c r="N123" s="51">
        <f>VLOOKUP($A123,'Data Vlaue (Cr)'!$C:$FB,64)</f>
        <v>366</v>
      </c>
      <c r="O123" s="51">
        <f>VLOOKUP($A123,'Data Vlaue (Cr)'!$C:$FB,66)*100</f>
        <v>-35.29</v>
      </c>
    </row>
    <row r="124" spans="1:15" x14ac:dyDescent="0.25">
      <c r="A124" s="101" t="str">
        <f>'Data Vlaue (Cr)'!C119</f>
        <v>LICHSGFIN</v>
      </c>
      <c r="B124" s="50">
        <f>VLOOKUP($A124,'Data Vlaue (Cr)'!$C:$FB,8)</f>
        <v>532.29999999999995</v>
      </c>
      <c r="C124" s="50">
        <f>VLOOKUP($A124,'Data Vlaue (Cr)'!$C:$FB,11)*100</f>
        <v>0.51</v>
      </c>
      <c r="D124" s="50">
        <f>VLOOKUP($A124,'Data Vlaue (Cr)'!$C:$FB,143)</f>
        <v>352.95</v>
      </c>
      <c r="E124" s="50">
        <f>VLOOKUP($A124,'Data Vlaue (Cr)'!$C:$FB,144)</f>
        <v>691.93</v>
      </c>
      <c r="F124" s="50">
        <f>VLOOKUP($A124,'Data Vlaue (Cr)'!$C:$FB,146)*100</f>
        <v>-48.99</v>
      </c>
      <c r="G124" s="49">
        <f>VLOOKUP($A124,'Data Vlaue (Cr)'!$C:$FB,43)</f>
        <v>86</v>
      </c>
      <c r="H124" s="49">
        <f>VLOOKUP($A124,'Data Vlaue (Cr)'!$C:$FB,44)</f>
        <v>185</v>
      </c>
      <c r="I124" s="49">
        <f>VLOOKUP($A124,'Data Vlaue (Cr)'!$C:$FB,46)*100</f>
        <v>-53.64</v>
      </c>
      <c r="J124" s="51">
        <f>VLOOKUP($A124,'Data Vlaue (Cr)'!$C:$FB,59)</f>
        <v>175</v>
      </c>
      <c r="K124" s="51">
        <f>VLOOKUP($A124,'Data Vlaue (Cr)'!$C:$FB,60)</f>
        <v>354</v>
      </c>
      <c r="L124" s="51">
        <f>VLOOKUP($A124,'Data Vlaue (Cr)'!$C:$FB,62)*100</f>
        <v>-50.62</v>
      </c>
      <c r="M124" s="51">
        <f>VLOOKUP($A124,'Data Vlaue (Cr)'!$C:$FB,63)</f>
        <v>88</v>
      </c>
      <c r="N124" s="51">
        <f>VLOOKUP($A124,'Data Vlaue (Cr)'!$C:$FB,64)</f>
        <v>148</v>
      </c>
      <c r="O124" s="51">
        <f>VLOOKUP($A124,'Data Vlaue (Cr)'!$C:$FB,66)*100</f>
        <v>-40.82</v>
      </c>
    </row>
    <row r="125" spans="1:15" x14ac:dyDescent="0.25">
      <c r="A125" s="101" t="str">
        <f>'Data Vlaue (Cr)'!C120</f>
        <v>LICI</v>
      </c>
      <c r="B125" s="50">
        <f>VLOOKUP($A125,'Data Vlaue (Cr)'!$C:$FB,8)</f>
        <v>793.4</v>
      </c>
      <c r="C125" s="50">
        <f>VLOOKUP($A125,'Data Vlaue (Cr)'!$C:$FB,11)*100</f>
        <v>-0.04</v>
      </c>
      <c r="D125" s="50">
        <f>VLOOKUP($A125,'Data Vlaue (Cr)'!$C:$FB,143)</f>
        <v>478.65</v>
      </c>
      <c r="E125" s="50">
        <f>VLOOKUP($A125,'Data Vlaue (Cr)'!$C:$FB,144)</f>
        <v>1471</v>
      </c>
      <c r="F125" s="50">
        <f>VLOOKUP($A125,'Data Vlaue (Cr)'!$C:$FB,146)*100</f>
        <v>-67.459999999999994</v>
      </c>
      <c r="G125" s="49">
        <f>VLOOKUP($A125,'Data Vlaue (Cr)'!$C:$FB,43)</f>
        <v>146</v>
      </c>
      <c r="H125" s="49">
        <f>VLOOKUP($A125,'Data Vlaue (Cr)'!$C:$FB,44)</f>
        <v>273</v>
      </c>
      <c r="I125" s="49">
        <f>VLOOKUP($A125,'Data Vlaue (Cr)'!$C:$FB,46)*100</f>
        <v>-46.36</v>
      </c>
      <c r="J125" s="51">
        <f>VLOOKUP($A125,'Data Vlaue (Cr)'!$C:$FB,59)</f>
        <v>236</v>
      </c>
      <c r="K125" s="51">
        <f>VLOOKUP($A125,'Data Vlaue (Cr)'!$C:$FB,60)</f>
        <v>857</v>
      </c>
      <c r="L125" s="51">
        <f>VLOOKUP($A125,'Data Vlaue (Cr)'!$C:$FB,62)*100</f>
        <v>-72.45</v>
      </c>
      <c r="M125" s="51">
        <f>VLOOKUP($A125,'Data Vlaue (Cr)'!$C:$FB,63)</f>
        <v>84</v>
      </c>
      <c r="N125" s="51">
        <f>VLOOKUP($A125,'Data Vlaue (Cr)'!$C:$FB,64)</f>
        <v>300</v>
      </c>
      <c r="O125" s="51">
        <f>VLOOKUP($A125,'Data Vlaue (Cr)'!$C:$FB,66)*100</f>
        <v>-72.14</v>
      </c>
    </row>
    <row r="126" spans="1:15" x14ac:dyDescent="0.25">
      <c r="A126" s="101" t="str">
        <f>'Data Vlaue (Cr)'!C121</f>
        <v>LODHA</v>
      </c>
      <c r="B126" s="50">
        <f>VLOOKUP($A126,'Data Vlaue (Cr)'!$C:$FB,8)</f>
        <v>789.55</v>
      </c>
      <c r="C126" s="50">
        <f>VLOOKUP($A126,'Data Vlaue (Cr)'!$C:$FB,11)*100</f>
        <v>1.37</v>
      </c>
      <c r="D126" s="50">
        <f>VLOOKUP($A126,'Data Vlaue (Cr)'!$C:$FB,143)</f>
        <v>978.62</v>
      </c>
      <c r="E126" s="50">
        <f>VLOOKUP($A126,'Data Vlaue (Cr)'!$C:$FB,144)</f>
        <v>2113.06</v>
      </c>
      <c r="F126" s="50">
        <f>VLOOKUP($A126,'Data Vlaue (Cr)'!$C:$FB,146)*100</f>
        <v>-53.690000000000005</v>
      </c>
      <c r="G126" s="49">
        <f>VLOOKUP($A126,'Data Vlaue (Cr)'!$C:$FB,43)</f>
        <v>295</v>
      </c>
      <c r="H126" s="49">
        <f>VLOOKUP($A126,'Data Vlaue (Cr)'!$C:$FB,44)</f>
        <v>541</v>
      </c>
      <c r="I126" s="49">
        <f>VLOOKUP($A126,'Data Vlaue (Cr)'!$C:$FB,46)*100</f>
        <v>-45.5</v>
      </c>
      <c r="J126" s="51">
        <f>VLOOKUP($A126,'Data Vlaue (Cr)'!$C:$FB,59)</f>
        <v>437</v>
      </c>
      <c r="K126" s="51">
        <f>VLOOKUP($A126,'Data Vlaue (Cr)'!$C:$FB,60)</f>
        <v>978</v>
      </c>
      <c r="L126" s="51">
        <f>VLOOKUP($A126,'Data Vlaue (Cr)'!$C:$FB,62)*100</f>
        <v>-55.32</v>
      </c>
      <c r="M126" s="51">
        <f>VLOOKUP($A126,'Data Vlaue (Cr)'!$C:$FB,63)</f>
        <v>230</v>
      </c>
      <c r="N126" s="51">
        <f>VLOOKUP($A126,'Data Vlaue (Cr)'!$C:$FB,64)</f>
        <v>610</v>
      </c>
      <c r="O126" s="51">
        <f>VLOOKUP($A126,'Data Vlaue (Cr)'!$C:$FB,66)*100</f>
        <v>-62.250000000000007</v>
      </c>
    </row>
    <row r="127" spans="1:15" x14ac:dyDescent="0.25">
      <c r="A127" s="101" t="str">
        <f>'Data Vlaue (Cr)'!C122</f>
        <v>LT</v>
      </c>
      <c r="B127" s="50">
        <f>VLOOKUP($A127,'Data Vlaue (Cr)'!$C:$FB,8)</f>
        <v>3896.2</v>
      </c>
      <c r="C127" s="50">
        <f>VLOOKUP($A127,'Data Vlaue (Cr)'!$C:$FB,11)*100</f>
        <v>-2.74</v>
      </c>
      <c r="D127" s="50">
        <f>VLOOKUP($A127,'Data Vlaue (Cr)'!$C:$FB,143)</f>
        <v>8277.18</v>
      </c>
      <c r="E127" s="50">
        <f>VLOOKUP($A127,'Data Vlaue (Cr)'!$C:$FB,144)</f>
        <v>16201.11</v>
      </c>
      <c r="F127" s="50">
        <f>VLOOKUP($A127,'Data Vlaue (Cr)'!$C:$FB,146)*100</f>
        <v>-48.91</v>
      </c>
      <c r="G127" s="49">
        <f>VLOOKUP($A127,'Data Vlaue (Cr)'!$C:$FB,43)</f>
        <v>1226</v>
      </c>
      <c r="H127" s="49">
        <f>VLOOKUP($A127,'Data Vlaue (Cr)'!$C:$FB,44)</f>
        <v>2395</v>
      </c>
      <c r="I127" s="49">
        <f>VLOOKUP($A127,'Data Vlaue (Cr)'!$C:$FB,46)*100</f>
        <v>-48.82</v>
      </c>
      <c r="J127" s="51">
        <f>VLOOKUP($A127,'Data Vlaue (Cr)'!$C:$FB,59)</f>
        <v>4581</v>
      </c>
      <c r="K127" s="51">
        <f>VLOOKUP($A127,'Data Vlaue (Cr)'!$C:$FB,60)</f>
        <v>8468</v>
      </c>
      <c r="L127" s="51">
        <f>VLOOKUP($A127,'Data Vlaue (Cr)'!$C:$FB,62)*100</f>
        <v>-45.9</v>
      </c>
      <c r="M127" s="51">
        <f>VLOOKUP($A127,'Data Vlaue (Cr)'!$C:$FB,63)</f>
        <v>2198</v>
      </c>
      <c r="N127" s="51">
        <f>VLOOKUP($A127,'Data Vlaue (Cr)'!$C:$FB,64)</f>
        <v>4841</v>
      </c>
      <c r="O127" s="51">
        <f>VLOOKUP($A127,'Data Vlaue (Cr)'!$C:$FB,66)*100</f>
        <v>-54.59</v>
      </c>
    </row>
    <row r="128" spans="1:15" x14ac:dyDescent="0.25">
      <c r="A128" s="101" t="str">
        <f>'Data Vlaue (Cr)'!C123</f>
        <v>LTF</v>
      </c>
      <c r="B128" s="50">
        <f>VLOOKUP($A128,'Data Vlaue (Cr)'!$C:$FB,8)</f>
        <v>272.18</v>
      </c>
      <c r="C128" s="50">
        <f>VLOOKUP($A128,'Data Vlaue (Cr)'!$C:$FB,11)*100</f>
        <v>-1.1900000000000002</v>
      </c>
      <c r="D128" s="50">
        <f>VLOOKUP($A128,'Data Vlaue (Cr)'!$C:$FB,143)</f>
        <v>856.2</v>
      </c>
      <c r="E128" s="50">
        <f>VLOOKUP($A128,'Data Vlaue (Cr)'!$C:$FB,144)</f>
        <v>2307.8000000000002</v>
      </c>
      <c r="F128" s="50">
        <f>VLOOKUP($A128,'Data Vlaue (Cr)'!$C:$FB,146)*100</f>
        <v>-62.9</v>
      </c>
      <c r="G128" s="49">
        <f>VLOOKUP($A128,'Data Vlaue (Cr)'!$C:$FB,43)</f>
        <v>236</v>
      </c>
      <c r="H128" s="49">
        <f>VLOOKUP($A128,'Data Vlaue (Cr)'!$C:$FB,44)</f>
        <v>469</v>
      </c>
      <c r="I128" s="49">
        <f>VLOOKUP($A128,'Data Vlaue (Cr)'!$C:$FB,46)*100</f>
        <v>-49.75</v>
      </c>
      <c r="J128" s="51">
        <f>VLOOKUP($A128,'Data Vlaue (Cr)'!$C:$FB,59)</f>
        <v>381</v>
      </c>
      <c r="K128" s="51">
        <f>VLOOKUP($A128,'Data Vlaue (Cr)'!$C:$FB,60)</f>
        <v>1247</v>
      </c>
      <c r="L128" s="51">
        <f>VLOOKUP($A128,'Data Vlaue (Cr)'!$C:$FB,62)*100</f>
        <v>-69.430000000000007</v>
      </c>
      <c r="M128" s="51">
        <f>VLOOKUP($A128,'Data Vlaue (Cr)'!$C:$FB,63)</f>
        <v>214</v>
      </c>
      <c r="N128" s="51">
        <f>VLOOKUP($A128,'Data Vlaue (Cr)'!$C:$FB,64)</f>
        <v>510</v>
      </c>
      <c r="O128" s="51">
        <f>VLOOKUP($A128,'Data Vlaue (Cr)'!$C:$FB,66)*100</f>
        <v>-58.099999999999994</v>
      </c>
    </row>
    <row r="129" spans="1:15" x14ac:dyDescent="0.25">
      <c r="A129" s="101" t="str">
        <f>'Data Vlaue (Cr)'!C124</f>
        <v>LTM</v>
      </c>
      <c r="B129" s="50">
        <f>VLOOKUP($A129,'Data Vlaue (Cr)'!$C:$FB,8)</f>
        <v>4572</v>
      </c>
      <c r="C129" s="50">
        <f>VLOOKUP($A129,'Data Vlaue (Cr)'!$C:$FB,11)*100</f>
        <v>1.08</v>
      </c>
      <c r="D129" s="50">
        <f>VLOOKUP($A129,'Data Vlaue (Cr)'!$C:$FB,143)</f>
        <v>1288.78</v>
      </c>
      <c r="E129" s="50">
        <f>VLOOKUP($A129,'Data Vlaue (Cr)'!$C:$FB,144)</f>
        <v>1294.0899999999999</v>
      </c>
      <c r="F129" s="50">
        <f>VLOOKUP($A129,'Data Vlaue (Cr)'!$C:$FB,146)*100</f>
        <v>-0.41000000000000003</v>
      </c>
      <c r="G129" s="49">
        <f>VLOOKUP($A129,'Data Vlaue (Cr)'!$C:$FB,43)</f>
        <v>240</v>
      </c>
      <c r="H129" s="49">
        <f>VLOOKUP($A129,'Data Vlaue (Cr)'!$C:$FB,44)</f>
        <v>395</v>
      </c>
      <c r="I129" s="49">
        <f>VLOOKUP($A129,'Data Vlaue (Cr)'!$C:$FB,46)*100</f>
        <v>-39.31</v>
      </c>
      <c r="J129" s="51">
        <f>VLOOKUP($A129,'Data Vlaue (Cr)'!$C:$FB,59)</f>
        <v>766</v>
      </c>
      <c r="K129" s="51">
        <f>VLOOKUP($A129,'Data Vlaue (Cr)'!$C:$FB,60)</f>
        <v>622</v>
      </c>
      <c r="L129" s="51">
        <f>VLOOKUP($A129,'Data Vlaue (Cr)'!$C:$FB,62)*100</f>
        <v>23.1</v>
      </c>
      <c r="M129" s="51">
        <f>VLOOKUP($A129,'Data Vlaue (Cr)'!$C:$FB,63)</f>
        <v>259</v>
      </c>
      <c r="N129" s="51">
        <f>VLOOKUP($A129,'Data Vlaue (Cr)'!$C:$FB,64)</f>
        <v>269</v>
      </c>
      <c r="O129" s="51">
        <f>VLOOKUP($A129,'Data Vlaue (Cr)'!$C:$FB,66)*100</f>
        <v>-3.7800000000000002</v>
      </c>
    </row>
    <row r="130" spans="1:15" x14ac:dyDescent="0.25">
      <c r="A130" s="101" t="str">
        <f>'Data Vlaue (Cr)'!C125</f>
        <v>LUPIN</v>
      </c>
      <c r="B130" s="50">
        <f>VLOOKUP($A130,'Data Vlaue (Cr)'!$C:$FB,8)</f>
        <v>2295.1</v>
      </c>
      <c r="C130" s="50">
        <f>VLOOKUP($A130,'Data Vlaue (Cr)'!$C:$FB,11)*100</f>
        <v>0.04</v>
      </c>
      <c r="D130" s="50">
        <f>VLOOKUP($A130,'Data Vlaue (Cr)'!$C:$FB,143)</f>
        <v>1444.72</v>
      </c>
      <c r="E130" s="50">
        <f>VLOOKUP($A130,'Data Vlaue (Cr)'!$C:$FB,144)</f>
        <v>1848.8</v>
      </c>
      <c r="F130" s="50">
        <f>VLOOKUP($A130,'Data Vlaue (Cr)'!$C:$FB,146)*100</f>
        <v>-21.86</v>
      </c>
      <c r="G130" s="49">
        <f>VLOOKUP($A130,'Data Vlaue (Cr)'!$C:$FB,43)</f>
        <v>333</v>
      </c>
      <c r="H130" s="49">
        <f>VLOOKUP($A130,'Data Vlaue (Cr)'!$C:$FB,44)</f>
        <v>330</v>
      </c>
      <c r="I130" s="49">
        <f>VLOOKUP($A130,'Data Vlaue (Cr)'!$C:$FB,46)*100</f>
        <v>0.89</v>
      </c>
      <c r="J130" s="51">
        <f>VLOOKUP($A130,'Data Vlaue (Cr)'!$C:$FB,59)</f>
        <v>730</v>
      </c>
      <c r="K130" s="51">
        <f>VLOOKUP($A130,'Data Vlaue (Cr)'!$C:$FB,60)</f>
        <v>997</v>
      </c>
      <c r="L130" s="51">
        <f>VLOOKUP($A130,'Data Vlaue (Cr)'!$C:$FB,62)*100</f>
        <v>-26.76</v>
      </c>
      <c r="M130" s="51">
        <f>VLOOKUP($A130,'Data Vlaue (Cr)'!$C:$FB,63)</f>
        <v>359</v>
      </c>
      <c r="N130" s="51">
        <f>VLOOKUP($A130,'Data Vlaue (Cr)'!$C:$FB,64)</f>
        <v>494</v>
      </c>
      <c r="O130" s="51">
        <f>VLOOKUP($A130,'Data Vlaue (Cr)'!$C:$FB,66)*100</f>
        <v>-27.43</v>
      </c>
    </row>
    <row r="131" spans="1:15" x14ac:dyDescent="0.25">
      <c r="A131" s="101" t="str">
        <f>'Data Vlaue (Cr)'!C126</f>
        <v>M&amp;M</v>
      </c>
      <c r="B131" s="50">
        <f>VLOOKUP($A131,'Data Vlaue (Cr)'!$C:$FB,8)</f>
        <v>3166.8</v>
      </c>
      <c r="C131" s="50">
        <f>VLOOKUP($A131,'Data Vlaue (Cr)'!$C:$FB,11)*100</f>
        <v>-1.35</v>
      </c>
      <c r="D131" s="50">
        <f>VLOOKUP($A131,'Data Vlaue (Cr)'!$C:$FB,143)</f>
        <v>3166.91</v>
      </c>
      <c r="E131" s="50">
        <f>VLOOKUP($A131,'Data Vlaue (Cr)'!$C:$FB,144)</f>
        <v>6054.49</v>
      </c>
      <c r="F131" s="50">
        <f>VLOOKUP($A131,'Data Vlaue (Cr)'!$C:$FB,146)*100</f>
        <v>-47.69</v>
      </c>
      <c r="G131" s="49">
        <f>VLOOKUP($A131,'Data Vlaue (Cr)'!$C:$FB,43)</f>
        <v>598</v>
      </c>
      <c r="H131" s="49">
        <f>VLOOKUP($A131,'Data Vlaue (Cr)'!$C:$FB,44)</f>
        <v>978</v>
      </c>
      <c r="I131" s="49">
        <f>VLOOKUP($A131,'Data Vlaue (Cr)'!$C:$FB,46)*100</f>
        <v>-38.81</v>
      </c>
      <c r="J131" s="51">
        <f>VLOOKUP($A131,'Data Vlaue (Cr)'!$C:$FB,59)</f>
        <v>1569</v>
      </c>
      <c r="K131" s="51">
        <f>VLOOKUP($A131,'Data Vlaue (Cr)'!$C:$FB,60)</f>
        <v>3353</v>
      </c>
      <c r="L131" s="51">
        <f>VLOOKUP($A131,'Data Vlaue (Cr)'!$C:$FB,62)*100</f>
        <v>-53.21</v>
      </c>
      <c r="M131" s="51">
        <f>VLOOKUP($A131,'Data Vlaue (Cr)'!$C:$FB,63)</f>
        <v>934</v>
      </c>
      <c r="N131" s="51">
        <f>VLOOKUP($A131,'Data Vlaue (Cr)'!$C:$FB,64)</f>
        <v>1563</v>
      </c>
      <c r="O131" s="51">
        <f>VLOOKUP($A131,'Data Vlaue (Cr)'!$C:$FB,66)*100</f>
        <v>-40.22</v>
      </c>
    </row>
    <row r="132" spans="1:15" x14ac:dyDescent="0.25">
      <c r="A132" s="101" t="str">
        <f>'Data Vlaue (Cr)'!C127</f>
        <v>MANAPPURAM</v>
      </c>
      <c r="B132" s="50">
        <f>VLOOKUP($A132,'Data Vlaue (Cr)'!$C:$FB,8)</f>
        <v>262.95</v>
      </c>
      <c r="C132" s="50">
        <f>VLOOKUP($A132,'Data Vlaue (Cr)'!$C:$FB,11)*100</f>
        <v>-2.4500000000000002</v>
      </c>
      <c r="D132" s="50">
        <f>VLOOKUP($A132,'Data Vlaue (Cr)'!$C:$FB,143)</f>
        <v>438.1</v>
      </c>
      <c r="E132" s="50">
        <f>VLOOKUP($A132,'Data Vlaue (Cr)'!$C:$FB,144)</f>
        <v>1489.32</v>
      </c>
      <c r="F132" s="50">
        <f>VLOOKUP($A132,'Data Vlaue (Cr)'!$C:$FB,146)*100</f>
        <v>-70.58</v>
      </c>
      <c r="G132" s="49">
        <f>VLOOKUP($A132,'Data Vlaue (Cr)'!$C:$FB,43)</f>
        <v>144</v>
      </c>
      <c r="H132" s="49">
        <f>VLOOKUP($A132,'Data Vlaue (Cr)'!$C:$FB,44)</f>
        <v>388</v>
      </c>
      <c r="I132" s="49">
        <f>VLOOKUP($A132,'Data Vlaue (Cr)'!$C:$FB,46)*100</f>
        <v>-62.89</v>
      </c>
      <c r="J132" s="51">
        <f>VLOOKUP($A132,'Data Vlaue (Cr)'!$C:$FB,59)</f>
        <v>218</v>
      </c>
      <c r="K132" s="51">
        <f>VLOOKUP($A132,'Data Vlaue (Cr)'!$C:$FB,60)</f>
        <v>797</v>
      </c>
      <c r="L132" s="51">
        <f>VLOOKUP($A132,'Data Vlaue (Cr)'!$C:$FB,62)*100</f>
        <v>-72.61</v>
      </c>
      <c r="M132" s="51">
        <f>VLOOKUP($A132,'Data Vlaue (Cr)'!$C:$FB,63)</f>
        <v>61</v>
      </c>
      <c r="N132" s="51">
        <f>VLOOKUP($A132,'Data Vlaue (Cr)'!$C:$FB,64)</f>
        <v>247</v>
      </c>
      <c r="O132" s="51">
        <f>VLOOKUP($A132,'Data Vlaue (Cr)'!$C:$FB,66)*100</f>
        <v>-75.149999999999991</v>
      </c>
    </row>
    <row r="133" spans="1:15" x14ac:dyDescent="0.25">
      <c r="A133" s="101" t="str">
        <f>'Data Vlaue (Cr)'!C128</f>
        <v>MANKIND</v>
      </c>
      <c r="B133" s="50">
        <f>VLOOKUP($A133,'Data Vlaue (Cr)'!$C:$FB,8)</f>
        <v>2054.1999999999998</v>
      </c>
      <c r="C133" s="50">
        <f>VLOOKUP($A133,'Data Vlaue (Cr)'!$C:$FB,11)*100</f>
        <v>0.6</v>
      </c>
      <c r="D133" s="50">
        <f>VLOOKUP($A133,'Data Vlaue (Cr)'!$C:$FB,143)</f>
        <v>200.35</v>
      </c>
      <c r="E133" s="50">
        <f>VLOOKUP($A133,'Data Vlaue (Cr)'!$C:$FB,144)</f>
        <v>395.6</v>
      </c>
      <c r="F133" s="50">
        <f>VLOOKUP($A133,'Data Vlaue (Cr)'!$C:$FB,146)*100</f>
        <v>-49.36</v>
      </c>
      <c r="G133" s="49">
        <f>VLOOKUP($A133,'Data Vlaue (Cr)'!$C:$FB,43)</f>
        <v>49</v>
      </c>
      <c r="H133" s="49">
        <f>VLOOKUP($A133,'Data Vlaue (Cr)'!$C:$FB,44)</f>
        <v>72</v>
      </c>
      <c r="I133" s="49">
        <f>VLOOKUP($A133,'Data Vlaue (Cr)'!$C:$FB,46)*100</f>
        <v>-31.879999999999995</v>
      </c>
      <c r="J133" s="51">
        <f>VLOOKUP($A133,'Data Vlaue (Cr)'!$C:$FB,59)</f>
        <v>111</v>
      </c>
      <c r="K133" s="51">
        <f>VLOOKUP($A133,'Data Vlaue (Cr)'!$C:$FB,60)</f>
        <v>215</v>
      </c>
      <c r="L133" s="51">
        <f>VLOOKUP($A133,'Data Vlaue (Cr)'!$C:$FB,62)*100</f>
        <v>-48.63</v>
      </c>
      <c r="M133" s="51">
        <f>VLOOKUP($A133,'Data Vlaue (Cr)'!$C:$FB,63)</f>
        <v>34</v>
      </c>
      <c r="N133" s="51">
        <f>VLOOKUP($A133,'Data Vlaue (Cr)'!$C:$FB,64)</f>
        <v>93</v>
      </c>
      <c r="O133" s="51">
        <f>VLOOKUP($A133,'Data Vlaue (Cr)'!$C:$FB,66)*100</f>
        <v>-62.739999999999995</v>
      </c>
    </row>
    <row r="134" spans="1:15" x14ac:dyDescent="0.25">
      <c r="A134" s="101" t="str">
        <f>'Data Vlaue (Cr)'!C129</f>
        <v>MARICO</v>
      </c>
      <c r="B134" s="50">
        <f>VLOOKUP($A134,'Data Vlaue (Cr)'!$C:$FB,8)</f>
        <v>747.35</v>
      </c>
      <c r="C134" s="50">
        <f>VLOOKUP($A134,'Data Vlaue (Cr)'!$C:$FB,11)*100</f>
        <v>-0.01</v>
      </c>
      <c r="D134" s="50">
        <f>VLOOKUP($A134,'Data Vlaue (Cr)'!$C:$FB,143)</f>
        <v>510.1</v>
      </c>
      <c r="E134" s="50">
        <f>VLOOKUP($A134,'Data Vlaue (Cr)'!$C:$FB,144)</f>
        <v>1692.31</v>
      </c>
      <c r="F134" s="50">
        <f>VLOOKUP($A134,'Data Vlaue (Cr)'!$C:$FB,146)*100</f>
        <v>-69.86</v>
      </c>
      <c r="G134" s="49">
        <f>VLOOKUP($A134,'Data Vlaue (Cr)'!$C:$FB,43)</f>
        <v>124</v>
      </c>
      <c r="H134" s="49">
        <f>VLOOKUP($A134,'Data Vlaue (Cr)'!$C:$FB,44)</f>
        <v>413</v>
      </c>
      <c r="I134" s="49">
        <f>VLOOKUP($A134,'Data Vlaue (Cr)'!$C:$FB,46)*100</f>
        <v>-69.989999999999995</v>
      </c>
      <c r="J134" s="51">
        <f>VLOOKUP($A134,'Data Vlaue (Cr)'!$C:$FB,59)</f>
        <v>282</v>
      </c>
      <c r="K134" s="51">
        <f>VLOOKUP($A134,'Data Vlaue (Cr)'!$C:$FB,60)</f>
        <v>792</v>
      </c>
      <c r="L134" s="51">
        <f>VLOOKUP($A134,'Data Vlaue (Cr)'!$C:$FB,62)*100</f>
        <v>-64.47</v>
      </c>
      <c r="M134" s="51">
        <f>VLOOKUP($A134,'Data Vlaue (Cr)'!$C:$FB,63)</f>
        <v>94</v>
      </c>
      <c r="N134" s="51">
        <f>VLOOKUP($A134,'Data Vlaue (Cr)'!$C:$FB,64)</f>
        <v>444</v>
      </c>
      <c r="O134" s="51">
        <f>VLOOKUP($A134,'Data Vlaue (Cr)'!$C:$FB,66)*100</f>
        <v>-78.900000000000006</v>
      </c>
    </row>
    <row r="135" spans="1:15" x14ac:dyDescent="0.25">
      <c r="A135" s="101" t="str">
        <f>'Data Vlaue (Cr)'!C130</f>
        <v>MARUTI</v>
      </c>
      <c r="B135" s="50">
        <f>VLOOKUP($A135,'Data Vlaue (Cr)'!$C:$FB,8)</f>
        <v>13589</v>
      </c>
      <c r="C135" s="50">
        <f>VLOOKUP($A135,'Data Vlaue (Cr)'!$C:$FB,11)*100</f>
        <v>-0.1</v>
      </c>
      <c r="D135" s="50">
        <f>VLOOKUP($A135,'Data Vlaue (Cr)'!$C:$FB,143)</f>
        <v>8352.33</v>
      </c>
      <c r="E135" s="50">
        <f>VLOOKUP($A135,'Data Vlaue (Cr)'!$C:$FB,144)</f>
        <v>10887.04</v>
      </c>
      <c r="F135" s="50">
        <f>VLOOKUP($A135,'Data Vlaue (Cr)'!$C:$FB,146)*100</f>
        <v>-23.28</v>
      </c>
      <c r="G135" s="49">
        <f>VLOOKUP($A135,'Data Vlaue (Cr)'!$C:$FB,43)</f>
        <v>1045</v>
      </c>
      <c r="H135" s="49">
        <f>VLOOKUP($A135,'Data Vlaue (Cr)'!$C:$FB,44)</f>
        <v>1432</v>
      </c>
      <c r="I135" s="49">
        <f>VLOOKUP($A135,'Data Vlaue (Cr)'!$C:$FB,46)*100</f>
        <v>-27.05</v>
      </c>
      <c r="J135" s="51">
        <f>VLOOKUP($A135,'Data Vlaue (Cr)'!$C:$FB,59)</f>
        <v>4637</v>
      </c>
      <c r="K135" s="51">
        <f>VLOOKUP($A135,'Data Vlaue (Cr)'!$C:$FB,60)</f>
        <v>6021</v>
      </c>
      <c r="L135" s="51">
        <f>VLOOKUP($A135,'Data Vlaue (Cr)'!$C:$FB,62)*100</f>
        <v>-22.97</v>
      </c>
      <c r="M135" s="51">
        <f>VLOOKUP($A135,'Data Vlaue (Cr)'!$C:$FB,63)</f>
        <v>2473</v>
      </c>
      <c r="N135" s="51">
        <f>VLOOKUP($A135,'Data Vlaue (Cr)'!$C:$FB,64)</f>
        <v>3279</v>
      </c>
      <c r="O135" s="51">
        <f>VLOOKUP($A135,'Data Vlaue (Cr)'!$C:$FB,66)*100</f>
        <v>-24.58</v>
      </c>
    </row>
    <row r="136" spans="1:15" x14ac:dyDescent="0.25">
      <c r="A136" s="101" t="str">
        <f>'Data Vlaue (Cr)'!C131</f>
        <v>MAXHEALTH</v>
      </c>
      <c r="B136" s="50">
        <f>VLOOKUP($A136,'Data Vlaue (Cr)'!$C:$FB,8)</f>
        <v>954.95</v>
      </c>
      <c r="C136" s="50">
        <f>VLOOKUP($A136,'Data Vlaue (Cr)'!$C:$FB,11)*100</f>
        <v>1.47</v>
      </c>
      <c r="D136" s="50">
        <f>VLOOKUP($A136,'Data Vlaue (Cr)'!$C:$FB,143)</f>
        <v>1009.3</v>
      </c>
      <c r="E136" s="50">
        <f>VLOOKUP($A136,'Data Vlaue (Cr)'!$C:$FB,144)</f>
        <v>858.36</v>
      </c>
      <c r="F136" s="50">
        <f>VLOOKUP($A136,'Data Vlaue (Cr)'!$C:$FB,146)*100</f>
        <v>17.580000000000002</v>
      </c>
      <c r="G136" s="49">
        <f>VLOOKUP($A136,'Data Vlaue (Cr)'!$C:$FB,43)</f>
        <v>251</v>
      </c>
      <c r="H136" s="49">
        <f>VLOOKUP($A136,'Data Vlaue (Cr)'!$C:$FB,44)</f>
        <v>233</v>
      </c>
      <c r="I136" s="49">
        <f>VLOOKUP($A136,'Data Vlaue (Cr)'!$C:$FB,46)*100</f>
        <v>8.0399999999999991</v>
      </c>
      <c r="J136" s="51">
        <f>VLOOKUP($A136,'Data Vlaue (Cr)'!$C:$FB,59)</f>
        <v>583</v>
      </c>
      <c r="K136" s="51">
        <f>VLOOKUP($A136,'Data Vlaue (Cr)'!$C:$FB,60)</f>
        <v>410</v>
      </c>
      <c r="L136" s="51">
        <f>VLOOKUP($A136,'Data Vlaue (Cr)'!$C:$FB,62)*100</f>
        <v>42.07</v>
      </c>
      <c r="M136" s="51">
        <f>VLOOKUP($A136,'Data Vlaue (Cr)'!$C:$FB,63)</f>
        <v>152</v>
      </c>
      <c r="N136" s="51">
        <f>VLOOKUP($A136,'Data Vlaue (Cr)'!$C:$FB,64)</f>
        <v>203</v>
      </c>
      <c r="O136" s="51">
        <f>VLOOKUP($A136,'Data Vlaue (Cr)'!$C:$FB,66)*100</f>
        <v>-25.069999999999997</v>
      </c>
    </row>
    <row r="137" spans="1:15" x14ac:dyDescent="0.25">
      <c r="A137" s="101" t="str">
        <f>'Data Vlaue (Cr)'!C132</f>
        <v>MAZDOCK</v>
      </c>
      <c r="B137" s="50">
        <f>VLOOKUP($A137,'Data Vlaue (Cr)'!$C:$FB,8)</f>
        <v>2435.5</v>
      </c>
      <c r="C137" s="50">
        <f>VLOOKUP($A137,'Data Vlaue (Cr)'!$C:$FB,11)*100</f>
        <v>1.69</v>
      </c>
      <c r="D137" s="50">
        <f>VLOOKUP($A137,'Data Vlaue (Cr)'!$C:$FB,143)</f>
        <v>3357.92</v>
      </c>
      <c r="E137" s="50">
        <f>VLOOKUP($A137,'Data Vlaue (Cr)'!$C:$FB,144)</f>
        <v>1449.25</v>
      </c>
      <c r="F137" s="50">
        <f>VLOOKUP($A137,'Data Vlaue (Cr)'!$C:$FB,146)*100</f>
        <v>131.69999999999999</v>
      </c>
      <c r="G137" s="49">
        <f>VLOOKUP($A137,'Data Vlaue (Cr)'!$C:$FB,43)</f>
        <v>309</v>
      </c>
      <c r="H137" s="49">
        <f>VLOOKUP($A137,'Data Vlaue (Cr)'!$C:$FB,44)</f>
        <v>208</v>
      </c>
      <c r="I137" s="49">
        <f>VLOOKUP($A137,'Data Vlaue (Cr)'!$C:$FB,46)*100</f>
        <v>48.63</v>
      </c>
      <c r="J137" s="51">
        <f>VLOOKUP($A137,'Data Vlaue (Cr)'!$C:$FB,59)</f>
        <v>2208</v>
      </c>
      <c r="K137" s="51">
        <f>VLOOKUP($A137,'Data Vlaue (Cr)'!$C:$FB,60)</f>
        <v>865</v>
      </c>
      <c r="L137" s="51">
        <f>VLOOKUP($A137,'Data Vlaue (Cr)'!$C:$FB,62)*100</f>
        <v>155.17000000000002</v>
      </c>
      <c r="M137" s="51">
        <f>VLOOKUP($A137,'Data Vlaue (Cr)'!$C:$FB,63)</f>
        <v>710</v>
      </c>
      <c r="N137" s="51">
        <f>VLOOKUP($A137,'Data Vlaue (Cr)'!$C:$FB,64)</f>
        <v>360</v>
      </c>
      <c r="O137" s="51">
        <f>VLOOKUP($A137,'Data Vlaue (Cr)'!$C:$FB,66)*100</f>
        <v>97.16</v>
      </c>
    </row>
    <row r="138" spans="1:15" x14ac:dyDescent="0.25">
      <c r="A138" s="101" t="str">
        <f>'Data Vlaue (Cr)'!C133</f>
        <v>MCX</v>
      </c>
      <c r="B138" s="50">
        <f>VLOOKUP($A138,'Data Vlaue (Cr)'!$C:$FB,8)</f>
        <v>2657.5</v>
      </c>
      <c r="C138" s="50">
        <f>VLOOKUP($A138,'Data Vlaue (Cr)'!$C:$FB,11)*100</f>
        <v>2.36</v>
      </c>
      <c r="D138" s="50">
        <f>VLOOKUP($A138,'Data Vlaue (Cr)'!$C:$FB,143)</f>
        <v>6830.88</v>
      </c>
      <c r="E138" s="50">
        <f>VLOOKUP($A138,'Data Vlaue (Cr)'!$C:$FB,144)</f>
        <v>7752.76</v>
      </c>
      <c r="F138" s="50">
        <f>VLOOKUP($A138,'Data Vlaue (Cr)'!$C:$FB,146)*100</f>
        <v>-11.89</v>
      </c>
      <c r="G138" s="49">
        <f>VLOOKUP($A138,'Data Vlaue (Cr)'!$C:$FB,43)</f>
        <v>1054</v>
      </c>
      <c r="H138" s="49">
        <f>VLOOKUP($A138,'Data Vlaue (Cr)'!$C:$FB,44)</f>
        <v>1320</v>
      </c>
      <c r="I138" s="49">
        <f>VLOOKUP($A138,'Data Vlaue (Cr)'!$C:$FB,46)*100</f>
        <v>-20.14</v>
      </c>
      <c r="J138" s="51">
        <f>VLOOKUP($A138,'Data Vlaue (Cr)'!$C:$FB,59)</f>
        <v>3564</v>
      </c>
      <c r="K138" s="51">
        <f>VLOOKUP($A138,'Data Vlaue (Cr)'!$C:$FB,60)</f>
        <v>4202</v>
      </c>
      <c r="L138" s="51">
        <f>VLOOKUP($A138,'Data Vlaue (Cr)'!$C:$FB,62)*100</f>
        <v>-15.190000000000001</v>
      </c>
      <c r="M138" s="51">
        <f>VLOOKUP($A138,'Data Vlaue (Cr)'!$C:$FB,63)</f>
        <v>2049</v>
      </c>
      <c r="N138" s="51">
        <f>VLOOKUP($A138,'Data Vlaue (Cr)'!$C:$FB,64)</f>
        <v>2126</v>
      </c>
      <c r="O138" s="51">
        <f>VLOOKUP($A138,'Data Vlaue (Cr)'!$C:$FB,66)*100</f>
        <v>-3.64</v>
      </c>
    </row>
    <row r="139" spans="1:15" x14ac:dyDescent="0.25">
      <c r="A139" s="101" t="str">
        <f>'Data Vlaue (Cr)'!C134</f>
        <v>MFSL</v>
      </c>
      <c r="B139" s="50">
        <f>VLOOKUP($A139,'Data Vlaue (Cr)'!$C:$FB,8)</f>
        <v>1607.4</v>
      </c>
      <c r="C139" s="50">
        <f>VLOOKUP($A139,'Data Vlaue (Cr)'!$C:$FB,11)*100</f>
        <v>1.3</v>
      </c>
      <c r="D139" s="50">
        <f>VLOOKUP($A139,'Data Vlaue (Cr)'!$C:$FB,143)</f>
        <v>311.48</v>
      </c>
      <c r="E139" s="50">
        <f>VLOOKUP($A139,'Data Vlaue (Cr)'!$C:$FB,144)</f>
        <v>670.71</v>
      </c>
      <c r="F139" s="50">
        <f>VLOOKUP($A139,'Data Vlaue (Cr)'!$C:$FB,146)*100</f>
        <v>-53.559999999999995</v>
      </c>
      <c r="G139" s="49">
        <f>VLOOKUP($A139,'Data Vlaue (Cr)'!$C:$FB,43)</f>
        <v>155</v>
      </c>
      <c r="H139" s="49">
        <f>VLOOKUP($A139,'Data Vlaue (Cr)'!$C:$FB,44)</f>
        <v>253</v>
      </c>
      <c r="I139" s="49">
        <f>VLOOKUP($A139,'Data Vlaue (Cr)'!$C:$FB,46)*100</f>
        <v>-38.97</v>
      </c>
      <c r="J139" s="51">
        <f>VLOOKUP($A139,'Data Vlaue (Cr)'!$C:$FB,59)</f>
        <v>100</v>
      </c>
      <c r="K139" s="51">
        <f>VLOOKUP($A139,'Data Vlaue (Cr)'!$C:$FB,60)</f>
        <v>280</v>
      </c>
      <c r="L139" s="51">
        <f>VLOOKUP($A139,'Data Vlaue (Cr)'!$C:$FB,62)*100</f>
        <v>-64.31</v>
      </c>
      <c r="M139" s="51">
        <f>VLOOKUP($A139,'Data Vlaue (Cr)'!$C:$FB,63)</f>
        <v>55</v>
      </c>
      <c r="N139" s="51">
        <f>VLOOKUP($A139,'Data Vlaue (Cr)'!$C:$FB,64)</f>
        <v>137</v>
      </c>
      <c r="O139" s="51">
        <f>VLOOKUP($A139,'Data Vlaue (Cr)'!$C:$FB,66)*100</f>
        <v>-60.019999999999996</v>
      </c>
    </row>
    <row r="140" spans="1:15" x14ac:dyDescent="0.25">
      <c r="A140" s="101" t="str">
        <f>'Data Vlaue (Cr)'!C135</f>
        <v>MIDCPNIFTY</v>
      </c>
      <c r="B140" s="50">
        <f>VLOOKUP($A140,'Data Vlaue (Cr)'!$C:$FB,8)</f>
        <v>13207.3</v>
      </c>
      <c r="C140" s="50">
        <f>VLOOKUP($A140,'Data Vlaue (Cr)'!$C:$FB,11)*100</f>
        <v>-0.1</v>
      </c>
      <c r="D140" s="50">
        <f>VLOOKUP($A140,'Data Vlaue (Cr)'!$C:$FB,143)</f>
        <v>29691.119999999999</v>
      </c>
      <c r="E140" s="50">
        <f>VLOOKUP($A140,'Data Vlaue (Cr)'!$C:$FB,144)</f>
        <v>28333.71</v>
      </c>
      <c r="F140" s="50">
        <f>VLOOKUP($A140,'Data Vlaue (Cr)'!$C:$FB,146)*100</f>
        <v>4.79</v>
      </c>
      <c r="G140" s="49">
        <f>VLOOKUP($A140,'Data Vlaue (Cr)'!$C:$FB,43)</f>
        <v>966</v>
      </c>
      <c r="H140" s="49">
        <f>VLOOKUP($A140,'Data Vlaue (Cr)'!$C:$FB,44)</f>
        <v>995</v>
      </c>
      <c r="I140" s="49">
        <f>VLOOKUP($A140,'Data Vlaue (Cr)'!$C:$FB,46)*100</f>
        <v>-2.98</v>
      </c>
      <c r="J140" s="51">
        <f>VLOOKUP($A140,'Data Vlaue (Cr)'!$C:$FB,59)</f>
        <v>14004</v>
      </c>
      <c r="K140" s="51">
        <f>VLOOKUP($A140,'Data Vlaue (Cr)'!$C:$FB,60)</f>
        <v>13032</v>
      </c>
      <c r="L140" s="51">
        <f>VLOOKUP($A140,'Data Vlaue (Cr)'!$C:$FB,62)*100</f>
        <v>7.46</v>
      </c>
      <c r="M140" s="51">
        <f>VLOOKUP($A140,'Data Vlaue (Cr)'!$C:$FB,63)</f>
        <v>14710</v>
      </c>
      <c r="N140" s="51">
        <f>VLOOKUP($A140,'Data Vlaue (Cr)'!$C:$FB,64)</f>
        <v>14772</v>
      </c>
      <c r="O140" s="51">
        <f>VLOOKUP($A140,'Data Vlaue (Cr)'!$C:$FB,66)*100</f>
        <v>-0.42</v>
      </c>
    </row>
    <row r="141" spans="1:15" x14ac:dyDescent="0.25">
      <c r="A141" s="101" t="str">
        <f>'Data Vlaue (Cr)'!C136</f>
        <v>MOTHERSON</v>
      </c>
      <c r="B141" s="50">
        <f>VLOOKUP($A141,'Data Vlaue (Cr)'!$C:$FB,8)</f>
        <v>116.9</v>
      </c>
      <c r="C141" s="50">
        <f>VLOOKUP($A141,'Data Vlaue (Cr)'!$C:$FB,11)*100</f>
        <v>-1.02</v>
      </c>
      <c r="D141" s="50">
        <f>VLOOKUP($A141,'Data Vlaue (Cr)'!$C:$FB,143)</f>
        <v>670.83</v>
      </c>
      <c r="E141" s="50">
        <f>VLOOKUP($A141,'Data Vlaue (Cr)'!$C:$FB,144)</f>
        <v>2113.46</v>
      </c>
      <c r="F141" s="50">
        <f>VLOOKUP($A141,'Data Vlaue (Cr)'!$C:$FB,146)*100</f>
        <v>-68.260000000000005</v>
      </c>
      <c r="G141" s="49">
        <f>VLOOKUP($A141,'Data Vlaue (Cr)'!$C:$FB,43)</f>
        <v>277</v>
      </c>
      <c r="H141" s="49">
        <f>VLOOKUP($A141,'Data Vlaue (Cr)'!$C:$FB,44)</f>
        <v>607</v>
      </c>
      <c r="I141" s="49">
        <f>VLOOKUP($A141,'Data Vlaue (Cr)'!$C:$FB,46)*100</f>
        <v>-54.339999999999996</v>
      </c>
      <c r="J141" s="51">
        <f>VLOOKUP($A141,'Data Vlaue (Cr)'!$C:$FB,59)</f>
        <v>232</v>
      </c>
      <c r="K141" s="51">
        <f>VLOOKUP($A141,'Data Vlaue (Cr)'!$C:$FB,60)</f>
        <v>940</v>
      </c>
      <c r="L141" s="51">
        <f>VLOOKUP($A141,'Data Vlaue (Cr)'!$C:$FB,62)*100</f>
        <v>-75.36</v>
      </c>
      <c r="M141" s="51">
        <f>VLOOKUP($A141,'Data Vlaue (Cr)'!$C:$FB,63)</f>
        <v>149</v>
      </c>
      <c r="N141" s="51">
        <f>VLOOKUP($A141,'Data Vlaue (Cr)'!$C:$FB,64)</f>
        <v>519</v>
      </c>
      <c r="O141" s="51">
        <f>VLOOKUP($A141,'Data Vlaue (Cr)'!$C:$FB,66)*100</f>
        <v>-71.33</v>
      </c>
    </row>
    <row r="142" spans="1:15" x14ac:dyDescent="0.25">
      <c r="A142" s="101" t="str">
        <f>'Data Vlaue (Cr)'!C137</f>
        <v>MOTILALOFS</v>
      </c>
      <c r="B142" s="50">
        <f>VLOOKUP($A142,'Data Vlaue (Cr)'!$C:$FB,8)</f>
        <v>761.15</v>
      </c>
      <c r="C142" s="50">
        <f>VLOOKUP($A142,'Data Vlaue (Cr)'!$C:$FB,11)*100</f>
        <v>0.5</v>
      </c>
      <c r="D142" s="50">
        <f>VLOOKUP($A142,'Data Vlaue (Cr)'!$C:$FB,143)</f>
        <v>400.19</v>
      </c>
      <c r="E142" s="50">
        <f>VLOOKUP($A142,'Data Vlaue (Cr)'!$C:$FB,144)</f>
        <v>281.33999999999997</v>
      </c>
      <c r="F142" s="50">
        <f>VLOOKUP($A142,'Data Vlaue (Cr)'!$C:$FB,146)*100</f>
        <v>42.24</v>
      </c>
      <c r="G142" s="49">
        <f>VLOOKUP($A142,'Data Vlaue (Cr)'!$C:$FB,43)</f>
        <v>53</v>
      </c>
      <c r="H142" s="49">
        <f>VLOOKUP($A142,'Data Vlaue (Cr)'!$C:$FB,44)</f>
        <v>54</v>
      </c>
      <c r="I142" s="49">
        <f>VLOOKUP($A142,'Data Vlaue (Cr)'!$C:$FB,46)*100</f>
        <v>-2.73</v>
      </c>
      <c r="J142" s="51">
        <f>VLOOKUP($A142,'Data Vlaue (Cr)'!$C:$FB,59)</f>
        <v>179</v>
      </c>
      <c r="K142" s="51">
        <f>VLOOKUP($A142,'Data Vlaue (Cr)'!$C:$FB,60)</f>
        <v>98</v>
      </c>
      <c r="L142" s="51">
        <f>VLOOKUP($A142,'Data Vlaue (Cr)'!$C:$FB,62)*100</f>
        <v>83.23</v>
      </c>
      <c r="M142" s="51">
        <f>VLOOKUP($A142,'Data Vlaue (Cr)'!$C:$FB,63)</f>
        <v>175</v>
      </c>
      <c r="N142" s="51">
        <f>VLOOKUP($A142,'Data Vlaue (Cr)'!$C:$FB,64)</f>
        <v>149</v>
      </c>
      <c r="O142" s="51">
        <f>VLOOKUP($A142,'Data Vlaue (Cr)'!$C:$FB,66)*100</f>
        <v>17.78</v>
      </c>
    </row>
    <row r="143" spans="1:15" x14ac:dyDescent="0.25">
      <c r="A143" s="101" t="str">
        <f>'Data Vlaue (Cr)'!C138</f>
        <v>MPHASIS</v>
      </c>
      <c r="B143" s="50">
        <f>VLOOKUP($A143,'Data Vlaue (Cr)'!$C:$FB,8)</f>
        <v>2385.3000000000002</v>
      </c>
      <c r="C143" s="50">
        <f>VLOOKUP($A143,'Data Vlaue (Cr)'!$C:$FB,11)*100</f>
        <v>1.47</v>
      </c>
      <c r="D143" s="50">
        <f>VLOOKUP($A143,'Data Vlaue (Cr)'!$C:$FB,143)</f>
        <v>1013.17</v>
      </c>
      <c r="E143" s="50">
        <f>VLOOKUP($A143,'Data Vlaue (Cr)'!$C:$FB,144)</f>
        <v>1106.17</v>
      </c>
      <c r="F143" s="50">
        <f>VLOOKUP($A143,'Data Vlaue (Cr)'!$C:$FB,146)*100</f>
        <v>-8.41</v>
      </c>
      <c r="G143" s="49">
        <f>VLOOKUP($A143,'Data Vlaue (Cr)'!$C:$FB,43)</f>
        <v>284</v>
      </c>
      <c r="H143" s="49">
        <f>VLOOKUP($A143,'Data Vlaue (Cr)'!$C:$FB,44)</f>
        <v>266</v>
      </c>
      <c r="I143" s="49">
        <f>VLOOKUP($A143,'Data Vlaue (Cr)'!$C:$FB,46)*100</f>
        <v>6.7100000000000009</v>
      </c>
      <c r="J143" s="51">
        <f>VLOOKUP($A143,'Data Vlaue (Cr)'!$C:$FB,59)</f>
        <v>420</v>
      </c>
      <c r="K143" s="51">
        <f>VLOOKUP($A143,'Data Vlaue (Cr)'!$C:$FB,60)</f>
        <v>547</v>
      </c>
      <c r="L143" s="51">
        <f>VLOOKUP($A143,'Data Vlaue (Cr)'!$C:$FB,62)*100</f>
        <v>-23.27</v>
      </c>
      <c r="M143" s="51">
        <f>VLOOKUP($A143,'Data Vlaue (Cr)'!$C:$FB,63)</f>
        <v>303</v>
      </c>
      <c r="N143" s="51">
        <f>VLOOKUP($A143,'Data Vlaue (Cr)'!$C:$FB,64)</f>
        <v>297</v>
      </c>
      <c r="O143" s="51">
        <f>VLOOKUP($A143,'Data Vlaue (Cr)'!$C:$FB,66)*100</f>
        <v>2.1800000000000002</v>
      </c>
    </row>
    <row r="144" spans="1:15" x14ac:dyDescent="0.25">
      <c r="A144" s="101" t="str">
        <f>'Data Vlaue (Cr)'!C139</f>
        <v>MUTHOOTFIN</v>
      </c>
      <c r="B144" s="50">
        <f>VLOOKUP($A144,'Data Vlaue (Cr)'!$C:$FB,8)</f>
        <v>3475.2</v>
      </c>
      <c r="C144" s="50">
        <f>VLOOKUP($A144,'Data Vlaue (Cr)'!$C:$FB,11)*100</f>
        <v>-0.8</v>
      </c>
      <c r="D144" s="50">
        <f>VLOOKUP($A144,'Data Vlaue (Cr)'!$C:$FB,143)</f>
        <v>1377.82</v>
      </c>
      <c r="E144" s="50">
        <f>VLOOKUP($A144,'Data Vlaue (Cr)'!$C:$FB,144)</f>
        <v>3265.76</v>
      </c>
      <c r="F144" s="50">
        <f>VLOOKUP($A144,'Data Vlaue (Cr)'!$C:$FB,146)*100</f>
        <v>-57.809999999999995</v>
      </c>
      <c r="G144" s="49">
        <f>VLOOKUP($A144,'Data Vlaue (Cr)'!$C:$FB,43)</f>
        <v>261</v>
      </c>
      <c r="H144" s="49">
        <f>VLOOKUP($A144,'Data Vlaue (Cr)'!$C:$FB,44)</f>
        <v>567</v>
      </c>
      <c r="I144" s="49">
        <f>VLOOKUP($A144,'Data Vlaue (Cr)'!$C:$FB,46)*100</f>
        <v>-53.86</v>
      </c>
      <c r="J144" s="51">
        <f>VLOOKUP($A144,'Data Vlaue (Cr)'!$C:$FB,59)</f>
        <v>759</v>
      </c>
      <c r="K144" s="51">
        <f>VLOOKUP($A144,'Data Vlaue (Cr)'!$C:$FB,60)</f>
        <v>1956</v>
      </c>
      <c r="L144" s="51">
        <f>VLOOKUP($A144,'Data Vlaue (Cr)'!$C:$FB,62)*100</f>
        <v>-61.19</v>
      </c>
      <c r="M144" s="51">
        <f>VLOOKUP($A144,'Data Vlaue (Cr)'!$C:$FB,63)</f>
        <v>303</v>
      </c>
      <c r="N144" s="51">
        <f>VLOOKUP($A144,'Data Vlaue (Cr)'!$C:$FB,64)</f>
        <v>645</v>
      </c>
      <c r="O144" s="51">
        <f>VLOOKUP($A144,'Data Vlaue (Cr)'!$C:$FB,66)*100</f>
        <v>-53.11</v>
      </c>
    </row>
    <row r="145" spans="1:15" x14ac:dyDescent="0.25">
      <c r="A145" s="101" t="str">
        <f>'Data Vlaue (Cr)'!C140</f>
        <v>NAM-INDIA</v>
      </c>
      <c r="B145" s="50">
        <f>VLOOKUP($A145,'Data Vlaue (Cr)'!$C:$FB,8)</f>
        <v>908.65</v>
      </c>
      <c r="C145" s="50">
        <f>VLOOKUP($A145,'Data Vlaue (Cr)'!$C:$FB,11)*100</f>
        <v>0.6</v>
      </c>
      <c r="D145" s="50">
        <f>VLOOKUP($A145,'Data Vlaue (Cr)'!$C:$FB,143)</f>
        <v>284.32</v>
      </c>
      <c r="E145" s="50">
        <f>VLOOKUP($A145,'Data Vlaue (Cr)'!$C:$FB,144)</f>
        <v>479.19</v>
      </c>
      <c r="F145" s="50">
        <f>VLOOKUP($A145,'Data Vlaue (Cr)'!$C:$FB,146)*100</f>
        <v>-40.67</v>
      </c>
      <c r="G145" s="49">
        <f>VLOOKUP($A145,'Data Vlaue (Cr)'!$C:$FB,43)</f>
        <v>98</v>
      </c>
      <c r="H145" s="49">
        <f>VLOOKUP($A145,'Data Vlaue (Cr)'!$C:$FB,44)</f>
        <v>127</v>
      </c>
      <c r="I145" s="49">
        <f>VLOOKUP($A145,'Data Vlaue (Cr)'!$C:$FB,46)*100</f>
        <v>-22.79</v>
      </c>
      <c r="J145" s="51">
        <f>VLOOKUP($A145,'Data Vlaue (Cr)'!$C:$FB,59)</f>
        <v>73</v>
      </c>
      <c r="K145" s="51">
        <f>VLOOKUP($A145,'Data Vlaue (Cr)'!$C:$FB,60)</f>
        <v>261</v>
      </c>
      <c r="L145" s="51">
        <f>VLOOKUP($A145,'Data Vlaue (Cr)'!$C:$FB,62)*100</f>
        <v>-72</v>
      </c>
      <c r="M145" s="51">
        <f>VLOOKUP($A145,'Data Vlaue (Cr)'!$C:$FB,63)</f>
        <v>126</v>
      </c>
      <c r="N145" s="51">
        <f>VLOOKUP($A145,'Data Vlaue (Cr)'!$C:$FB,64)</f>
        <v>84</v>
      </c>
      <c r="O145" s="51">
        <f>VLOOKUP($A145,'Data Vlaue (Cr)'!$C:$FB,66)*100</f>
        <v>50.88</v>
      </c>
    </row>
    <row r="146" spans="1:15" x14ac:dyDescent="0.25">
      <c r="A146" s="101" t="str">
        <f>'Data Vlaue (Cr)'!C141</f>
        <v>NATIONALUM</v>
      </c>
      <c r="B146" s="50">
        <f>VLOOKUP($A146,'Data Vlaue (Cr)'!$C:$FB,8)</f>
        <v>412.35</v>
      </c>
      <c r="C146" s="50">
        <f>VLOOKUP($A146,'Data Vlaue (Cr)'!$C:$FB,11)*100</f>
        <v>3.05</v>
      </c>
      <c r="D146" s="50">
        <f>VLOOKUP($A146,'Data Vlaue (Cr)'!$C:$FB,143)</f>
        <v>5874.47</v>
      </c>
      <c r="E146" s="50">
        <f>VLOOKUP($A146,'Data Vlaue (Cr)'!$C:$FB,144)</f>
        <v>4174.87</v>
      </c>
      <c r="F146" s="50">
        <f>VLOOKUP($A146,'Data Vlaue (Cr)'!$C:$FB,146)*100</f>
        <v>40.71</v>
      </c>
      <c r="G146" s="49">
        <f>VLOOKUP($A146,'Data Vlaue (Cr)'!$C:$FB,43)</f>
        <v>910</v>
      </c>
      <c r="H146" s="49">
        <f>VLOOKUP($A146,'Data Vlaue (Cr)'!$C:$FB,44)</f>
        <v>1063</v>
      </c>
      <c r="I146" s="49">
        <f>VLOOKUP($A146,'Data Vlaue (Cr)'!$C:$FB,46)*100</f>
        <v>-14.34</v>
      </c>
      <c r="J146" s="51">
        <f>VLOOKUP($A146,'Data Vlaue (Cr)'!$C:$FB,59)</f>
        <v>3595</v>
      </c>
      <c r="K146" s="51">
        <f>VLOOKUP($A146,'Data Vlaue (Cr)'!$C:$FB,60)</f>
        <v>1945</v>
      </c>
      <c r="L146" s="51">
        <f>VLOOKUP($A146,'Data Vlaue (Cr)'!$C:$FB,62)*100</f>
        <v>84.850000000000009</v>
      </c>
      <c r="M146" s="51">
        <f>VLOOKUP($A146,'Data Vlaue (Cr)'!$C:$FB,63)</f>
        <v>1116</v>
      </c>
      <c r="N146" s="51">
        <f>VLOOKUP($A146,'Data Vlaue (Cr)'!$C:$FB,64)</f>
        <v>1137</v>
      </c>
      <c r="O146" s="51">
        <f>VLOOKUP($A146,'Data Vlaue (Cr)'!$C:$FB,66)*100</f>
        <v>-1.7999999999999998</v>
      </c>
    </row>
    <row r="147" spans="1:15" x14ac:dyDescent="0.25">
      <c r="A147" s="101" t="str">
        <f>'Data Vlaue (Cr)'!C142</f>
        <v>NAUKRI</v>
      </c>
      <c r="B147" s="50">
        <f>VLOOKUP($A147,'Data Vlaue (Cr)'!$C:$FB,8)</f>
        <v>1002.4</v>
      </c>
      <c r="C147" s="50">
        <f>VLOOKUP($A147,'Data Vlaue (Cr)'!$C:$FB,11)*100</f>
        <v>-2.93</v>
      </c>
      <c r="D147" s="50">
        <f>VLOOKUP($A147,'Data Vlaue (Cr)'!$C:$FB,143)</f>
        <v>1326.48</v>
      </c>
      <c r="E147" s="50">
        <f>VLOOKUP($A147,'Data Vlaue (Cr)'!$C:$FB,144)</f>
        <v>389.07</v>
      </c>
      <c r="F147" s="50">
        <f>VLOOKUP($A147,'Data Vlaue (Cr)'!$C:$FB,146)*100</f>
        <v>240.94000000000003</v>
      </c>
      <c r="G147" s="49">
        <f>VLOOKUP($A147,'Data Vlaue (Cr)'!$C:$FB,43)</f>
        <v>309</v>
      </c>
      <c r="H147" s="49">
        <f>VLOOKUP($A147,'Data Vlaue (Cr)'!$C:$FB,44)</f>
        <v>104</v>
      </c>
      <c r="I147" s="49">
        <f>VLOOKUP($A147,'Data Vlaue (Cr)'!$C:$FB,46)*100</f>
        <v>197.32</v>
      </c>
      <c r="J147" s="51">
        <f>VLOOKUP($A147,'Data Vlaue (Cr)'!$C:$FB,59)</f>
        <v>552</v>
      </c>
      <c r="K147" s="51">
        <f>VLOOKUP($A147,'Data Vlaue (Cr)'!$C:$FB,60)</f>
        <v>189</v>
      </c>
      <c r="L147" s="51">
        <f>VLOOKUP($A147,'Data Vlaue (Cr)'!$C:$FB,62)*100</f>
        <v>191.88</v>
      </c>
      <c r="M147" s="51">
        <f>VLOOKUP($A147,'Data Vlaue (Cr)'!$C:$FB,63)</f>
        <v>434</v>
      </c>
      <c r="N147" s="51">
        <f>VLOOKUP($A147,'Data Vlaue (Cr)'!$C:$FB,64)</f>
        <v>77</v>
      </c>
      <c r="O147" s="51">
        <f>VLOOKUP($A147,'Data Vlaue (Cr)'!$C:$FB,66)*100</f>
        <v>465.09999999999997</v>
      </c>
    </row>
    <row r="148" spans="1:15" x14ac:dyDescent="0.25">
      <c r="A148" s="101" t="str">
        <f>'Data Vlaue (Cr)'!C143</f>
        <v>NBCC</v>
      </c>
      <c r="B148" s="50">
        <f>VLOOKUP($A148,'Data Vlaue (Cr)'!$C:$FB,8)</f>
        <v>87.83</v>
      </c>
      <c r="C148" s="50">
        <f>VLOOKUP($A148,'Data Vlaue (Cr)'!$C:$FB,11)*100</f>
        <v>-1.01</v>
      </c>
      <c r="D148" s="50">
        <f>VLOOKUP($A148,'Data Vlaue (Cr)'!$C:$FB,143)</f>
        <v>236.75</v>
      </c>
      <c r="E148" s="50">
        <f>VLOOKUP($A148,'Data Vlaue (Cr)'!$C:$FB,144)</f>
        <v>406.92</v>
      </c>
      <c r="F148" s="50">
        <f>VLOOKUP($A148,'Data Vlaue (Cr)'!$C:$FB,146)*100</f>
        <v>-41.82</v>
      </c>
      <c r="G148" s="49">
        <f>VLOOKUP($A148,'Data Vlaue (Cr)'!$C:$FB,43)</f>
        <v>84</v>
      </c>
      <c r="H148" s="49">
        <f>VLOOKUP($A148,'Data Vlaue (Cr)'!$C:$FB,44)</f>
        <v>124</v>
      </c>
      <c r="I148" s="49">
        <f>VLOOKUP($A148,'Data Vlaue (Cr)'!$C:$FB,46)*100</f>
        <v>-32</v>
      </c>
      <c r="J148" s="51">
        <f>VLOOKUP($A148,'Data Vlaue (Cr)'!$C:$FB,59)</f>
        <v>100</v>
      </c>
      <c r="K148" s="51">
        <f>VLOOKUP($A148,'Data Vlaue (Cr)'!$C:$FB,60)</f>
        <v>187</v>
      </c>
      <c r="L148" s="51">
        <f>VLOOKUP($A148,'Data Vlaue (Cr)'!$C:$FB,62)*100</f>
        <v>-46.39</v>
      </c>
      <c r="M148" s="51">
        <f>VLOOKUP($A148,'Data Vlaue (Cr)'!$C:$FB,63)</f>
        <v>46</v>
      </c>
      <c r="N148" s="51">
        <f>VLOOKUP($A148,'Data Vlaue (Cr)'!$C:$FB,64)</f>
        <v>84</v>
      </c>
      <c r="O148" s="51">
        <f>VLOOKUP($A148,'Data Vlaue (Cr)'!$C:$FB,66)*100</f>
        <v>-45</v>
      </c>
    </row>
    <row r="149" spans="1:15" x14ac:dyDescent="0.25">
      <c r="A149" s="101" t="str">
        <f>'Data Vlaue (Cr)'!C144</f>
        <v>NESTLEIND</v>
      </c>
      <c r="B149" s="50">
        <f>VLOOKUP($A149,'Data Vlaue (Cr)'!$C:$FB,8)</f>
        <v>1228.7</v>
      </c>
      <c r="C149" s="50">
        <f>VLOOKUP($A149,'Data Vlaue (Cr)'!$C:$FB,11)*100</f>
        <v>1.24</v>
      </c>
      <c r="D149" s="50">
        <f>VLOOKUP($A149,'Data Vlaue (Cr)'!$C:$FB,143)</f>
        <v>602.29</v>
      </c>
      <c r="E149" s="50">
        <f>VLOOKUP($A149,'Data Vlaue (Cr)'!$C:$FB,144)</f>
        <v>974.4</v>
      </c>
      <c r="F149" s="50">
        <f>VLOOKUP($A149,'Data Vlaue (Cr)'!$C:$FB,146)*100</f>
        <v>-38.190000000000005</v>
      </c>
      <c r="G149" s="49">
        <f>VLOOKUP($A149,'Data Vlaue (Cr)'!$C:$FB,43)</f>
        <v>190</v>
      </c>
      <c r="H149" s="49">
        <f>VLOOKUP($A149,'Data Vlaue (Cr)'!$C:$FB,44)</f>
        <v>246</v>
      </c>
      <c r="I149" s="49">
        <f>VLOOKUP($A149,'Data Vlaue (Cr)'!$C:$FB,46)*100</f>
        <v>-22.74</v>
      </c>
      <c r="J149" s="51">
        <f>VLOOKUP($A149,'Data Vlaue (Cr)'!$C:$FB,59)</f>
        <v>260</v>
      </c>
      <c r="K149" s="51">
        <f>VLOOKUP($A149,'Data Vlaue (Cr)'!$C:$FB,60)</f>
        <v>462</v>
      </c>
      <c r="L149" s="51">
        <f>VLOOKUP($A149,'Data Vlaue (Cr)'!$C:$FB,62)*100</f>
        <v>-43.669999999999995</v>
      </c>
      <c r="M149" s="51">
        <f>VLOOKUP($A149,'Data Vlaue (Cr)'!$C:$FB,63)</f>
        <v>145</v>
      </c>
      <c r="N149" s="51">
        <f>VLOOKUP($A149,'Data Vlaue (Cr)'!$C:$FB,64)</f>
        <v>257</v>
      </c>
      <c r="O149" s="51">
        <f>VLOOKUP($A149,'Data Vlaue (Cr)'!$C:$FB,66)*100</f>
        <v>-43.56</v>
      </c>
    </row>
    <row r="150" spans="1:15" x14ac:dyDescent="0.25">
      <c r="A150" s="101" t="str">
        <f>'Data Vlaue (Cr)'!C145</f>
        <v>NHPC</v>
      </c>
      <c r="B150" s="50">
        <f>VLOOKUP($A150,'Data Vlaue (Cr)'!$C:$FB,8)</f>
        <v>77.11</v>
      </c>
      <c r="C150" s="50">
        <f>VLOOKUP($A150,'Data Vlaue (Cr)'!$C:$FB,11)*100</f>
        <v>0.53</v>
      </c>
      <c r="D150" s="50">
        <f>VLOOKUP($A150,'Data Vlaue (Cr)'!$C:$FB,143)</f>
        <v>852.03</v>
      </c>
      <c r="E150" s="50">
        <f>VLOOKUP($A150,'Data Vlaue (Cr)'!$C:$FB,144)</f>
        <v>410.26</v>
      </c>
      <c r="F150" s="50">
        <f>VLOOKUP($A150,'Data Vlaue (Cr)'!$C:$FB,146)*100</f>
        <v>107.67999999999999</v>
      </c>
      <c r="G150" s="49">
        <f>VLOOKUP($A150,'Data Vlaue (Cr)'!$C:$FB,43)</f>
        <v>171</v>
      </c>
      <c r="H150" s="49">
        <f>VLOOKUP($A150,'Data Vlaue (Cr)'!$C:$FB,44)</f>
        <v>95</v>
      </c>
      <c r="I150" s="49">
        <f>VLOOKUP($A150,'Data Vlaue (Cr)'!$C:$FB,46)*100</f>
        <v>80.289999999999992</v>
      </c>
      <c r="J150" s="51">
        <f>VLOOKUP($A150,'Data Vlaue (Cr)'!$C:$FB,59)</f>
        <v>511</v>
      </c>
      <c r="K150" s="51">
        <f>VLOOKUP($A150,'Data Vlaue (Cr)'!$C:$FB,60)</f>
        <v>212</v>
      </c>
      <c r="L150" s="51">
        <f>VLOOKUP($A150,'Data Vlaue (Cr)'!$C:$FB,62)*100</f>
        <v>140.94999999999999</v>
      </c>
      <c r="M150" s="51">
        <f>VLOOKUP($A150,'Data Vlaue (Cr)'!$C:$FB,63)</f>
        <v>137</v>
      </c>
      <c r="N150" s="51">
        <f>VLOOKUP($A150,'Data Vlaue (Cr)'!$C:$FB,64)</f>
        <v>95</v>
      </c>
      <c r="O150" s="51">
        <f>VLOOKUP($A150,'Data Vlaue (Cr)'!$C:$FB,66)*100</f>
        <v>44.72</v>
      </c>
    </row>
    <row r="151" spans="1:15" x14ac:dyDescent="0.25">
      <c r="A151" s="101" t="str">
        <f>'Data Vlaue (Cr)'!C146</f>
        <v>NIFTY</v>
      </c>
      <c r="B151" s="50">
        <f>VLOOKUP($A151,'Data Vlaue (Cr)'!$C:$FB,8)</f>
        <v>23775.1</v>
      </c>
      <c r="C151" s="50">
        <f>VLOOKUP($A151,'Data Vlaue (Cr)'!$C:$FB,11)*100</f>
        <v>-0.92999999999999994</v>
      </c>
      <c r="D151" s="50">
        <f>VLOOKUP($A151,'Data Vlaue (Cr)'!$C:$FB,143)</f>
        <v>7557291.8300000001</v>
      </c>
      <c r="E151" s="50">
        <f>VLOOKUP($A151,'Data Vlaue (Cr)'!$C:$FB,144)</f>
        <v>7413821.79</v>
      </c>
      <c r="F151" s="50">
        <f>VLOOKUP($A151,'Data Vlaue (Cr)'!$C:$FB,146)*100</f>
        <v>1.94</v>
      </c>
      <c r="G151" s="49">
        <f>VLOOKUP($A151,'Data Vlaue (Cr)'!$C:$FB,43)</f>
        <v>15645</v>
      </c>
      <c r="H151" s="49">
        <f>VLOOKUP($A151,'Data Vlaue (Cr)'!$C:$FB,44)</f>
        <v>21933</v>
      </c>
      <c r="I151" s="49">
        <f>VLOOKUP($A151,'Data Vlaue (Cr)'!$C:$FB,46)*100</f>
        <v>-28.67</v>
      </c>
      <c r="J151" s="51">
        <f>VLOOKUP($A151,'Data Vlaue (Cr)'!$C:$FB,59)</f>
        <v>3694291</v>
      </c>
      <c r="K151" s="51">
        <f>VLOOKUP($A151,'Data Vlaue (Cr)'!$C:$FB,60)</f>
        <v>3885528</v>
      </c>
      <c r="L151" s="51">
        <f>VLOOKUP($A151,'Data Vlaue (Cr)'!$C:$FB,62)*100</f>
        <v>-4.92</v>
      </c>
      <c r="M151" s="51">
        <f>VLOOKUP($A151,'Data Vlaue (Cr)'!$C:$FB,63)</f>
        <v>3831446</v>
      </c>
      <c r="N151" s="51">
        <f>VLOOKUP($A151,'Data Vlaue (Cr)'!$C:$FB,64)</f>
        <v>3513368</v>
      </c>
      <c r="O151" s="51">
        <f>VLOOKUP($A151,'Data Vlaue (Cr)'!$C:$FB,66)*100</f>
        <v>9.0499999999999989</v>
      </c>
    </row>
    <row r="152" spans="1:15" x14ac:dyDescent="0.25">
      <c r="A152" s="101" t="str">
        <f>'Data Vlaue (Cr)'!C147</f>
        <v>NIFTYNXT50</v>
      </c>
      <c r="B152" s="50">
        <f>VLOOKUP($A152,'Data Vlaue (Cr)'!$C:$FB,8)</f>
        <v>66268.649999999994</v>
      </c>
      <c r="C152" s="50">
        <f>VLOOKUP($A152,'Data Vlaue (Cr)'!$C:$FB,11)*100</f>
        <v>0.19</v>
      </c>
      <c r="D152" s="50">
        <f>VLOOKUP($A152,'Data Vlaue (Cr)'!$C:$FB,143)</f>
        <v>82.73</v>
      </c>
      <c r="E152" s="50">
        <f>VLOOKUP($A152,'Data Vlaue (Cr)'!$C:$FB,144)</f>
        <v>79.16</v>
      </c>
      <c r="F152" s="50">
        <f>VLOOKUP($A152,'Data Vlaue (Cr)'!$C:$FB,146)*100</f>
        <v>4.5</v>
      </c>
      <c r="G152" s="49">
        <f>VLOOKUP($A152,'Data Vlaue (Cr)'!$C:$FB,43)</f>
        <v>62</v>
      </c>
      <c r="H152" s="49">
        <f>VLOOKUP($A152,'Data Vlaue (Cr)'!$C:$FB,44)</f>
        <v>60</v>
      </c>
      <c r="I152" s="49">
        <f>VLOOKUP($A152,'Data Vlaue (Cr)'!$C:$FB,46)*100</f>
        <v>4.74</v>
      </c>
      <c r="J152" s="51">
        <f>VLOOKUP($A152,'Data Vlaue (Cr)'!$C:$FB,59)</f>
        <v>11</v>
      </c>
      <c r="K152" s="51">
        <f>VLOOKUP($A152,'Data Vlaue (Cr)'!$C:$FB,60)</f>
        <v>11</v>
      </c>
      <c r="L152" s="51">
        <f>VLOOKUP($A152,'Data Vlaue (Cr)'!$C:$FB,62)*100</f>
        <v>0</v>
      </c>
      <c r="M152" s="51">
        <f>VLOOKUP($A152,'Data Vlaue (Cr)'!$C:$FB,63)</f>
        <v>9</v>
      </c>
      <c r="N152" s="51">
        <f>VLOOKUP($A152,'Data Vlaue (Cr)'!$C:$FB,64)</f>
        <v>9</v>
      </c>
      <c r="O152" s="51">
        <f>VLOOKUP($A152,'Data Vlaue (Cr)'!$C:$FB,66)*100</f>
        <v>-1.8900000000000001</v>
      </c>
    </row>
    <row r="153" spans="1:15" x14ac:dyDescent="0.25">
      <c r="A153" s="101" t="str">
        <f>'Data Vlaue (Cr)'!C148</f>
        <v>NMDC</v>
      </c>
      <c r="B153" s="50">
        <f>VLOOKUP($A153,'Data Vlaue (Cr)'!$C:$FB,8)</f>
        <v>84.44</v>
      </c>
      <c r="C153" s="50">
        <f>VLOOKUP($A153,'Data Vlaue (Cr)'!$C:$FB,11)*100</f>
        <v>1.8499999999999999</v>
      </c>
      <c r="D153" s="50">
        <f>VLOOKUP($A153,'Data Vlaue (Cr)'!$C:$FB,143)</f>
        <v>1459.06</v>
      </c>
      <c r="E153" s="50">
        <f>VLOOKUP($A153,'Data Vlaue (Cr)'!$C:$FB,144)</f>
        <v>1048.8699999999999</v>
      </c>
      <c r="F153" s="50">
        <f>VLOOKUP($A153,'Data Vlaue (Cr)'!$C:$FB,146)*100</f>
        <v>39.11</v>
      </c>
      <c r="G153" s="49">
        <f>VLOOKUP($A153,'Data Vlaue (Cr)'!$C:$FB,43)</f>
        <v>263</v>
      </c>
      <c r="H153" s="49">
        <f>VLOOKUP($A153,'Data Vlaue (Cr)'!$C:$FB,44)</f>
        <v>269</v>
      </c>
      <c r="I153" s="49">
        <f>VLOOKUP($A153,'Data Vlaue (Cr)'!$C:$FB,46)*100</f>
        <v>-2.2800000000000002</v>
      </c>
      <c r="J153" s="51">
        <f>VLOOKUP($A153,'Data Vlaue (Cr)'!$C:$FB,59)</f>
        <v>855</v>
      </c>
      <c r="K153" s="51">
        <f>VLOOKUP($A153,'Data Vlaue (Cr)'!$C:$FB,60)</f>
        <v>529</v>
      </c>
      <c r="L153" s="51">
        <f>VLOOKUP($A153,'Data Vlaue (Cr)'!$C:$FB,62)*100</f>
        <v>61.550000000000004</v>
      </c>
      <c r="M153" s="51">
        <f>VLOOKUP($A153,'Data Vlaue (Cr)'!$C:$FB,63)</f>
        <v>312</v>
      </c>
      <c r="N153" s="51">
        <f>VLOOKUP($A153,'Data Vlaue (Cr)'!$C:$FB,64)</f>
        <v>254</v>
      </c>
      <c r="O153" s="51">
        <f>VLOOKUP($A153,'Data Vlaue (Cr)'!$C:$FB,66)*100</f>
        <v>22.81</v>
      </c>
    </row>
    <row r="154" spans="1:15" x14ac:dyDescent="0.25">
      <c r="A154" s="101" t="str">
        <f>'Data Vlaue (Cr)'!C149</f>
        <v>NTPC</v>
      </c>
      <c r="B154" s="50">
        <f>VLOOKUP($A154,'Data Vlaue (Cr)'!$C:$FB,8)</f>
        <v>378.65</v>
      </c>
      <c r="C154" s="50">
        <f>VLOOKUP($A154,'Data Vlaue (Cr)'!$C:$FB,11)*100</f>
        <v>1.2</v>
      </c>
      <c r="D154" s="50">
        <f>VLOOKUP($A154,'Data Vlaue (Cr)'!$C:$FB,143)</f>
        <v>5753.69</v>
      </c>
      <c r="E154" s="50">
        <f>VLOOKUP($A154,'Data Vlaue (Cr)'!$C:$FB,144)</f>
        <v>3166.02</v>
      </c>
      <c r="F154" s="50">
        <f>VLOOKUP($A154,'Data Vlaue (Cr)'!$C:$FB,146)*100</f>
        <v>81.73</v>
      </c>
      <c r="G154" s="49">
        <f>VLOOKUP($A154,'Data Vlaue (Cr)'!$C:$FB,43)</f>
        <v>455</v>
      </c>
      <c r="H154" s="49">
        <f>VLOOKUP($A154,'Data Vlaue (Cr)'!$C:$FB,44)</f>
        <v>558</v>
      </c>
      <c r="I154" s="49">
        <f>VLOOKUP($A154,'Data Vlaue (Cr)'!$C:$FB,46)*100</f>
        <v>-18.399999999999999</v>
      </c>
      <c r="J154" s="51">
        <f>VLOOKUP($A154,'Data Vlaue (Cr)'!$C:$FB,59)</f>
        <v>3926</v>
      </c>
      <c r="K154" s="51">
        <f>VLOOKUP($A154,'Data Vlaue (Cr)'!$C:$FB,60)</f>
        <v>1910</v>
      </c>
      <c r="L154" s="51">
        <f>VLOOKUP($A154,'Data Vlaue (Cr)'!$C:$FB,62)*100</f>
        <v>105.52999999999999</v>
      </c>
      <c r="M154" s="51">
        <f>VLOOKUP($A154,'Data Vlaue (Cr)'!$C:$FB,63)</f>
        <v>1233</v>
      </c>
      <c r="N154" s="51">
        <f>VLOOKUP($A154,'Data Vlaue (Cr)'!$C:$FB,64)</f>
        <v>679</v>
      </c>
      <c r="O154" s="51">
        <f>VLOOKUP($A154,'Data Vlaue (Cr)'!$C:$FB,66)*100</f>
        <v>81.47</v>
      </c>
    </row>
    <row r="155" spans="1:15" x14ac:dyDescent="0.25">
      <c r="A155" s="101" t="str">
        <f>'Data Vlaue (Cr)'!C150</f>
        <v>NUVAMA</v>
      </c>
      <c r="B155" s="50">
        <f>VLOOKUP($A155,'Data Vlaue (Cr)'!$C:$FB,8)</f>
        <v>1294.8</v>
      </c>
      <c r="C155" s="50">
        <f>VLOOKUP($A155,'Data Vlaue (Cr)'!$C:$FB,11)*100</f>
        <v>1.08</v>
      </c>
      <c r="D155" s="50">
        <f>VLOOKUP($A155,'Data Vlaue (Cr)'!$C:$FB,143)</f>
        <v>259.17</v>
      </c>
      <c r="E155" s="50">
        <f>VLOOKUP($A155,'Data Vlaue (Cr)'!$C:$FB,144)</f>
        <v>412.14</v>
      </c>
      <c r="F155" s="50">
        <f>VLOOKUP($A155,'Data Vlaue (Cr)'!$C:$FB,146)*100</f>
        <v>-37.119999999999997</v>
      </c>
      <c r="G155" s="49">
        <f>VLOOKUP($A155,'Data Vlaue (Cr)'!$C:$FB,43)</f>
        <v>58</v>
      </c>
      <c r="H155" s="49">
        <f>VLOOKUP($A155,'Data Vlaue (Cr)'!$C:$FB,44)</f>
        <v>114</v>
      </c>
      <c r="I155" s="49">
        <f>VLOOKUP($A155,'Data Vlaue (Cr)'!$C:$FB,46)*100</f>
        <v>-49.230000000000004</v>
      </c>
      <c r="J155" s="51">
        <f>VLOOKUP($A155,'Data Vlaue (Cr)'!$C:$FB,59)</f>
        <v>122</v>
      </c>
      <c r="K155" s="51">
        <f>VLOOKUP($A155,'Data Vlaue (Cr)'!$C:$FB,60)</f>
        <v>229</v>
      </c>
      <c r="L155" s="51">
        <f>VLOOKUP($A155,'Data Vlaue (Cr)'!$C:$FB,62)*100</f>
        <v>-46.43</v>
      </c>
      <c r="M155" s="51">
        <f>VLOOKUP($A155,'Data Vlaue (Cr)'!$C:$FB,63)</f>
        <v>80</v>
      </c>
      <c r="N155" s="51">
        <f>VLOOKUP($A155,'Data Vlaue (Cr)'!$C:$FB,64)</f>
        <v>70</v>
      </c>
      <c r="O155" s="51">
        <f>VLOOKUP($A155,'Data Vlaue (Cr)'!$C:$FB,66)*100</f>
        <v>14.87</v>
      </c>
    </row>
    <row r="156" spans="1:15" x14ac:dyDescent="0.25">
      <c r="A156" s="101" t="str">
        <f>'Data Vlaue (Cr)'!C151</f>
        <v>NYKAA</v>
      </c>
      <c r="B156" s="50">
        <f>VLOOKUP($A156,'Data Vlaue (Cr)'!$C:$FB,8)</f>
        <v>254.93</v>
      </c>
      <c r="C156" s="50">
        <f>VLOOKUP($A156,'Data Vlaue (Cr)'!$C:$FB,11)*100</f>
        <v>0.33999999999999997</v>
      </c>
      <c r="D156" s="50">
        <f>VLOOKUP($A156,'Data Vlaue (Cr)'!$C:$FB,143)</f>
        <v>513.66</v>
      </c>
      <c r="E156" s="50">
        <f>VLOOKUP($A156,'Data Vlaue (Cr)'!$C:$FB,144)</f>
        <v>652.49</v>
      </c>
      <c r="F156" s="50">
        <f>VLOOKUP($A156,'Data Vlaue (Cr)'!$C:$FB,146)*100</f>
        <v>-21.279999999999998</v>
      </c>
      <c r="G156" s="49">
        <f>VLOOKUP($A156,'Data Vlaue (Cr)'!$C:$FB,43)</f>
        <v>148</v>
      </c>
      <c r="H156" s="49">
        <f>VLOOKUP($A156,'Data Vlaue (Cr)'!$C:$FB,44)</f>
        <v>197</v>
      </c>
      <c r="I156" s="49">
        <f>VLOOKUP($A156,'Data Vlaue (Cr)'!$C:$FB,46)*100</f>
        <v>-24.98</v>
      </c>
      <c r="J156" s="51">
        <f>VLOOKUP($A156,'Data Vlaue (Cr)'!$C:$FB,59)</f>
        <v>260</v>
      </c>
      <c r="K156" s="51">
        <f>VLOOKUP($A156,'Data Vlaue (Cr)'!$C:$FB,60)</f>
        <v>336</v>
      </c>
      <c r="L156" s="51">
        <f>VLOOKUP($A156,'Data Vlaue (Cr)'!$C:$FB,62)*100</f>
        <v>-22.67</v>
      </c>
      <c r="M156" s="51">
        <f>VLOOKUP($A156,'Data Vlaue (Cr)'!$C:$FB,63)</f>
        <v>93</v>
      </c>
      <c r="N156" s="51">
        <f>VLOOKUP($A156,'Data Vlaue (Cr)'!$C:$FB,64)</f>
        <v>108</v>
      </c>
      <c r="O156" s="51">
        <f>VLOOKUP($A156,'Data Vlaue (Cr)'!$C:$FB,66)*100</f>
        <v>-13.83</v>
      </c>
    </row>
    <row r="157" spans="1:15" x14ac:dyDescent="0.25">
      <c r="A157" s="101" t="str">
        <f>'Data Vlaue (Cr)'!C152</f>
        <v>OBEROIRLTY</v>
      </c>
      <c r="B157" s="50">
        <f>VLOOKUP($A157,'Data Vlaue (Cr)'!$C:$FB,8)</f>
        <v>1653.5</v>
      </c>
      <c r="C157" s="50">
        <f>VLOOKUP($A157,'Data Vlaue (Cr)'!$C:$FB,11)*100</f>
        <v>1.08</v>
      </c>
      <c r="D157" s="50">
        <f>VLOOKUP($A157,'Data Vlaue (Cr)'!$C:$FB,143)</f>
        <v>500.6</v>
      </c>
      <c r="E157" s="50">
        <f>VLOOKUP($A157,'Data Vlaue (Cr)'!$C:$FB,144)</f>
        <v>468.21</v>
      </c>
      <c r="F157" s="50">
        <f>VLOOKUP($A157,'Data Vlaue (Cr)'!$C:$FB,146)*100</f>
        <v>6.92</v>
      </c>
      <c r="G157" s="49">
        <f>VLOOKUP($A157,'Data Vlaue (Cr)'!$C:$FB,43)</f>
        <v>263</v>
      </c>
      <c r="H157" s="49">
        <f>VLOOKUP($A157,'Data Vlaue (Cr)'!$C:$FB,44)</f>
        <v>149</v>
      </c>
      <c r="I157" s="49">
        <f>VLOOKUP($A157,'Data Vlaue (Cr)'!$C:$FB,46)*100</f>
        <v>76.099999999999994</v>
      </c>
      <c r="J157" s="51">
        <f>VLOOKUP($A157,'Data Vlaue (Cr)'!$C:$FB,59)</f>
        <v>133</v>
      </c>
      <c r="K157" s="51">
        <f>VLOOKUP($A157,'Data Vlaue (Cr)'!$C:$FB,60)</f>
        <v>224</v>
      </c>
      <c r="L157" s="51">
        <f>VLOOKUP($A157,'Data Vlaue (Cr)'!$C:$FB,62)*100</f>
        <v>-40.35</v>
      </c>
      <c r="M157" s="51">
        <f>VLOOKUP($A157,'Data Vlaue (Cr)'!$C:$FB,63)</f>
        <v>98</v>
      </c>
      <c r="N157" s="51">
        <f>VLOOKUP($A157,'Data Vlaue (Cr)'!$C:$FB,64)</f>
        <v>95</v>
      </c>
      <c r="O157" s="51">
        <f>VLOOKUP($A157,'Data Vlaue (Cr)'!$C:$FB,66)*100</f>
        <v>3.4000000000000004</v>
      </c>
    </row>
    <row r="158" spans="1:15" x14ac:dyDescent="0.25">
      <c r="A158" s="101" t="str">
        <f>'Data Vlaue (Cr)'!C153</f>
        <v>OFSS</v>
      </c>
      <c r="B158" s="50">
        <f>VLOOKUP($A158,'Data Vlaue (Cr)'!$C:$FB,8)</f>
        <v>7217.5</v>
      </c>
      <c r="C158" s="50">
        <f>VLOOKUP($A158,'Data Vlaue (Cr)'!$C:$FB,11)*100</f>
        <v>0.52</v>
      </c>
      <c r="D158" s="50">
        <f>VLOOKUP($A158,'Data Vlaue (Cr)'!$C:$FB,143)</f>
        <v>887.56</v>
      </c>
      <c r="E158" s="50">
        <f>VLOOKUP($A158,'Data Vlaue (Cr)'!$C:$FB,144)</f>
        <v>1408.18</v>
      </c>
      <c r="F158" s="50">
        <f>VLOOKUP($A158,'Data Vlaue (Cr)'!$C:$FB,146)*100</f>
        <v>-36.97</v>
      </c>
      <c r="G158" s="49">
        <f>VLOOKUP($A158,'Data Vlaue (Cr)'!$C:$FB,43)</f>
        <v>150</v>
      </c>
      <c r="H158" s="49">
        <f>VLOOKUP($A158,'Data Vlaue (Cr)'!$C:$FB,44)</f>
        <v>239</v>
      </c>
      <c r="I158" s="49">
        <f>VLOOKUP($A158,'Data Vlaue (Cr)'!$C:$FB,46)*100</f>
        <v>-36.99</v>
      </c>
      <c r="J158" s="51">
        <f>VLOOKUP($A158,'Data Vlaue (Cr)'!$C:$FB,59)</f>
        <v>420</v>
      </c>
      <c r="K158" s="51">
        <f>VLOOKUP($A158,'Data Vlaue (Cr)'!$C:$FB,60)</f>
        <v>734</v>
      </c>
      <c r="L158" s="51">
        <f>VLOOKUP($A158,'Data Vlaue (Cr)'!$C:$FB,62)*100</f>
        <v>-42.76</v>
      </c>
      <c r="M158" s="51">
        <f>VLOOKUP($A158,'Data Vlaue (Cr)'!$C:$FB,63)</f>
        <v>318</v>
      </c>
      <c r="N158" s="51">
        <f>VLOOKUP($A158,'Data Vlaue (Cr)'!$C:$FB,64)</f>
        <v>423</v>
      </c>
      <c r="O158" s="51">
        <f>VLOOKUP($A158,'Data Vlaue (Cr)'!$C:$FB,66)*100</f>
        <v>-24.69</v>
      </c>
    </row>
    <row r="159" spans="1:15" x14ac:dyDescent="0.25">
      <c r="A159" s="101" t="str">
        <f>'Data Vlaue (Cr)'!C154</f>
        <v>OIL</v>
      </c>
      <c r="B159" s="50">
        <f>VLOOKUP($A159,'Data Vlaue (Cr)'!$C:$FB,8)</f>
        <v>470.75</v>
      </c>
      <c r="C159" s="50">
        <f>VLOOKUP($A159,'Data Vlaue (Cr)'!$C:$FB,11)*100</f>
        <v>2.5700000000000003</v>
      </c>
      <c r="D159" s="50">
        <f>VLOOKUP($A159,'Data Vlaue (Cr)'!$C:$FB,143)</f>
        <v>1482.13</v>
      </c>
      <c r="E159" s="50">
        <f>VLOOKUP($A159,'Data Vlaue (Cr)'!$C:$FB,144)</f>
        <v>2080.75</v>
      </c>
      <c r="F159" s="50">
        <f>VLOOKUP($A159,'Data Vlaue (Cr)'!$C:$FB,146)*100</f>
        <v>-28.77</v>
      </c>
      <c r="G159" s="49">
        <f>VLOOKUP($A159,'Data Vlaue (Cr)'!$C:$FB,43)</f>
        <v>372</v>
      </c>
      <c r="H159" s="49">
        <f>VLOOKUP($A159,'Data Vlaue (Cr)'!$C:$FB,44)</f>
        <v>448</v>
      </c>
      <c r="I159" s="49">
        <f>VLOOKUP($A159,'Data Vlaue (Cr)'!$C:$FB,46)*100</f>
        <v>-17.02</v>
      </c>
      <c r="J159" s="51">
        <f>VLOOKUP($A159,'Data Vlaue (Cr)'!$C:$FB,59)</f>
        <v>843</v>
      </c>
      <c r="K159" s="51">
        <f>VLOOKUP($A159,'Data Vlaue (Cr)'!$C:$FB,60)</f>
        <v>998</v>
      </c>
      <c r="L159" s="51">
        <f>VLOOKUP($A159,'Data Vlaue (Cr)'!$C:$FB,62)*100</f>
        <v>-15.540000000000001</v>
      </c>
      <c r="M159" s="51">
        <f>VLOOKUP($A159,'Data Vlaue (Cr)'!$C:$FB,63)</f>
        <v>238</v>
      </c>
      <c r="N159" s="51">
        <f>VLOOKUP($A159,'Data Vlaue (Cr)'!$C:$FB,64)</f>
        <v>588</v>
      </c>
      <c r="O159" s="51">
        <f>VLOOKUP($A159,'Data Vlaue (Cr)'!$C:$FB,66)*100</f>
        <v>-59.5</v>
      </c>
    </row>
    <row r="160" spans="1:15" x14ac:dyDescent="0.25">
      <c r="A160" s="101" t="str">
        <f>'Data Vlaue (Cr)'!C155</f>
        <v>ONGC</v>
      </c>
      <c r="B160" s="50">
        <f>VLOOKUP($A160,'Data Vlaue (Cr)'!$C:$FB,8)</f>
        <v>288.60000000000002</v>
      </c>
      <c r="C160" s="50">
        <f>VLOOKUP($A160,'Data Vlaue (Cr)'!$C:$FB,11)*100</f>
        <v>1.0900000000000001</v>
      </c>
      <c r="D160" s="50">
        <f>VLOOKUP($A160,'Data Vlaue (Cr)'!$C:$FB,143)</f>
        <v>3006.06</v>
      </c>
      <c r="E160" s="50">
        <f>VLOOKUP($A160,'Data Vlaue (Cr)'!$C:$FB,144)</f>
        <v>6735.46</v>
      </c>
      <c r="F160" s="50">
        <f>VLOOKUP($A160,'Data Vlaue (Cr)'!$C:$FB,146)*100</f>
        <v>-55.37</v>
      </c>
      <c r="G160" s="49">
        <f>VLOOKUP($A160,'Data Vlaue (Cr)'!$C:$FB,43)</f>
        <v>288</v>
      </c>
      <c r="H160" s="49">
        <f>VLOOKUP($A160,'Data Vlaue (Cr)'!$C:$FB,44)</f>
        <v>1035</v>
      </c>
      <c r="I160" s="49">
        <f>VLOOKUP($A160,'Data Vlaue (Cr)'!$C:$FB,46)*100</f>
        <v>-72.17</v>
      </c>
      <c r="J160" s="51">
        <f>VLOOKUP($A160,'Data Vlaue (Cr)'!$C:$FB,59)</f>
        <v>1941</v>
      </c>
      <c r="K160" s="51">
        <f>VLOOKUP($A160,'Data Vlaue (Cr)'!$C:$FB,60)</f>
        <v>3485</v>
      </c>
      <c r="L160" s="51">
        <f>VLOOKUP($A160,'Data Vlaue (Cr)'!$C:$FB,62)*100</f>
        <v>-44.31</v>
      </c>
      <c r="M160" s="51">
        <f>VLOOKUP($A160,'Data Vlaue (Cr)'!$C:$FB,63)</f>
        <v>694</v>
      </c>
      <c r="N160" s="51">
        <f>VLOOKUP($A160,'Data Vlaue (Cr)'!$C:$FB,64)</f>
        <v>2201</v>
      </c>
      <c r="O160" s="51">
        <f>VLOOKUP($A160,'Data Vlaue (Cr)'!$C:$FB,66)*100</f>
        <v>-68.45</v>
      </c>
    </row>
    <row r="161" spans="1:15" x14ac:dyDescent="0.25">
      <c r="A161" s="101" t="str">
        <f>'Data Vlaue (Cr)'!C156</f>
        <v>PAGEIND</v>
      </c>
      <c r="B161" s="50">
        <f>VLOOKUP($A161,'Data Vlaue (Cr)'!$C:$FB,8)</f>
        <v>35950</v>
      </c>
      <c r="C161" s="50">
        <f>VLOOKUP($A161,'Data Vlaue (Cr)'!$C:$FB,11)*100</f>
        <v>1.77</v>
      </c>
      <c r="D161" s="50">
        <f>VLOOKUP($A161,'Data Vlaue (Cr)'!$C:$FB,143)</f>
        <v>563.61</v>
      </c>
      <c r="E161" s="50">
        <f>VLOOKUP($A161,'Data Vlaue (Cr)'!$C:$FB,144)</f>
        <v>460.65</v>
      </c>
      <c r="F161" s="50">
        <f>VLOOKUP($A161,'Data Vlaue (Cr)'!$C:$FB,146)*100</f>
        <v>22.35</v>
      </c>
      <c r="G161" s="49">
        <f>VLOOKUP($A161,'Data Vlaue (Cr)'!$C:$FB,43)</f>
        <v>183</v>
      </c>
      <c r="H161" s="49">
        <f>VLOOKUP($A161,'Data Vlaue (Cr)'!$C:$FB,44)</f>
        <v>100</v>
      </c>
      <c r="I161" s="49">
        <f>VLOOKUP($A161,'Data Vlaue (Cr)'!$C:$FB,46)*100</f>
        <v>84.03</v>
      </c>
      <c r="J161" s="51">
        <f>VLOOKUP($A161,'Data Vlaue (Cr)'!$C:$FB,59)</f>
        <v>229</v>
      </c>
      <c r="K161" s="51">
        <f>VLOOKUP($A161,'Data Vlaue (Cr)'!$C:$FB,60)</f>
        <v>233</v>
      </c>
      <c r="L161" s="51">
        <f>VLOOKUP($A161,'Data Vlaue (Cr)'!$C:$FB,62)*100</f>
        <v>-1.6400000000000001</v>
      </c>
      <c r="M161" s="51">
        <f>VLOOKUP($A161,'Data Vlaue (Cr)'!$C:$FB,63)</f>
        <v>147</v>
      </c>
      <c r="N161" s="51">
        <f>VLOOKUP($A161,'Data Vlaue (Cr)'!$C:$FB,64)</f>
        <v>129</v>
      </c>
      <c r="O161" s="51">
        <f>VLOOKUP($A161,'Data Vlaue (Cr)'!$C:$FB,66)*100</f>
        <v>14.32</v>
      </c>
    </row>
    <row r="162" spans="1:15" x14ac:dyDescent="0.25">
      <c r="A162" s="101" t="str">
        <f>'Data Vlaue (Cr)'!C157</f>
        <v>PATANJALI</v>
      </c>
      <c r="B162" s="50">
        <f>VLOOKUP($A162,'Data Vlaue (Cr)'!$C:$FB,8)</f>
        <v>459.7</v>
      </c>
      <c r="C162" s="50">
        <f>VLOOKUP($A162,'Data Vlaue (Cr)'!$C:$FB,11)*100</f>
        <v>-1.8900000000000001</v>
      </c>
      <c r="D162" s="50">
        <f>VLOOKUP($A162,'Data Vlaue (Cr)'!$C:$FB,143)</f>
        <v>355.41</v>
      </c>
      <c r="E162" s="50">
        <f>VLOOKUP($A162,'Data Vlaue (Cr)'!$C:$FB,144)</f>
        <v>628.24</v>
      </c>
      <c r="F162" s="50">
        <f>VLOOKUP($A162,'Data Vlaue (Cr)'!$C:$FB,146)*100</f>
        <v>-43.43</v>
      </c>
      <c r="G162" s="49">
        <f>VLOOKUP($A162,'Data Vlaue (Cr)'!$C:$FB,43)</f>
        <v>133</v>
      </c>
      <c r="H162" s="49">
        <f>VLOOKUP($A162,'Data Vlaue (Cr)'!$C:$FB,44)</f>
        <v>279</v>
      </c>
      <c r="I162" s="49">
        <f>VLOOKUP($A162,'Data Vlaue (Cr)'!$C:$FB,46)*100</f>
        <v>-52.180000000000007</v>
      </c>
      <c r="J162" s="51">
        <f>VLOOKUP($A162,'Data Vlaue (Cr)'!$C:$FB,59)</f>
        <v>130</v>
      </c>
      <c r="K162" s="51">
        <f>VLOOKUP($A162,'Data Vlaue (Cr)'!$C:$FB,60)</f>
        <v>208</v>
      </c>
      <c r="L162" s="51">
        <f>VLOOKUP($A162,'Data Vlaue (Cr)'!$C:$FB,62)*100</f>
        <v>-37.75</v>
      </c>
      <c r="M162" s="51">
        <f>VLOOKUP($A162,'Data Vlaue (Cr)'!$C:$FB,63)</f>
        <v>83</v>
      </c>
      <c r="N162" s="51">
        <f>VLOOKUP($A162,'Data Vlaue (Cr)'!$C:$FB,64)</f>
        <v>109</v>
      </c>
      <c r="O162" s="51">
        <f>VLOOKUP($A162,'Data Vlaue (Cr)'!$C:$FB,66)*100</f>
        <v>-23.54</v>
      </c>
    </row>
    <row r="163" spans="1:15" x14ac:dyDescent="0.25">
      <c r="A163" s="101" t="str">
        <f>'Data Vlaue (Cr)'!C158</f>
        <v>PAYTM</v>
      </c>
      <c r="B163" s="50">
        <f>VLOOKUP($A163,'Data Vlaue (Cr)'!$C:$FB,8)</f>
        <v>1097.95</v>
      </c>
      <c r="C163" s="50">
        <f>VLOOKUP($A163,'Data Vlaue (Cr)'!$C:$FB,11)*100</f>
        <v>-1.35</v>
      </c>
      <c r="D163" s="50">
        <f>VLOOKUP($A163,'Data Vlaue (Cr)'!$C:$FB,143)</f>
        <v>2591.09</v>
      </c>
      <c r="E163" s="50">
        <f>VLOOKUP($A163,'Data Vlaue (Cr)'!$C:$FB,144)</f>
        <v>2988.75</v>
      </c>
      <c r="F163" s="50">
        <f>VLOOKUP($A163,'Data Vlaue (Cr)'!$C:$FB,146)*100</f>
        <v>-13.309999999999999</v>
      </c>
      <c r="G163" s="49">
        <f>VLOOKUP($A163,'Data Vlaue (Cr)'!$C:$FB,43)</f>
        <v>471</v>
      </c>
      <c r="H163" s="49">
        <f>VLOOKUP($A163,'Data Vlaue (Cr)'!$C:$FB,44)</f>
        <v>564</v>
      </c>
      <c r="I163" s="49">
        <f>VLOOKUP($A163,'Data Vlaue (Cr)'!$C:$FB,46)*100</f>
        <v>-16.43</v>
      </c>
      <c r="J163" s="51">
        <f>VLOOKUP($A163,'Data Vlaue (Cr)'!$C:$FB,59)</f>
        <v>1251</v>
      </c>
      <c r="K163" s="51">
        <f>VLOOKUP($A163,'Data Vlaue (Cr)'!$C:$FB,60)</f>
        <v>1555</v>
      </c>
      <c r="L163" s="51">
        <f>VLOOKUP($A163,'Data Vlaue (Cr)'!$C:$FB,62)*100</f>
        <v>-19.600000000000001</v>
      </c>
      <c r="M163" s="51">
        <f>VLOOKUP($A163,'Data Vlaue (Cr)'!$C:$FB,63)</f>
        <v>793</v>
      </c>
      <c r="N163" s="51">
        <f>VLOOKUP($A163,'Data Vlaue (Cr)'!$C:$FB,64)</f>
        <v>842</v>
      </c>
      <c r="O163" s="51">
        <f>VLOOKUP($A163,'Data Vlaue (Cr)'!$C:$FB,66)*100</f>
        <v>-5.7799999999999994</v>
      </c>
    </row>
    <row r="164" spans="1:15" x14ac:dyDescent="0.25">
      <c r="A164" s="101" t="str">
        <f>'Data Vlaue (Cr)'!C159</f>
        <v>PERSISTENT</v>
      </c>
      <c r="B164" s="50">
        <f>VLOOKUP($A164,'Data Vlaue (Cr)'!$C:$FB,8)</f>
        <v>5471.1</v>
      </c>
      <c r="C164" s="50">
        <f>VLOOKUP($A164,'Data Vlaue (Cr)'!$C:$FB,11)*100</f>
        <v>1.81</v>
      </c>
      <c r="D164" s="50">
        <f>VLOOKUP($A164,'Data Vlaue (Cr)'!$C:$FB,143)</f>
        <v>1894.83</v>
      </c>
      <c r="E164" s="50">
        <f>VLOOKUP($A164,'Data Vlaue (Cr)'!$C:$FB,144)</f>
        <v>2209.33</v>
      </c>
      <c r="F164" s="50">
        <f>VLOOKUP($A164,'Data Vlaue (Cr)'!$C:$FB,146)*100</f>
        <v>-14.24</v>
      </c>
      <c r="G164" s="49">
        <f>VLOOKUP($A164,'Data Vlaue (Cr)'!$C:$FB,43)</f>
        <v>579</v>
      </c>
      <c r="H164" s="49">
        <f>VLOOKUP($A164,'Data Vlaue (Cr)'!$C:$FB,44)</f>
        <v>631</v>
      </c>
      <c r="I164" s="49">
        <f>VLOOKUP($A164,'Data Vlaue (Cr)'!$C:$FB,46)*100</f>
        <v>-8.19</v>
      </c>
      <c r="J164" s="51">
        <f>VLOOKUP($A164,'Data Vlaue (Cr)'!$C:$FB,59)</f>
        <v>820</v>
      </c>
      <c r="K164" s="51">
        <f>VLOOKUP($A164,'Data Vlaue (Cr)'!$C:$FB,60)</f>
        <v>1077</v>
      </c>
      <c r="L164" s="51">
        <f>VLOOKUP($A164,'Data Vlaue (Cr)'!$C:$FB,62)*100</f>
        <v>-23.87</v>
      </c>
      <c r="M164" s="51">
        <f>VLOOKUP($A164,'Data Vlaue (Cr)'!$C:$FB,63)</f>
        <v>494</v>
      </c>
      <c r="N164" s="51">
        <f>VLOOKUP($A164,'Data Vlaue (Cr)'!$C:$FB,64)</f>
        <v>515</v>
      </c>
      <c r="O164" s="51">
        <f>VLOOKUP($A164,'Data Vlaue (Cr)'!$C:$FB,66)*100</f>
        <v>-4.08</v>
      </c>
    </row>
    <row r="165" spans="1:15" x14ac:dyDescent="0.25">
      <c r="A165" s="101" t="str">
        <f>'Data Vlaue (Cr)'!C160</f>
        <v>PETRONET</v>
      </c>
      <c r="B165" s="50">
        <f>VLOOKUP($A165,'Data Vlaue (Cr)'!$C:$FB,8)</f>
        <v>271.37</v>
      </c>
      <c r="C165" s="50">
        <f>VLOOKUP($A165,'Data Vlaue (Cr)'!$C:$FB,11)*100</f>
        <v>0.36</v>
      </c>
      <c r="D165" s="50">
        <f>VLOOKUP($A165,'Data Vlaue (Cr)'!$C:$FB,143)</f>
        <v>1373.94</v>
      </c>
      <c r="E165" s="50">
        <f>VLOOKUP($A165,'Data Vlaue (Cr)'!$C:$FB,144)</f>
        <v>1065.07</v>
      </c>
      <c r="F165" s="50">
        <f>VLOOKUP($A165,'Data Vlaue (Cr)'!$C:$FB,146)*100</f>
        <v>28.999999999999996</v>
      </c>
      <c r="G165" s="49">
        <f>VLOOKUP($A165,'Data Vlaue (Cr)'!$C:$FB,43)</f>
        <v>265</v>
      </c>
      <c r="H165" s="49">
        <f>VLOOKUP($A165,'Data Vlaue (Cr)'!$C:$FB,44)</f>
        <v>338</v>
      </c>
      <c r="I165" s="49">
        <f>VLOOKUP($A165,'Data Vlaue (Cr)'!$C:$FB,46)*100</f>
        <v>-21.68</v>
      </c>
      <c r="J165" s="51">
        <f>VLOOKUP($A165,'Data Vlaue (Cr)'!$C:$FB,59)</f>
        <v>849</v>
      </c>
      <c r="K165" s="51">
        <f>VLOOKUP($A165,'Data Vlaue (Cr)'!$C:$FB,60)</f>
        <v>465</v>
      </c>
      <c r="L165" s="51">
        <f>VLOOKUP($A165,'Data Vlaue (Cr)'!$C:$FB,62)*100</f>
        <v>82.320000000000007</v>
      </c>
      <c r="M165" s="51">
        <f>VLOOKUP($A165,'Data Vlaue (Cr)'!$C:$FB,63)</f>
        <v>208</v>
      </c>
      <c r="N165" s="51">
        <f>VLOOKUP($A165,'Data Vlaue (Cr)'!$C:$FB,64)</f>
        <v>251</v>
      </c>
      <c r="O165" s="51">
        <f>VLOOKUP($A165,'Data Vlaue (Cr)'!$C:$FB,66)*100</f>
        <v>-17.25</v>
      </c>
    </row>
    <row r="166" spans="1:15" x14ac:dyDescent="0.25">
      <c r="A166" s="101" t="str">
        <f>'Data Vlaue (Cr)'!C161</f>
        <v>PFC</v>
      </c>
      <c r="B166" s="50">
        <f>VLOOKUP($A166,'Data Vlaue (Cr)'!$C:$FB,8)</f>
        <v>428.05</v>
      </c>
      <c r="C166" s="50">
        <f>VLOOKUP($A166,'Data Vlaue (Cr)'!$C:$FB,11)*100</f>
        <v>2.4899999999999998</v>
      </c>
      <c r="D166" s="50">
        <f>VLOOKUP($A166,'Data Vlaue (Cr)'!$C:$FB,143)</f>
        <v>3937.33</v>
      </c>
      <c r="E166" s="50">
        <f>VLOOKUP($A166,'Data Vlaue (Cr)'!$C:$FB,144)</f>
        <v>2283.6999999999998</v>
      </c>
      <c r="F166" s="50">
        <f>VLOOKUP($A166,'Data Vlaue (Cr)'!$C:$FB,146)*100</f>
        <v>72.41</v>
      </c>
      <c r="G166" s="49">
        <f>VLOOKUP($A166,'Data Vlaue (Cr)'!$C:$FB,43)</f>
        <v>648</v>
      </c>
      <c r="H166" s="49">
        <f>VLOOKUP($A166,'Data Vlaue (Cr)'!$C:$FB,44)</f>
        <v>576</v>
      </c>
      <c r="I166" s="49">
        <f>VLOOKUP($A166,'Data Vlaue (Cr)'!$C:$FB,46)*100</f>
        <v>12.67</v>
      </c>
      <c r="J166" s="51">
        <f>VLOOKUP($A166,'Data Vlaue (Cr)'!$C:$FB,59)</f>
        <v>2169</v>
      </c>
      <c r="K166" s="51">
        <f>VLOOKUP($A166,'Data Vlaue (Cr)'!$C:$FB,60)</f>
        <v>1086</v>
      </c>
      <c r="L166" s="51">
        <f>VLOOKUP($A166,'Data Vlaue (Cr)'!$C:$FB,62)*100</f>
        <v>99.71</v>
      </c>
      <c r="M166" s="51">
        <f>VLOOKUP($A166,'Data Vlaue (Cr)'!$C:$FB,63)</f>
        <v>1051</v>
      </c>
      <c r="N166" s="51">
        <f>VLOOKUP($A166,'Data Vlaue (Cr)'!$C:$FB,64)</f>
        <v>637</v>
      </c>
      <c r="O166" s="51">
        <f>VLOOKUP($A166,'Data Vlaue (Cr)'!$C:$FB,66)*100</f>
        <v>65.11</v>
      </c>
    </row>
    <row r="167" spans="1:15" x14ac:dyDescent="0.25">
      <c r="A167" s="101" t="str">
        <f>'Data Vlaue (Cr)'!C162</f>
        <v>PGEL</v>
      </c>
      <c r="B167" s="50">
        <f>VLOOKUP($A167,'Data Vlaue (Cr)'!$C:$FB,8)</f>
        <v>479.8</v>
      </c>
      <c r="C167" s="50">
        <f>VLOOKUP($A167,'Data Vlaue (Cr)'!$C:$FB,11)*100</f>
        <v>-0.53</v>
      </c>
      <c r="D167" s="50">
        <f>VLOOKUP($A167,'Data Vlaue (Cr)'!$C:$FB,143)</f>
        <v>1427.83</v>
      </c>
      <c r="E167" s="50">
        <f>VLOOKUP($A167,'Data Vlaue (Cr)'!$C:$FB,144)</f>
        <v>2134.48</v>
      </c>
      <c r="F167" s="50">
        <f>VLOOKUP($A167,'Data Vlaue (Cr)'!$C:$FB,146)*100</f>
        <v>-33.11</v>
      </c>
      <c r="G167" s="49">
        <f>VLOOKUP($A167,'Data Vlaue (Cr)'!$C:$FB,43)</f>
        <v>314</v>
      </c>
      <c r="H167" s="49">
        <f>VLOOKUP($A167,'Data Vlaue (Cr)'!$C:$FB,44)</f>
        <v>433</v>
      </c>
      <c r="I167" s="49">
        <f>VLOOKUP($A167,'Data Vlaue (Cr)'!$C:$FB,46)*100</f>
        <v>-27.43</v>
      </c>
      <c r="J167" s="51">
        <f>VLOOKUP($A167,'Data Vlaue (Cr)'!$C:$FB,59)</f>
        <v>669</v>
      </c>
      <c r="K167" s="51">
        <f>VLOOKUP($A167,'Data Vlaue (Cr)'!$C:$FB,60)</f>
        <v>1193</v>
      </c>
      <c r="L167" s="51">
        <f>VLOOKUP($A167,'Data Vlaue (Cr)'!$C:$FB,62)*100</f>
        <v>-43.919999999999995</v>
      </c>
      <c r="M167" s="51">
        <f>VLOOKUP($A167,'Data Vlaue (Cr)'!$C:$FB,63)</f>
        <v>409</v>
      </c>
      <c r="N167" s="51">
        <f>VLOOKUP($A167,'Data Vlaue (Cr)'!$C:$FB,64)</f>
        <v>433</v>
      </c>
      <c r="O167" s="51">
        <f>VLOOKUP($A167,'Data Vlaue (Cr)'!$C:$FB,66)*100</f>
        <v>-5.46</v>
      </c>
    </row>
    <row r="168" spans="1:15" x14ac:dyDescent="0.25">
      <c r="A168" s="101" t="str">
        <f>'Data Vlaue (Cr)'!C163</f>
        <v>PHOENIXLTD</v>
      </c>
      <c r="B168" s="50">
        <f>VLOOKUP($A168,'Data Vlaue (Cr)'!$C:$FB,8)</f>
        <v>1709.9</v>
      </c>
      <c r="C168" s="50">
        <f>VLOOKUP($A168,'Data Vlaue (Cr)'!$C:$FB,11)*100</f>
        <v>-0.19</v>
      </c>
      <c r="D168" s="50">
        <f>VLOOKUP($A168,'Data Vlaue (Cr)'!$C:$FB,143)</f>
        <v>202.67</v>
      </c>
      <c r="E168" s="50">
        <f>VLOOKUP($A168,'Data Vlaue (Cr)'!$C:$FB,144)</f>
        <v>574.34</v>
      </c>
      <c r="F168" s="50">
        <f>VLOOKUP($A168,'Data Vlaue (Cr)'!$C:$FB,146)*100</f>
        <v>-64.710000000000008</v>
      </c>
      <c r="G168" s="49">
        <f>VLOOKUP($A168,'Data Vlaue (Cr)'!$C:$FB,43)</f>
        <v>96</v>
      </c>
      <c r="H168" s="49">
        <f>VLOOKUP($A168,'Data Vlaue (Cr)'!$C:$FB,44)</f>
        <v>175</v>
      </c>
      <c r="I168" s="49">
        <f>VLOOKUP($A168,'Data Vlaue (Cr)'!$C:$FB,46)*100</f>
        <v>-45.22</v>
      </c>
      <c r="J168" s="51">
        <f>VLOOKUP($A168,'Data Vlaue (Cr)'!$C:$FB,59)</f>
        <v>50</v>
      </c>
      <c r="K168" s="51">
        <f>VLOOKUP($A168,'Data Vlaue (Cr)'!$C:$FB,60)</f>
        <v>246</v>
      </c>
      <c r="L168" s="51">
        <f>VLOOKUP($A168,'Data Vlaue (Cr)'!$C:$FB,62)*100</f>
        <v>-79.650000000000006</v>
      </c>
      <c r="M168" s="51">
        <f>VLOOKUP($A168,'Data Vlaue (Cr)'!$C:$FB,63)</f>
        <v>59</v>
      </c>
      <c r="N168" s="51">
        <f>VLOOKUP($A168,'Data Vlaue (Cr)'!$C:$FB,64)</f>
        <v>154</v>
      </c>
      <c r="O168" s="51">
        <f>VLOOKUP($A168,'Data Vlaue (Cr)'!$C:$FB,66)*100</f>
        <v>-61.539999999999992</v>
      </c>
    </row>
    <row r="169" spans="1:15" x14ac:dyDescent="0.25">
      <c r="A169" s="101" t="str">
        <f>'Data Vlaue (Cr)'!C164</f>
        <v>PIDILITIND</v>
      </c>
      <c r="B169" s="50">
        <f>VLOOKUP($A169,'Data Vlaue (Cr)'!$C:$FB,8)</f>
        <v>1347.4</v>
      </c>
      <c r="C169" s="50">
        <f>VLOOKUP($A169,'Data Vlaue (Cr)'!$C:$FB,11)*100</f>
        <v>-0.55999999999999994</v>
      </c>
      <c r="D169" s="50">
        <f>VLOOKUP($A169,'Data Vlaue (Cr)'!$C:$FB,143)</f>
        <v>312.41000000000003</v>
      </c>
      <c r="E169" s="50">
        <f>VLOOKUP($A169,'Data Vlaue (Cr)'!$C:$FB,144)</f>
        <v>677.08</v>
      </c>
      <c r="F169" s="50">
        <f>VLOOKUP($A169,'Data Vlaue (Cr)'!$C:$FB,146)*100</f>
        <v>-53.86</v>
      </c>
      <c r="G169" s="49">
        <f>VLOOKUP($A169,'Data Vlaue (Cr)'!$C:$FB,43)</f>
        <v>105</v>
      </c>
      <c r="H169" s="49">
        <f>VLOOKUP($A169,'Data Vlaue (Cr)'!$C:$FB,44)</f>
        <v>201</v>
      </c>
      <c r="I169" s="49">
        <f>VLOOKUP($A169,'Data Vlaue (Cr)'!$C:$FB,46)*100</f>
        <v>-47.82</v>
      </c>
      <c r="J169" s="51">
        <f>VLOOKUP($A169,'Data Vlaue (Cr)'!$C:$FB,59)</f>
        <v>101</v>
      </c>
      <c r="K169" s="51">
        <f>VLOOKUP($A169,'Data Vlaue (Cr)'!$C:$FB,60)</f>
        <v>317</v>
      </c>
      <c r="L169" s="51">
        <f>VLOOKUP($A169,'Data Vlaue (Cr)'!$C:$FB,62)*100</f>
        <v>-68.260000000000005</v>
      </c>
      <c r="M169" s="51">
        <f>VLOOKUP($A169,'Data Vlaue (Cr)'!$C:$FB,63)</f>
        <v>104</v>
      </c>
      <c r="N169" s="51">
        <f>VLOOKUP($A169,'Data Vlaue (Cr)'!$C:$FB,64)</f>
        <v>140</v>
      </c>
      <c r="O169" s="51">
        <f>VLOOKUP($A169,'Data Vlaue (Cr)'!$C:$FB,66)*100</f>
        <v>-25.240000000000002</v>
      </c>
    </row>
    <row r="170" spans="1:15" x14ac:dyDescent="0.25">
      <c r="A170" s="101" t="str">
        <f>'Data Vlaue (Cr)'!C165</f>
        <v>PIIND</v>
      </c>
      <c r="B170" s="50">
        <f>VLOOKUP($A170,'Data Vlaue (Cr)'!$C:$FB,8)</f>
        <v>2880.7</v>
      </c>
      <c r="C170" s="50">
        <f>VLOOKUP($A170,'Data Vlaue (Cr)'!$C:$FB,11)*100</f>
        <v>0.13</v>
      </c>
      <c r="D170" s="50">
        <f>VLOOKUP($A170,'Data Vlaue (Cr)'!$C:$FB,143)</f>
        <v>370</v>
      </c>
      <c r="E170" s="50">
        <f>VLOOKUP($A170,'Data Vlaue (Cr)'!$C:$FB,144)</f>
        <v>277.64</v>
      </c>
      <c r="F170" s="50">
        <f>VLOOKUP($A170,'Data Vlaue (Cr)'!$C:$FB,146)*100</f>
        <v>33.26</v>
      </c>
      <c r="G170" s="49">
        <f>VLOOKUP($A170,'Data Vlaue (Cr)'!$C:$FB,43)</f>
        <v>125</v>
      </c>
      <c r="H170" s="49">
        <f>VLOOKUP($A170,'Data Vlaue (Cr)'!$C:$FB,44)</f>
        <v>91</v>
      </c>
      <c r="I170" s="49">
        <f>VLOOKUP($A170,'Data Vlaue (Cr)'!$C:$FB,46)*100</f>
        <v>37.76</v>
      </c>
      <c r="J170" s="51">
        <f>VLOOKUP($A170,'Data Vlaue (Cr)'!$C:$FB,59)</f>
        <v>130</v>
      </c>
      <c r="K170" s="51">
        <f>VLOOKUP($A170,'Data Vlaue (Cr)'!$C:$FB,60)</f>
        <v>114</v>
      </c>
      <c r="L170" s="51">
        <f>VLOOKUP($A170,'Data Vlaue (Cr)'!$C:$FB,62)*100</f>
        <v>14.219999999999999</v>
      </c>
      <c r="M170" s="51">
        <f>VLOOKUP($A170,'Data Vlaue (Cr)'!$C:$FB,63)</f>
        <v>114</v>
      </c>
      <c r="N170" s="51">
        <f>VLOOKUP($A170,'Data Vlaue (Cr)'!$C:$FB,64)</f>
        <v>66</v>
      </c>
      <c r="O170" s="51">
        <f>VLOOKUP($A170,'Data Vlaue (Cr)'!$C:$FB,66)*100</f>
        <v>74.11</v>
      </c>
    </row>
    <row r="171" spans="1:15" x14ac:dyDescent="0.25">
      <c r="A171" s="101" t="str">
        <f>'Data Vlaue (Cr)'!C166</f>
        <v>PNB</v>
      </c>
      <c r="B171" s="50">
        <f>VLOOKUP($A171,'Data Vlaue (Cr)'!$C:$FB,8)</f>
        <v>109.59</v>
      </c>
      <c r="C171" s="50">
        <f>VLOOKUP($A171,'Data Vlaue (Cr)'!$C:$FB,11)*100</f>
        <v>-1.39</v>
      </c>
      <c r="D171" s="50">
        <f>VLOOKUP($A171,'Data Vlaue (Cr)'!$C:$FB,143)</f>
        <v>2097.39</v>
      </c>
      <c r="E171" s="50">
        <f>VLOOKUP($A171,'Data Vlaue (Cr)'!$C:$FB,144)</f>
        <v>2864.73</v>
      </c>
      <c r="F171" s="50">
        <f>VLOOKUP($A171,'Data Vlaue (Cr)'!$C:$FB,146)*100</f>
        <v>-26.790000000000003</v>
      </c>
      <c r="G171" s="49">
        <f>VLOOKUP($A171,'Data Vlaue (Cr)'!$C:$FB,43)</f>
        <v>536</v>
      </c>
      <c r="H171" s="49">
        <f>VLOOKUP($A171,'Data Vlaue (Cr)'!$C:$FB,44)</f>
        <v>794</v>
      </c>
      <c r="I171" s="49">
        <f>VLOOKUP($A171,'Data Vlaue (Cr)'!$C:$FB,46)*100</f>
        <v>-32.56</v>
      </c>
      <c r="J171" s="51">
        <f>VLOOKUP($A171,'Data Vlaue (Cr)'!$C:$FB,59)</f>
        <v>915</v>
      </c>
      <c r="K171" s="51">
        <f>VLOOKUP($A171,'Data Vlaue (Cr)'!$C:$FB,60)</f>
        <v>1316</v>
      </c>
      <c r="L171" s="51">
        <f>VLOOKUP($A171,'Data Vlaue (Cr)'!$C:$FB,62)*100</f>
        <v>-30.44</v>
      </c>
      <c r="M171" s="51">
        <f>VLOOKUP($A171,'Data Vlaue (Cr)'!$C:$FB,63)</f>
        <v>581</v>
      </c>
      <c r="N171" s="51">
        <f>VLOOKUP($A171,'Data Vlaue (Cr)'!$C:$FB,64)</f>
        <v>673</v>
      </c>
      <c r="O171" s="51">
        <f>VLOOKUP($A171,'Data Vlaue (Cr)'!$C:$FB,66)*100</f>
        <v>-13.569999999999999</v>
      </c>
    </row>
    <row r="172" spans="1:15" x14ac:dyDescent="0.25">
      <c r="A172" s="101" t="str">
        <f>'Data Vlaue (Cr)'!C167</f>
        <v>PNBHOUSING</v>
      </c>
      <c r="B172" s="50">
        <f>VLOOKUP($A172,'Data Vlaue (Cr)'!$C:$FB,8)</f>
        <v>862.95</v>
      </c>
      <c r="C172" s="50">
        <f>VLOOKUP($A172,'Data Vlaue (Cr)'!$C:$FB,11)*100</f>
        <v>-1.1900000000000002</v>
      </c>
      <c r="D172" s="50">
        <f>VLOOKUP($A172,'Data Vlaue (Cr)'!$C:$FB,143)</f>
        <v>355.11</v>
      </c>
      <c r="E172" s="50">
        <f>VLOOKUP($A172,'Data Vlaue (Cr)'!$C:$FB,144)</f>
        <v>653.97</v>
      </c>
      <c r="F172" s="50">
        <f>VLOOKUP($A172,'Data Vlaue (Cr)'!$C:$FB,146)*100</f>
        <v>-45.7</v>
      </c>
      <c r="G172" s="49">
        <f>VLOOKUP($A172,'Data Vlaue (Cr)'!$C:$FB,43)</f>
        <v>110</v>
      </c>
      <c r="H172" s="49">
        <f>VLOOKUP($A172,'Data Vlaue (Cr)'!$C:$FB,44)</f>
        <v>283</v>
      </c>
      <c r="I172" s="49">
        <f>VLOOKUP($A172,'Data Vlaue (Cr)'!$C:$FB,46)*100</f>
        <v>-61.09</v>
      </c>
      <c r="J172" s="51">
        <f>VLOOKUP($A172,'Data Vlaue (Cr)'!$C:$FB,59)</f>
        <v>61</v>
      </c>
      <c r="K172" s="51">
        <f>VLOOKUP($A172,'Data Vlaue (Cr)'!$C:$FB,60)</f>
        <v>254</v>
      </c>
      <c r="L172" s="51">
        <f>VLOOKUP($A172,'Data Vlaue (Cr)'!$C:$FB,62)*100</f>
        <v>-75.819999999999993</v>
      </c>
      <c r="M172" s="51">
        <f>VLOOKUP($A172,'Data Vlaue (Cr)'!$C:$FB,63)</f>
        <v>222</v>
      </c>
      <c r="N172" s="51">
        <f>VLOOKUP($A172,'Data Vlaue (Cr)'!$C:$FB,64)</f>
        <v>107</v>
      </c>
      <c r="O172" s="51">
        <f>VLOOKUP($A172,'Data Vlaue (Cr)'!$C:$FB,66)*100</f>
        <v>107.61</v>
      </c>
    </row>
    <row r="173" spans="1:15" x14ac:dyDescent="0.25">
      <c r="A173" s="101" t="str">
        <f>'Data Vlaue (Cr)'!C168</f>
        <v>POLICYBZR</v>
      </c>
      <c r="B173" s="50">
        <f>VLOOKUP($A173,'Data Vlaue (Cr)'!$C:$FB,8)</f>
        <v>1493.3</v>
      </c>
      <c r="C173" s="50">
        <f>VLOOKUP($A173,'Data Vlaue (Cr)'!$C:$FB,11)*100</f>
        <v>-0.35000000000000003</v>
      </c>
      <c r="D173" s="50">
        <f>VLOOKUP($A173,'Data Vlaue (Cr)'!$C:$FB,143)</f>
        <v>319</v>
      </c>
      <c r="E173" s="50">
        <f>VLOOKUP($A173,'Data Vlaue (Cr)'!$C:$FB,144)</f>
        <v>351.29</v>
      </c>
      <c r="F173" s="50">
        <f>VLOOKUP($A173,'Data Vlaue (Cr)'!$C:$FB,146)*100</f>
        <v>-9.19</v>
      </c>
      <c r="G173" s="49">
        <f>VLOOKUP($A173,'Data Vlaue (Cr)'!$C:$FB,43)</f>
        <v>119</v>
      </c>
      <c r="H173" s="49">
        <f>VLOOKUP($A173,'Data Vlaue (Cr)'!$C:$FB,44)</f>
        <v>125</v>
      </c>
      <c r="I173" s="49">
        <f>VLOOKUP($A173,'Data Vlaue (Cr)'!$C:$FB,46)*100</f>
        <v>-4.38</v>
      </c>
      <c r="J173" s="51">
        <f>VLOOKUP($A173,'Data Vlaue (Cr)'!$C:$FB,59)</f>
        <v>134</v>
      </c>
      <c r="K173" s="51">
        <f>VLOOKUP($A173,'Data Vlaue (Cr)'!$C:$FB,60)</f>
        <v>145</v>
      </c>
      <c r="L173" s="51">
        <f>VLOOKUP($A173,'Data Vlaue (Cr)'!$C:$FB,62)*100</f>
        <v>-7.76</v>
      </c>
      <c r="M173" s="51">
        <f>VLOOKUP($A173,'Data Vlaue (Cr)'!$C:$FB,63)</f>
        <v>57</v>
      </c>
      <c r="N173" s="51">
        <f>VLOOKUP($A173,'Data Vlaue (Cr)'!$C:$FB,64)</f>
        <v>72</v>
      </c>
      <c r="O173" s="51">
        <f>VLOOKUP($A173,'Data Vlaue (Cr)'!$C:$FB,66)*100</f>
        <v>-20.39</v>
      </c>
    </row>
    <row r="174" spans="1:15" x14ac:dyDescent="0.25">
      <c r="A174" s="101" t="str">
        <f>'Data Vlaue (Cr)'!C169</f>
        <v>POLYCAB</v>
      </c>
      <c r="B174" s="50">
        <f>VLOOKUP($A174,'Data Vlaue (Cr)'!$C:$FB,8)</f>
        <v>7607</v>
      </c>
      <c r="C174" s="50">
        <f>VLOOKUP($A174,'Data Vlaue (Cr)'!$C:$FB,11)*100</f>
        <v>0.09</v>
      </c>
      <c r="D174" s="50">
        <f>VLOOKUP($A174,'Data Vlaue (Cr)'!$C:$FB,143)</f>
        <v>1415.75</v>
      </c>
      <c r="E174" s="50">
        <f>VLOOKUP($A174,'Data Vlaue (Cr)'!$C:$FB,144)</f>
        <v>2901.28</v>
      </c>
      <c r="F174" s="50">
        <f>VLOOKUP($A174,'Data Vlaue (Cr)'!$C:$FB,146)*100</f>
        <v>-51.2</v>
      </c>
      <c r="G174" s="49">
        <f>VLOOKUP($A174,'Data Vlaue (Cr)'!$C:$FB,43)</f>
        <v>232</v>
      </c>
      <c r="H174" s="49">
        <f>VLOOKUP($A174,'Data Vlaue (Cr)'!$C:$FB,44)</f>
        <v>553</v>
      </c>
      <c r="I174" s="49">
        <f>VLOOKUP($A174,'Data Vlaue (Cr)'!$C:$FB,46)*100</f>
        <v>-58.099999999999994</v>
      </c>
      <c r="J174" s="51">
        <f>VLOOKUP($A174,'Data Vlaue (Cr)'!$C:$FB,59)</f>
        <v>634</v>
      </c>
      <c r="K174" s="51">
        <f>VLOOKUP($A174,'Data Vlaue (Cr)'!$C:$FB,60)</f>
        <v>1252</v>
      </c>
      <c r="L174" s="51">
        <f>VLOOKUP($A174,'Data Vlaue (Cr)'!$C:$FB,62)*100</f>
        <v>-49.370000000000005</v>
      </c>
      <c r="M174" s="51">
        <f>VLOOKUP($A174,'Data Vlaue (Cr)'!$C:$FB,63)</f>
        <v>543</v>
      </c>
      <c r="N174" s="51">
        <f>VLOOKUP($A174,'Data Vlaue (Cr)'!$C:$FB,64)</f>
        <v>1101</v>
      </c>
      <c r="O174" s="51">
        <f>VLOOKUP($A174,'Data Vlaue (Cr)'!$C:$FB,66)*100</f>
        <v>-50.72</v>
      </c>
    </row>
    <row r="175" spans="1:15" x14ac:dyDescent="0.25">
      <c r="A175" s="101" t="str">
        <f>'Data Vlaue (Cr)'!C170</f>
        <v>POWERGRID</v>
      </c>
      <c r="B175" s="50">
        <f>VLOOKUP($A175,'Data Vlaue (Cr)'!$C:$FB,8)</f>
        <v>298.10000000000002</v>
      </c>
      <c r="C175" s="50">
        <f>VLOOKUP($A175,'Data Vlaue (Cr)'!$C:$FB,11)*100</f>
        <v>1.0999999999999999</v>
      </c>
      <c r="D175" s="50">
        <f>VLOOKUP($A175,'Data Vlaue (Cr)'!$C:$FB,143)</f>
        <v>1988.41</v>
      </c>
      <c r="E175" s="50">
        <f>VLOOKUP($A175,'Data Vlaue (Cr)'!$C:$FB,144)</f>
        <v>1641.2</v>
      </c>
      <c r="F175" s="50">
        <f>VLOOKUP($A175,'Data Vlaue (Cr)'!$C:$FB,146)*100</f>
        <v>21.16</v>
      </c>
      <c r="G175" s="49">
        <f>VLOOKUP($A175,'Data Vlaue (Cr)'!$C:$FB,43)</f>
        <v>259</v>
      </c>
      <c r="H175" s="49">
        <f>VLOOKUP($A175,'Data Vlaue (Cr)'!$C:$FB,44)</f>
        <v>333</v>
      </c>
      <c r="I175" s="49">
        <f>VLOOKUP($A175,'Data Vlaue (Cr)'!$C:$FB,46)*100</f>
        <v>-22.11</v>
      </c>
      <c r="J175" s="51">
        <f>VLOOKUP($A175,'Data Vlaue (Cr)'!$C:$FB,59)</f>
        <v>1327</v>
      </c>
      <c r="K175" s="51">
        <f>VLOOKUP($A175,'Data Vlaue (Cr)'!$C:$FB,60)</f>
        <v>928</v>
      </c>
      <c r="L175" s="51">
        <f>VLOOKUP($A175,'Data Vlaue (Cr)'!$C:$FB,62)*100</f>
        <v>43.03</v>
      </c>
      <c r="M175" s="51">
        <f>VLOOKUP($A175,'Data Vlaue (Cr)'!$C:$FB,63)</f>
        <v>351</v>
      </c>
      <c r="N175" s="51">
        <f>VLOOKUP($A175,'Data Vlaue (Cr)'!$C:$FB,64)</f>
        <v>354</v>
      </c>
      <c r="O175" s="51">
        <f>VLOOKUP($A175,'Data Vlaue (Cr)'!$C:$FB,66)*100</f>
        <v>-0.91999999999999993</v>
      </c>
    </row>
    <row r="176" spans="1:15" x14ac:dyDescent="0.25">
      <c r="A176" s="101" t="str">
        <f>'Data Vlaue (Cr)'!C171</f>
        <v>POWERINDIA</v>
      </c>
      <c r="B176" s="50">
        <f>VLOOKUP($A176,'Data Vlaue (Cr)'!$C:$FB,8)</f>
        <v>27315</v>
      </c>
      <c r="C176" s="50">
        <f>VLOOKUP($A176,'Data Vlaue (Cr)'!$C:$FB,11)*100</f>
        <v>5.4</v>
      </c>
      <c r="D176" s="50">
        <f>VLOOKUP($A176,'Data Vlaue (Cr)'!$C:$FB,143)</f>
        <v>4292</v>
      </c>
      <c r="E176" s="50">
        <f>VLOOKUP($A176,'Data Vlaue (Cr)'!$C:$FB,144)</f>
        <v>1475.39</v>
      </c>
      <c r="F176" s="50">
        <f>VLOOKUP($A176,'Data Vlaue (Cr)'!$C:$FB,146)*100</f>
        <v>190.91</v>
      </c>
      <c r="G176" s="49">
        <f>VLOOKUP($A176,'Data Vlaue (Cr)'!$C:$FB,43)</f>
        <v>599</v>
      </c>
      <c r="H176" s="49">
        <f>VLOOKUP($A176,'Data Vlaue (Cr)'!$C:$FB,44)</f>
        <v>373</v>
      </c>
      <c r="I176" s="49">
        <f>VLOOKUP($A176,'Data Vlaue (Cr)'!$C:$FB,46)*100</f>
        <v>60.440000000000005</v>
      </c>
      <c r="J176" s="51">
        <f>VLOOKUP($A176,'Data Vlaue (Cr)'!$C:$FB,59)</f>
        <v>2652</v>
      </c>
      <c r="K176" s="51">
        <f>VLOOKUP($A176,'Data Vlaue (Cr)'!$C:$FB,60)</f>
        <v>781</v>
      </c>
      <c r="L176" s="51">
        <f>VLOOKUP($A176,'Data Vlaue (Cr)'!$C:$FB,62)*100</f>
        <v>239.57000000000002</v>
      </c>
      <c r="M176" s="51">
        <f>VLOOKUP($A176,'Data Vlaue (Cr)'!$C:$FB,63)</f>
        <v>989</v>
      </c>
      <c r="N176" s="51">
        <f>VLOOKUP($A176,'Data Vlaue (Cr)'!$C:$FB,64)</f>
        <v>365</v>
      </c>
      <c r="O176" s="51">
        <f>VLOOKUP($A176,'Data Vlaue (Cr)'!$C:$FB,66)*100</f>
        <v>170.89000000000001</v>
      </c>
    </row>
    <row r="177" spans="1:15" x14ac:dyDescent="0.25">
      <c r="A177" s="101" t="str">
        <f>'Data Vlaue (Cr)'!C172</f>
        <v>PPLPHARMA</v>
      </c>
      <c r="B177" s="50">
        <f>VLOOKUP($A177,'Data Vlaue (Cr)'!$C:$FB,8)</f>
        <v>142.94999999999999</v>
      </c>
      <c r="C177" s="50">
        <f>VLOOKUP($A177,'Data Vlaue (Cr)'!$C:$FB,11)*100</f>
        <v>-0.57000000000000006</v>
      </c>
      <c r="D177" s="50">
        <f>VLOOKUP($A177,'Data Vlaue (Cr)'!$C:$FB,143)</f>
        <v>122.07</v>
      </c>
      <c r="E177" s="50">
        <f>VLOOKUP($A177,'Data Vlaue (Cr)'!$C:$FB,144)</f>
        <v>144.29</v>
      </c>
      <c r="F177" s="50">
        <f>VLOOKUP($A177,'Data Vlaue (Cr)'!$C:$FB,146)*100</f>
        <v>-15.4</v>
      </c>
      <c r="G177" s="49">
        <f>VLOOKUP($A177,'Data Vlaue (Cr)'!$C:$FB,43)</f>
        <v>39</v>
      </c>
      <c r="H177" s="49">
        <f>VLOOKUP($A177,'Data Vlaue (Cr)'!$C:$FB,44)</f>
        <v>56</v>
      </c>
      <c r="I177" s="49">
        <f>VLOOKUP($A177,'Data Vlaue (Cr)'!$C:$FB,46)*100</f>
        <v>-30.23</v>
      </c>
      <c r="J177" s="51">
        <f>VLOOKUP($A177,'Data Vlaue (Cr)'!$C:$FB,59)</f>
        <v>59</v>
      </c>
      <c r="K177" s="51">
        <f>VLOOKUP($A177,'Data Vlaue (Cr)'!$C:$FB,60)</f>
        <v>62</v>
      </c>
      <c r="L177" s="51">
        <f>VLOOKUP($A177,'Data Vlaue (Cr)'!$C:$FB,62)*100</f>
        <v>-5.12</v>
      </c>
      <c r="M177" s="51">
        <f>VLOOKUP($A177,'Data Vlaue (Cr)'!$C:$FB,63)</f>
        <v>17</v>
      </c>
      <c r="N177" s="51">
        <f>VLOOKUP($A177,'Data Vlaue (Cr)'!$C:$FB,64)</f>
        <v>20</v>
      </c>
      <c r="O177" s="51">
        <f>VLOOKUP($A177,'Data Vlaue (Cr)'!$C:$FB,66)*100</f>
        <v>-16.079999999999998</v>
      </c>
    </row>
    <row r="178" spans="1:15" x14ac:dyDescent="0.25">
      <c r="A178" s="101" t="str">
        <f>'Data Vlaue (Cr)'!C173</f>
        <v>PREMIERENE</v>
      </c>
      <c r="B178" s="50">
        <f>VLOOKUP($A178,'Data Vlaue (Cr)'!$C:$FB,8)</f>
        <v>956.45</v>
      </c>
      <c r="C178" s="50">
        <f>VLOOKUP($A178,'Data Vlaue (Cr)'!$C:$FB,11)*100</f>
        <v>-0.33</v>
      </c>
      <c r="D178" s="50">
        <f>VLOOKUP($A178,'Data Vlaue (Cr)'!$C:$FB,143)</f>
        <v>646</v>
      </c>
      <c r="E178" s="50">
        <f>VLOOKUP($A178,'Data Vlaue (Cr)'!$C:$FB,144)</f>
        <v>910.33</v>
      </c>
      <c r="F178" s="50">
        <f>VLOOKUP($A178,'Data Vlaue (Cr)'!$C:$FB,146)*100</f>
        <v>-29.04</v>
      </c>
      <c r="G178" s="49">
        <f>VLOOKUP($A178,'Data Vlaue (Cr)'!$C:$FB,43)</f>
        <v>185</v>
      </c>
      <c r="H178" s="49">
        <f>VLOOKUP($A178,'Data Vlaue (Cr)'!$C:$FB,44)</f>
        <v>246</v>
      </c>
      <c r="I178" s="49">
        <f>VLOOKUP($A178,'Data Vlaue (Cr)'!$C:$FB,46)*100</f>
        <v>-24.959999999999997</v>
      </c>
      <c r="J178" s="51">
        <f>VLOOKUP($A178,'Data Vlaue (Cr)'!$C:$FB,59)</f>
        <v>325</v>
      </c>
      <c r="K178" s="51">
        <f>VLOOKUP($A178,'Data Vlaue (Cr)'!$C:$FB,60)</f>
        <v>428</v>
      </c>
      <c r="L178" s="51">
        <f>VLOOKUP($A178,'Data Vlaue (Cr)'!$C:$FB,62)*100</f>
        <v>-24.060000000000002</v>
      </c>
      <c r="M178" s="51">
        <f>VLOOKUP($A178,'Data Vlaue (Cr)'!$C:$FB,63)</f>
        <v>116</v>
      </c>
      <c r="N178" s="51">
        <f>VLOOKUP($A178,'Data Vlaue (Cr)'!$C:$FB,64)</f>
        <v>221</v>
      </c>
      <c r="O178" s="51">
        <f>VLOOKUP($A178,'Data Vlaue (Cr)'!$C:$FB,66)*100</f>
        <v>-47.61</v>
      </c>
    </row>
    <row r="179" spans="1:15" x14ac:dyDescent="0.25">
      <c r="A179" s="101" t="str">
        <f>'Data Vlaue (Cr)'!C174</f>
        <v>PRESTIGE</v>
      </c>
      <c r="B179" s="50">
        <f>VLOOKUP($A179,'Data Vlaue (Cr)'!$C:$FB,8)</f>
        <v>1319.4</v>
      </c>
      <c r="C179" s="50">
        <f>VLOOKUP($A179,'Data Vlaue (Cr)'!$C:$FB,11)*100</f>
        <v>-0.11</v>
      </c>
      <c r="D179" s="50">
        <f>VLOOKUP($A179,'Data Vlaue (Cr)'!$C:$FB,143)</f>
        <v>561.64</v>
      </c>
      <c r="E179" s="50">
        <f>VLOOKUP($A179,'Data Vlaue (Cr)'!$C:$FB,144)</f>
        <v>1360.17</v>
      </c>
      <c r="F179" s="50">
        <f>VLOOKUP($A179,'Data Vlaue (Cr)'!$C:$FB,146)*100</f>
        <v>-58.709999999999994</v>
      </c>
      <c r="G179" s="49">
        <f>VLOOKUP($A179,'Data Vlaue (Cr)'!$C:$FB,43)</f>
        <v>117</v>
      </c>
      <c r="H179" s="49">
        <f>VLOOKUP($A179,'Data Vlaue (Cr)'!$C:$FB,44)</f>
        <v>332</v>
      </c>
      <c r="I179" s="49">
        <f>VLOOKUP($A179,'Data Vlaue (Cr)'!$C:$FB,46)*100</f>
        <v>-64.710000000000008</v>
      </c>
      <c r="J179" s="51">
        <f>VLOOKUP($A179,'Data Vlaue (Cr)'!$C:$FB,59)</f>
        <v>272</v>
      </c>
      <c r="K179" s="51">
        <f>VLOOKUP($A179,'Data Vlaue (Cr)'!$C:$FB,60)</f>
        <v>700</v>
      </c>
      <c r="L179" s="51">
        <f>VLOOKUP($A179,'Data Vlaue (Cr)'!$C:$FB,62)*100</f>
        <v>-61.08</v>
      </c>
      <c r="M179" s="51">
        <f>VLOOKUP($A179,'Data Vlaue (Cr)'!$C:$FB,63)</f>
        <v>159</v>
      </c>
      <c r="N179" s="51">
        <f>VLOOKUP($A179,'Data Vlaue (Cr)'!$C:$FB,64)</f>
        <v>297</v>
      </c>
      <c r="O179" s="51">
        <f>VLOOKUP($A179,'Data Vlaue (Cr)'!$C:$FB,66)*100</f>
        <v>-46.61</v>
      </c>
    </row>
    <row r="180" spans="1:15" x14ac:dyDescent="0.25">
      <c r="A180" s="101" t="str">
        <f>'Data Vlaue (Cr)'!C175</f>
        <v>RBLBANK</v>
      </c>
      <c r="B180" s="50">
        <f>VLOOKUP($A180,'Data Vlaue (Cr)'!$C:$FB,8)</f>
        <v>317.7</v>
      </c>
      <c r="C180" s="50">
        <f>VLOOKUP($A180,'Data Vlaue (Cr)'!$C:$FB,11)*100</f>
        <v>-1.6</v>
      </c>
      <c r="D180" s="50">
        <f>VLOOKUP($A180,'Data Vlaue (Cr)'!$C:$FB,143)</f>
        <v>1543.41</v>
      </c>
      <c r="E180" s="50">
        <f>VLOOKUP($A180,'Data Vlaue (Cr)'!$C:$FB,144)</f>
        <v>3177.72</v>
      </c>
      <c r="F180" s="50">
        <f>VLOOKUP($A180,'Data Vlaue (Cr)'!$C:$FB,146)*100</f>
        <v>-51.43</v>
      </c>
      <c r="G180" s="49">
        <f>VLOOKUP($A180,'Data Vlaue (Cr)'!$C:$FB,43)</f>
        <v>315</v>
      </c>
      <c r="H180" s="49">
        <f>VLOOKUP($A180,'Data Vlaue (Cr)'!$C:$FB,44)</f>
        <v>628</v>
      </c>
      <c r="I180" s="49">
        <f>VLOOKUP($A180,'Data Vlaue (Cr)'!$C:$FB,46)*100</f>
        <v>-49.769999999999996</v>
      </c>
      <c r="J180" s="51">
        <f>VLOOKUP($A180,'Data Vlaue (Cr)'!$C:$FB,59)</f>
        <v>688</v>
      </c>
      <c r="K180" s="51">
        <f>VLOOKUP($A180,'Data Vlaue (Cr)'!$C:$FB,60)</f>
        <v>1598</v>
      </c>
      <c r="L180" s="51">
        <f>VLOOKUP($A180,'Data Vlaue (Cr)'!$C:$FB,62)*100</f>
        <v>-56.96</v>
      </c>
      <c r="M180" s="51">
        <f>VLOOKUP($A180,'Data Vlaue (Cr)'!$C:$FB,63)</f>
        <v>514</v>
      </c>
      <c r="N180" s="51">
        <f>VLOOKUP($A180,'Data Vlaue (Cr)'!$C:$FB,64)</f>
        <v>859</v>
      </c>
      <c r="O180" s="51">
        <f>VLOOKUP($A180,'Data Vlaue (Cr)'!$C:$FB,66)*100</f>
        <v>-40.17</v>
      </c>
    </row>
    <row r="181" spans="1:15" x14ac:dyDescent="0.25">
      <c r="A181" s="101" t="str">
        <f>'Data Vlaue (Cr)'!C176</f>
        <v>RECLTD</v>
      </c>
      <c r="B181" s="50">
        <f>VLOOKUP($A181,'Data Vlaue (Cr)'!$C:$FB,8)</f>
        <v>346.8</v>
      </c>
      <c r="C181" s="50">
        <f>VLOOKUP($A181,'Data Vlaue (Cr)'!$C:$FB,11)*100</f>
        <v>1.21</v>
      </c>
      <c r="D181" s="50">
        <f>VLOOKUP($A181,'Data Vlaue (Cr)'!$C:$FB,143)</f>
        <v>1919.17</v>
      </c>
      <c r="E181" s="50">
        <f>VLOOKUP($A181,'Data Vlaue (Cr)'!$C:$FB,144)</f>
        <v>1617.39</v>
      </c>
      <c r="F181" s="50">
        <f>VLOOKUP($A181,'Data Vlaue (Cr)'!$C:$FB,146)*100</f>
        <v>18.66</v>
      </c>
      <c r="G181" s="49">
        <f>VLOOKUP($A181,'Data Vlaue (Cr)'!$C:$FB,43)</f>
        <v>304</v>
      </c>
      <c r="H181" s="49">
        <f>VLOOKUP($A181,'Data Vlaue (Cr)'!$C:$FB,44)</f>
        <v>300</v>
      </c>
      <c r="I181" s="49">
        <f>VLOOKUP($A181,'Data Vlaue (Cr)'!$C:$FB,46)*100</f>
        <v>1.38</v>
      </c>
      <c r="J181" s="51">
        <f>VLOOKUP($A181,'Data Vlaue (Cr)'!$C:$FB,59)</f>
        <v>1045</v>
      </c>
      <c r="K181" s="51">
        <f>VLOOKUP($A181,'Data Vlaue (Cr)'!$C:$FB,60)</f>
        <v>806</v>
      </c>
      <c r="L181" s="51">
        <f>VLOOKUP($A181,'Data Vlaue (Cr)'!$C:$FB,62)*100</f>
        <v>29.599999999999998</v>
      </c>
      <c r="M181" s="51">
        <f>VLOOKUP($A181,'Data Vlaue (Cr)'!$C:$FB,63)</f>
        <v>537</v>
      </c>
      <c r="N181" s="51">
        <f>VLOOKUP($A181,'Data Vlaue (Cr)'!$C:$FB,64)</f>
        <v>508</v>
      </c>
      <c r="O181" s="51">
        <f>VLOOKUP($A181,'Data Vlaue (Cr)'!$C:$FB,66)*100</f>
        <v>5.76</v>
      </c>
    </row>
    <row r="182" spans="1:15" x14ac:dyDescent="0.25">
      <c r="A182" s="101" t="str">
        <f>'Data Vlaue (Cr)'!C177</f>
        <v>RELIANCE</v>
      </c>
      <c r="B182" s="50">
        <f>VLOOKUP($A182,'Data Vlaue (Cr)'!$C:$FB,8)</f>
        <v>1330</v>
      </c>
      <c r="C182" s="50">
        <f>VLOOKUP($A182,'Data Vlaue (Cr)'!$C:$FB,11)*100</f>
        <v>-1.32</v>
      </c>
      <c r="D182" s="50">
        <f>VLOOKUP($A182,'Data Vlaue (Cr)'!$C:$FB,143)</f>
        <v>14520.79</v>
      </c>
      <c r="E182" s="50">
        <f>VLOOKUP($A182,'Data Vlaue (Cr)'!$C:$FB,144)</f>
        <v>29926.94</v>
      </c>
      <c r="F182" s="50">
        <f>VLOOKUP($A182,'Data Vlaue (Cr)'!$C:$FB,146)*100</f>
        <v>-51.480000000000004</v>
      </c>
      <c r="G182" s="49">
        <f>VLOOKUP($A182,'Data Vlaue (Cr)'!$C:$FB,43)</f>
        <v>1463</v>
      </c>
      <c r="H182" s="49">
        <f>VLOOKUP($A182,'Data Vlaue (Cr)'!$C:$FB,44)</f>
        <v>2824</v>
      </c>
      <c r="I182" s="49">
        <f>VLOOKUP($A182,'Data Vlaue (Cr)'!$C:$FB,46)*100</f>
        <v>-48.209999999999994</v>
      </c>
      <c r="J182" s="51">
        <f>VLOOKUP($A182,'Data Vlaue (Cr)'!$C:$FB,59)</f>
        <v>7863</v>
      </c>
      <c r="K182" s="51">
        <f>VLOOKUP($A182,'Data Vlaue (Cr)'!$C:$FB,60)</f>
        <v>18894</v>
      </c>
      <c r="L182" s="51">
        <f>VLOOKUP($A182,'Data Vlaue (Cr)'!$C:$FB,62)*100</f>
        <v>-58.379999999999995</v>
      </c>
      <c r="M182" s="51">
        <f>VLOOKUP($A182,'Data Vlaue (Cr)'!$C:$FB,63)</f>
        <v>4820</v>
      </c>
      <c r="N182" s="51">
        <f>VLOOKUP($A182,'Data Vlaue (Cr)'!$C:$FB,64)</f>
        <v>7254</v>
      </c>
      <c r="O182" s="51">
        <f>VLOOKUP($A182,'Data Vlaue (Cr)'!$C:$FB,66)*100</f>
        <v>-33.550000000000004</v>
      </c>
    </row>
    <row r="183" spans="1:15" x14ac:dyDescent="0.25">
      <c r="A183" s="101" t="str">
        <f>'Data Vlaue (Cr)'!C178</f>
        <v>RVNL</v>
      </c>
      <c r="B183" s="50">
        <f>VLOOKUP($A183,'Data Vlaue (Cr)'!$C:$FB,8)</f>
        <v>272.83</v>
      </c>
      <c r="C183" s="50">
        <f>VLOOKUP($A183,'Data Vlaue (Cr)'!$C:$FB,11)*100</f>
        <v>-0.77</v>
      </c>
      <c r="D183" s="50">
        <f>VLOOKUP($A183,'Data Vlaue (Cr)'!$C:$FB,143)</f>
        <v>758.25</v>
      </c>
      <c r="E183" s="50">
        <f>VLOOKUP($A183,'Data Vlaue (Cr)'!$C:$FB,144)</f>
        <v>1028.99</v>
      </c>
      <c r="F183" s="50">
        <f>VLOOKUP($A183,'Data Vlaue (Cr)'!$C:$FB,146)*100</f>
        <v>-26.31</v>
      </c>
      <c r="G183" s="49">
        <f>VLOOKUP($A183,'Data Vlaue (Cr)'!$C:$FB,43)</f>
        <v>251</v>
      </c>
      <c r="H183" s="49">
        <f>VLOOKUP($A183,'Data Vlaue (Cr)'!$C:$FB,44)</f>
        <v>300</v>
      </c>
      <c r="I183" s="49">
        <f>VLOOKUP($A183,'Data Vlaue (Cr)'!$C:$FB,46)*100</f>
        <v>-16.54</v>
      </c>
      <c r="J183" s="51">
        <f>VLOOKUP($A183,'Data Vlaue (Cr)'!$C:$FB,59)</f>
        <v>366</v>
      </c>
      <c r="K183" s="51">
        <f>VLOOKUP($A183,'Data Vlaue (Cr)'!$C:$FB,60)</f>
        <v>499</v>
      </c>
      <c r="L183" s="51">
        <f>VLOOKUP($A183,'Data Vlaue (Cr)'!$C:$FB,62)*100</f>
        <v>-26.66</v>
      </c>
      <c r="M183" s="51">
        <f>VLOOKUP($A183,'Data Vlaue (Cr)'!$C:$FB,63)</f>
        <v>114</v>
      </c>
      <c r="N183" s="51">
        <f>VLOOKUP($A183,'Data Vlaue (Cr)'!$C:$FB,64)</f>
        <v>191</v>
      </c>
      <c r="O183" s="51">
        <f>VLOOKUP($A183,'Data Vlaue (Cr)'!$C:$FB,66)*100</f>
        <v>-40.11</v>
      </c>
    </row>
    <row r="184" spans="1:15" x14ac:dyDescent="0.25">
      <c r="A184" s="101" t="str">
        <f>'Data Vlaue (Cr)'!C179</f>
        <v>SAIL</v>
      </c>
      <c r="B184" s="50">
        <f>VLOOKUP($A184,'Data Vlaue (Cr)'!$C:$FB,8)</f>
        <v>163.35</v>
      </c>
      <c r="C184" s="50">
        <f>VLOOKUP($A184,'Data Vlaue (Cr)'!$C:$FB,11)*100</f>
        <v>-0.64</v>
      </c>
      <c r="D184" s="50">
        <f>VLOOKUP($A184,'Data Vlaue (Cr)'!$C:$FB,143)</f>
        <v>119.11</v>
      </c>
      <c r="E184" s="50">
        <f>VLOOKUP($A184,'Data Vlaue (Cr)'!$C:$FB,144)</f>
        <v>1350.2</v>
      </c>
      <c r="F184" s="50">
        <f>VLOOKUP($A184,'Data Vlaue (Cr)'!$C:$FB,146)*100</f>
        <v>-91.18</v>
      </c>
      <c r="G184" s="49">
        <f>VLOOKUP($A184,'Data Vlaue (Cr)'!$C:$FB,43)</f>
        <v>81</v>
      </c>
      <c r="H184" s="49">
        <f>VLOOKUP($A184,'Data Vlaue (Cr)'!$C:$FB,44)</f>
        <v>530</v>
      </c>
      <c r="I184" s="49">
        <f>VLOOKUP($A184,'Data Vlaue (Cr)'!$C:$FB,46)*100</f>
        <v>-84.81</v>
      </c>
      <c r="J184" s="51">
        <f>VLOOKUP($A184,'Data Vlaue (Cr)'!$C:$FB,59)</f>
        <v>28</v>
      </c>
      <c r="K184" s="51">
        <f>VLOOKUP($A184,'Data Vlaue (Cr)'!$C:$FB,60)</f>
        <v>556</v>
      </c>
      <c r="L184" s="51">
        <f>VLOOKUP($A184,'Data Vlaue (Cr)'!$C:$FB,62)*100</f>
        <v>-94.98</v>
      </c>
      <c r="M184" s="51">
        <f>VLOOKUP($A184,'Data Vlaue (Cr)'!$C:$FB,63)</f>
        <v>10</v>
      </c>
      <c r="N184" s="51">
        <f>VLOOKUP($A184,'Data Vlaue (Cr)'!$C:$FB,64)</f>
        <v>251</v>
      </c>
      <c r="O184" s="51">
        <f>VLOOKUP($A184,'Data Vlaue (Cr)'!$C:$FB,66)*100</f>
        <v>-96.16</v>
      </c>
    </row>
    <row r="185" spans="1:15" x14ac:dyDescent="0.25">
      <c r="A185" s="101" t="str">
        <f>'Data Vlaue (Cr)'!C180</f>
        <v>SAMMAANCAP</v>
      </c>
      <c r="B185" s="50">
        <f>VLOOKUP($A185,'Data Vlaue (Cr)'!$C:$FB,8)</f>
        <v>153.55000000000001</v>
      </c>
      <c r="C185" s="50">
        <f>VLOOKUP($A185,'Data Vlaue (Cr)'!$C:$FB,11)*100</f>
        <v>0.55999999999999994</v>
      </c>
      <c r="D185" s="50">
        <f>VLOOKUP($A185,'Data Vlaue (Cr)'!$C:$FB,143)</f>
        <v>36.94</v>
      </c>
      <c r="E185" s="50">
        <f>VLOOKUP($A185,'Data Vlaue (Cr)'!$C:$FB,144)</f>
        <v>248.62</v>
      </c>
      <c r="F185" s="50">
        <f>VLOOKUP($A185,'Data Vlaue (Cr)'!$C:$FB,146)*100</f>
        <v>-85.14</v>
      </c>
      <c r="G185" s="49">
        <f>VLOOKUP($A185,'Data Vlaue (Cr)'!$C:$FB,43)</f>
        <v>19</v>
      </c>
      <c r="H185" s="49">
        <f>VLOOKUP($A185,'Data Vlaue (Cr)'!$C:$FB,44)</f>
        <v>129</v>
      </c>
      <c r="I185" s="49">
        <f>VLOOKUP($A185,'Data Vlaue (Cr)'!$C:$FB,46)*100</f>
        <v>-85.61999999999999</v>
      </c>
      <c r="J185" s="51">
        <f>VLOOKUP($A185,'Data Vlaue (Cr)'!$C:$FB,59)</f>
        <v>11</v>
      </c>
      <c r="K185" s="51">
        <f>VLOOKUP($A185,'Data Vlaue (Cr)'!$C:$FB,60)</f>
        <v>67</v>
      </c>
      <c r="L185" s="51">
        <f>VLOOKUP($A185,'Data Vlaue (Cr)'!$C:$FB,62)*100</f>
        <v>-83.07</v>
      </c>
      <c r="M185" s="51">
        <f>VLOOKUP($A185,'Data Vlaue (Cr)'!$C:$FB,63)</f>
        <v>7</v>
      </c>
      <c r="N185" s="51">
        <f>VLOOKUP($A185,'Data Vlaue (Cr)'!$C:$FB,64)</f>
        <v>58</v>
      </c>
      <c r="O185" s="51">
        <f>VLOOKUP($A185,'Data Vlaue (Cr)'!$C:$FB,66)*100</f>
        <v>-87.8</v>
      </c>
    </row>
    <row r="186" spans="1:15" x14ac:dyDescent="0.25">
      <c r="A186" s="101" t="str">
        <f>'Data Vlaue (Cr)'!C181</f>
        <v>SBICARD</v>
      </c>
      <c r="B186" s="50">
        <f>VLOOKUP($A186,'Data Vlaue (Cr)'!$C:$FB,8)</f>
        <v>668.9</v>
      </c>
      <c r="C186" s="50">
        <f>VLOOKUP($A186,'Data Vlaue (Cr)'!$C:$FB,11)*100</f>
        <v>-0.35000000000000003</v>
      </c>
      <c r="D186" s="50">
        <f>VLOOKUP($A186,'Data Vlaue (Cr)'!$C:$FB,143)</f>
        <v>607.52</v>
      </c>
      <c r="E186" s="50">
        <f>VLOOKUP($A186,'Data Vlaue (Cr)'!$C:$FB,144)</f>
        <v>1262.3599999999999</v>
      </c>
      <c r="F186" s="50">
        <f>VLOOKUP($A186,'Data Vlaue (Cr)'!$C:$FB,146)*100</f>
        <v>-51.870000000000005</v>
      </c>
      <c r="G186" s="49">
        <f>VLOOKUP($A186,'Data Vlaue (Cr)'!$C:$FB,43)</f>
        <v>208</v>
      </c>
      <c r="H186" s="49">
        <f>VLOOKUP($A186,'Data Vlaue (Cr)'!$C:$FB,44)</f>
        <v>384</v>
      </c>
      <c r="I186" s="49">
        <f>VLOOKUP($A186,'Data Vlaue (Cr)'!$C:$FB,46)*100</f>
        <v>-45.69</v>
      </c>
      <c r="J186" s="51">
        <f>VLOOKUP($A186,'Data Vlaue (Cr)'!$C:$FB,59)</f>
        <v>238</v>
      </c>
      <c r="K186" s="51">
        <f>VLOOKUP($A186,'Data Vlaue (Cr)'!$C:$FB,60)</f>
        <v>582</v>
      </c>
      <c r="L186" s="51">
        <f>VLOOKUP($A186,'Data Vlaue (Cr)'!$C:$FB,62)*100</f>
        <v>-59.050000000000004</v>
      </c>
      <c r="M186" s="51">
        <f>VLOOKUP($A186,'Data Vlaue (Cr)'!$C:$FB,63)</f>
        <v>148</v>
      </c>
      <c r="N186" s="51">
        <f>VLOOKUP($A186,'Data Vlaue (Cr)'!$C:$FB,64)</f>
        <v>264</v>
      </c>
      <c r="O186" s="51">
        <f>VLOOKUP($A186,'Data Vlaue (Cr)'!$C:$FB,66)*100</f>
        <v>-44.21</v>
      </c>
    </row>
    <row r="187" spans="1:15" x14ac:dyDescent="0.25">
      <c r="A187" s="101" t="str">
        <f>'Data Vlaue (Cr)'!C182</f>
        <v>SBILIFE</v>
      </c>
      <c r="B187" s="50">
        <f>VLOOKUP($A187,'Data Vlaue (Cr)'!$C:$FB,8)</f>
        <v>1904</v>
      </c>
      <c r="C187" s="50">
        <f>VLOOKUP($A187,'Data Vlaue (Cr)'!$C:$FB,11)*100</f>
        <v>-0.19</v>
      </c>
      <c r="D187" s="50">
        <f>VLOOKUP($A187,'Data Vlaue (Cr)'!$C:$FB,143)</f>
        <v>485.74</v>
      </c>
      <c r="E187" s="50">
        <f>VLOOKUP($A187,'Data Vlaue (Cr)'!$C:$FB,144)</f>
        <v>790.62</v>
      </c>
      <c r="F187" s="50">
        <f>VLOOKUP($A187,'Data Vlaue (Cr)'!$C:$FB,146)*100</f>
        <v>-38.56</v>
      </c>
      <c r="G187" s="49">
        <f>VLOOKUP($A187,'Data Vlaue (Cr)'!$C:$FB,43)</f>
        <v>157</v>
      </c>
      <c r="H187" s="49">
        <f>VLOOKUP($A187,'Data Vlaue (Cr)'!$C:$FB,44)</f>
        <v>278</v>
      </c>
      <c r="I187" s="49">
        <f>VLOOKUP($A187,'Data Vlaue (Cr)'!$C:$FB,46)*100</f>
        <v>-43.49</v>
      </c>
      <c r="J187" s="51">
        <f>VLOOKUP($A187,'Data Vlaue (Cr)'!$C:$FB,59)</f>
        <v>176</v>
      </c>
      <c r="K187" s="51">
        <f>VLOOKUP($A187,'Data Vlaue (Cr)'!$C:$FB,60)</f>
        <v>256</v>
      </c>
      <c r="L187" s="51">
        <f>VLOOKUP($A187,'Data Vlaue (Cr)'!$C:$FB,62)*100</f>
        <v>-31.269999999999996</v>
      </c>
      <c r="M187" s="51">
        <f>VLOOKUP($A187,'Data Vlaue (Cr)'!$C:$FB,63)</f>
        <v>147</v>
      </c>
      <c r="N187" s="51">
        <f>VLOOKUP($A187,'Data Vlaue (Cr)'!$C:$FB,64)</f>
        <v>260</v>
      </c>
      <c r="O187" s="51">
        <f>VLOOKUP($A187,'Data Vlaue (Cr)'!$C:$FB,66)*100</f>
        <v>-43.45</v>
      </c>
    </row>
    <row r="188" spans="1:15" x14ac:dyDescent="0.25">
      <c r="A188" s="101" t="str">
        <f>'Data Vlaue (Cr)'!C183</f>
        <v>SBIN</v>
      </c>
      <c r="B188" s="50">
        <f>VLOOKUP($A188,'Data Vlaue (Cr)'!$C:$FB,8)</f>
        <v>1040.95</v>
      </c>
      <c r="C188" s="50">
        <f>VLOOKUP($A188,'Data Vlaue (Cr)'!$C:$FB,11)*100</f>
        <v>-1.9300000000000002</v>
      </c>
      <c r="D188" s="50">
        <f>VLOOKUP($A188,'Data Vlaue (Cr)'!$C:$FB,143)</f>
        <v>11589.78</v>
      </c>
      <c r="E188" s="50">
        <f>VLOOKUP($A188,'Data Vlaue (Cr)'!$C:$FB,144)</f>
        <v>17515.53</v>
      </c>
      <c r="F188" s="50">
        <f>VLOOKUP($A188,'Data Vlaue (Cr)'!$C:$FB,146)*100</f>
        <v>-33.83</v>
      </c>
      <c r="G188" s="49">
        <f>VLOOKUP($A188,'Data Vlaue (Cr)'!$C:$FB,43)</f>
        <v>1351</v>
      </c>
      <c r="H188" s="49">
        <f>VLOOKUP($A188,'Data Vlaue (Cr)'!$C:$FB,44)</f>
        <v>2338</v>
      </c>
      <c r="I188" s="49">
        <f>VLOOKUP($A188,'Data Vlaue (Cr)'!$C:$FB,46)*100</f>
        <v>-42.230000000000004</v>
      </c>
      <c r="J188" s="51">
        <f>VLOOKUP($A188,'Data Vlaue (Cr)'!$C:$FB,59)</f>
        <v>5856</v>
      </c>
      <c r="K188" s="51">
        <f>VLOOKUP($A188,'Data Vlaue (Cr)'!$C:$FB,60)</f>
        <v>9201</v>
      </c>
      <c r="L188" s="51">
        <f>VLOOKUP($A188,'Data Vlaue (Cr)'!$C:$FB,62)*100</f>
        <v>-36.36</v>
      </c>
      <c r="M188" s="51">
        <f>VLOOKUP($A188,'Data Vlaue (Cr)'!$C:$FB,63)</f>
        <v>4018</v>
      </c>
      <c r="N188" s="51">
        <f>VLOOKUP($A188,'Data Vlaue (Cr)'!$C:$FB,64)</f>
        <v>5254</v>
      </c>
      <c r="O188" s="51">
        <f>VLOOKUP($A188,'Data Vlaue (Cr)'!$C:$FB,66)*100</f>
        <v>-23.53</v>
      </c>
    </row>
    <row r="189" spans="1:15" x14ac:dyDescent="0.25">
      <c r="A189" s="101" t="str">
        <f>'Data Vlaue (Cr)'!C184</f>
        <v>SHREECEM</v>
      </c>
      <c r="B189" s="50">
        <f>VLOOKUP($A189,'Data Vlaue (Cr)'!$C:$FB,8)</f>
        <v>23990</v>
      </c>
      <c r="C189" s="50">
        <f>VLOOKUP($A189,'Data Vlaue (Cr)'!$C:$FB,11)*100</f>
        <v>-1.52</v>
      </c>
      <c r="D189" s="50">
        <f>VLOOKUP($A189,'Data Vlaue (Cr)'!$C:$FB,143)</f>
        <v>312.89999999999998</v>
      </c>
      <c r="E189" s="50">
        <f>VLOOKUP($A189,'Data Vlaue (Cr)'!$C:$FB,144)</f>
        <v>497.2</v>
      </c>
      <c r="F189" s="50">
        <f>VLOOKUP($A189,'Data Vlaue (Cr)'!$C:$FB,146)*100</f>
        <v>-37.07</v>
      </c>
      <c r="G189" s="49">
        <f>VLOOKUP($A189,'Data Vlaue (Cr)'!$C:$FB,43)</f>
        <v>144</v>
      </c>
      <c r="H189" s="49">
        <f>VLOOKUP($A189,'Data Vlaue (Cr)'!$C:$FB,44)</f>
        <v>146</v>
      </c>
      <c r="I189" s="49">
        <f>VLOOKUP($A189,'Data Vlaue (Cr)'!$C:$FB,46)*100</f>
        <v>-1.6</v>
      </c>
      <c r="J189" s="51">
        <f>VLOOKUP($A189,'Data Vlaue (Cr)'!$C:$FB,59)</f>
        <v>125</v>
      </c>
      <c r="K189" s="51">
        <f>VLOOKUP($A189,'Data Vlaue (Cr)'!$C:$FB,60)</f>
        <v>239</v>
      </c>
      <c r="L189" s="51">
        <f>VLOOKUP($A189,'Data Vlaue (Cr)'!$C:$FB,62)*100</f>
        <v>-47.64</v>
      </c>
      <c r="M189" s="51">
        <f>VLOOKUP($A189,'Data Vlaue (Cr)'!$C:$FB,63)</f>
        <v>38</v>
      </c>
      <c r="N189" s="51">
        <f>VLOOKUP($A189,'Data Vlaue (Cr)'!$C:$FB,64)</f>
        <v>95</v>
      </c>
      <c r="O189" s="51">
        <f>VLOOKUP($A189,'Data Vlaue (Cr)'!$C:$FB,66)*100</f>
        <v>-60.140000000000008</v>
      </c>
    </row>
    <row r="190" spans="1:15" x14ac:dyDescent="0.25">
      <c r="A190" s="101" t="str">
        <f>'Data Vlaue (Cr)'!C185</f>
        <v>SHRIRAMFIN</v>
      </c>
      <c r="B190" s="50">
        <f>VLOOKUP($A190,'Data Vlaue (Cr)'!$C:$FB,8)</f>
        <v>996.3</v>
      </c>
      <c r="C190" s="50">
        <f>VLOOKUP($A190,'Data Vlaue (Cr)'!$C:$FB,11)*100</f>
        <v>-2.63</v>
      </c>
      <c r="D190" s="50">
        <f>VLOOKUP($A190,'Data Vlaue (Cr)'!$C:$FB,143)</f>
        <v>3533.65</v>
      </c>
      <c r="E190" s="50">
        <f>VLOOKUP($A190,'Data Vlaue (Cr)'!$C:$FB,144)</f>
        <v>9071.98</v>
      </c>
      <c r="F190" s="50">
        <f>VLOOKUP($A190,'Data Vlaue (Cr)'!$C:$FB,146)*100</f>
        <v>-61.050000000000004</v>
      </c>
      <c r="G190" s="49">
        <f>VLOOKUP($A190,'Data Vlaue (Cr)'!$C:$FB,43)</f>
        <v>659</v>
      </c>
      <c r="H190" s="49">
        <f>VLOOKUP($A190,'Data Vlaue (Cr)'!$C:$FB,44)</f>
        <v>1673</v>
      </c>
      <c r="I190" s="49">
        <f>VLOOKUP($A190,'Data Vlaue (Cr)'!$C:$FB,46)*100</f>
        <v>-60.629999999999995</v>
      </c>
      <c r="J190" s="51">
        <f>VLOOKUP($A190,'Data Vlaue (Cr)'!$C:$FB,59)</f>
        <v>1592</v>
      </c>
      <c r="K190" s="51">
        <f>VLOOKUP($A190,'Data Vlaue (Cr)'!$C:$FB,60)</f>
        <v>4812</v>
      </c>
      <c r="L190" s="51">
        <f>VLOOKUP($A190,'Data Vlaue (Cr)'!$C:$FB,62)*100</f>
        <v>-66.930000000000007</v>
      </c>
      <c r="M190" s="51">
        <f>VLOOKUP($A190,'Data Vlaue (Cr)'!$C:$FB,63)</f>
        <v>1167</v>
      </c>
      <c r="N190" s="51">
        <f>VLOOKUP($A190,'Data Vlaue (Cr)'!$C:$FB,64)</f>
        <v>2217</v>
      </c>
      <c r="O190" s="51">
        <f>VLOOKUP($A190,'Data Vlaue (Cr)'!$C:$FB,66)*100</f>
        <v>-47.370000000000005</v>
      </c>
    </row>
    <row r="191" spans="1:15" x14ac:dyDescent="0.25">
      <c r="A191" s="101" t="str">
        <f>'Data Vlaue (Cr)'!C186</f>
        <v>SIEMENS</v>
      </c>
      <c r="B191" s="50">
        <f>VLOOKUP($A191,'Data Vlaue (Cr)'!$C:$FB,8)</f>
        <v>3222.5</v>
      </c>
      <c r="C191" s="50">
        <f>VLOOKUP($A191,'Data Vlaue (Cr)'!$C:$FB,11)*100</f>
        <v>-0.11</v>
      </c>
      <c r="D191" s="50">
        <f>VLOOKUP($A191,'Data Vlaue (Cr)'!$C:$FB,143)</f>
        <v>740.72</v>
      </c>
      <c r="E191" s="50">
        <f>VLOOKUP($A191,'Data Vlaue (Cr)'!$C:$FB,144)</f>
        <v>1248.96</v>
      </c>
      <c r="F191" s="50">
        <f>VLOOKUP($A191,'Data Vlaue (Cr)'!$C:$FB,146)*100</f>
        <v>-40.69</v>
      </c>
      <c r="G191" s="49">
        <f>VLOOKUP($A191,'Data Vlaue (Cr)'!$C:$FB,43)</f>
        <v>144</v>
      </c>
      <c r="H191" s="49">
        <f>VLOOKUP($A191,'Data Vlaue (Cr)'!$C:$FB,44)</f>
        <v>218</v>
      </c>
      <c r="I191" s="49">
        <f>VLOOKUP($A191,'Data Vlaue (Cr)'!$C:$FB,46)*100</f>
        <v>-33.989999999999995</v>
      </c>
      <c r="J191" s="51">
        <f>VLOOKUP($A191,'Data Vlaue (Cr)'!$C:$FB,59)</f>
        <v>393</v>
      </c>
      <c r="K191" s="51">
        <f>VLOOKUP($A191,'Data Vlaue (Cr)'!$C:$FB,60)</f>
        <v>764</v>
      </c>
      <c r="L191" s="51">
        <f>VLOOKUP($A191,'Data Vlaue (Cr)'!$C:$FB,62)*100</f>
        <v>-48.54</v>
      </c>
      <c r="M191" s="51">
        <f>VLOOKUP($A191,'Data Vlaue (Cr)'!$C:$FB,63)</f>
        <v>183</v>
      </c>
      <c r="N191" s="51">
        <f>VLOOKUP($A191,'Data Vlaue (Cr)'!$C:$FB,64)</f>
        <v>254</v>
      </c>
      <c r="O191" s="51">
        <f>VLOOKUP($A191,'Data Vlaue (Cr)'!$C:$FB,66)*100</f>
        <v>-27.93</v>
      </c>
    </row>
    <row r="192" spans="1:15" x14ac:dyDescent="0.25">
      <c r="A192" s="101" t="str">
        <f>'Data Vlaue (Cr)'!C187</f>
        <v>SOLARINDS</v>
      </c>
      <c r="B192" s="50">
        <f>VLOOKUP($A192,'Data Vlaue (Cr)'!$C:$FB,8)</f>
        <v>13928</v>
      </c>
      <c r="C192" s="50">
        <f>VLOOKUP($A192,'Data Vlaue (Cr)'!$C:$FB,11)*100</f>
        <v>1.95</v>
      </c>
      <c r="D192" s="50">
        <f>VLOOKUP($A192,'Data Vlaue (Cr)'!$C:$FB,143)</f>
        <v>1188.3</v>
      </c>
      <c r="E192" s="50">
        <f>VLOOKUP($A192,'Data Vlaue (Cr)'!$C:$FB,144)</f>
        <v>641.53</v>
      </c>
      <c r="F192" s="50">
        <f>VLOOKUP($A192,'Data Vlaue (Cr)'!$C:$FB,146)*100</f>
        <v>85.22999999999999</v>
      </c>
      <c r="G192" s="49">
        <f>VLOOKUP($A192,'Data Vlaue (Cr)'!$C:$FB,43)</f>
        <v>215</v>
      </c>
      <c r="H192" s="49">
        <f>VLOOKUP($A192,'Data Vlaue (Cr)'!$C:$FB,44)</f>
        <v>232</v>
      </c>
      <c r="I192" s="49">
        <f>VLOOKUP($A192,'Data Vlaue (Cr)'!$C:$FB,46)*100</f>
        <v>-7.62</v>
      </c>
      <c r="J192" s="51">
        <f>VLOOKUP($A192,'Data Vlaue (Cr)'!$C:$FB,59)</f>
        <v>698</v>
      </c>
      <c r="K192" s="51">
        <f>VLOOKUP($A192,'Data Vlaue (Cr)'!$C:$FB,60)</f>
        <v>285</v>
      </c>
      <c r="L192" s="51">
        <f>VLOOKUP($A192,'Data Vlaue (Cr)'!$C:$FB,62)*100</f>
        <v>145.23999999999998</v>
      </c>
      <c r="M192" s="51">
        <f>VLOOKUP($A192,'Data Vlaue (Cr)'!$C:$FB,63)</f>
        <v>239</v>
      </c>
      <c r="N192" s="51">
        <f>VLOOKUP($A192,'Data Vlaue (Cr)'!$C:$FB,64)</f>
        <v>127</v>
      </c>
      <c r="O192" s="51">
        <f>VLOOKUP($A192,'Data Vlaue (Cr)'!$C:$FB,66)*100</f>
        <v>87.53</v>
      </c>
    </row>
    <row r="193" spans="1:15" x14ac:dyDescent="0.25">
      <c r="A193" s="101" t="str">
        <f>'Data Vlaue (Cr)'!C188</f>
        <v>SONACOMS</v>
      </c>
      <c r="B193" s="50">
        <f>VLOOKUP($A193,'Data Vlaue (Cr)'!$C:$FB,8)</f>
        <v>523.04999999999995</v>
      </c>
      <c r="C193" s="50">
        <f>VLOOKUP($A193,'Data Vlaue (Cr)'!$C:$FB,11)*100</f>
        <v>-2</v>
      </c>
      <c r="D193" s="50">
        <f>VLOOKUP($A193,'Data Vlaue (Cr)'!$C:$FB,143)</f>
        <v>398.37</v>
      </c>
      <c r="E193" s="50">
        <f>VLOOKUP($A193,'Data Vlaue (Cr)'!$C:$FB,144)</f>
        <v>678.47</v>
      </c>
      <c r="F193" s="50">
        <f>VLOOKUP($A193,'Data Vlaue (Cr)'!$C:$FB,146)*100</f>
        <v>-41.28</v>
      </c>
      <c r="G193" s="49">
        <f>VLOOKUP($A193,'Data Vlaue (Cr)'!$C:$FB,43)</f>
        <v>143</v>
      </c>
      <c r="H193" s="49">
        <f>VLOOKUP($A193,'Data Vlaue (Cr)'!$C:$FB,44)</f>
        <v>161</v>
      </c>
      <c r="I193" s="49">
        <f>VLOOKUP($A193,'Data Vlaue (Cr)'!$C:$FB,46)*100</f>
        <v>-11.07</v>
      </c>
      <c r="J193" s="51">
        <f>VLOOKUP($A193,'Data Vlaue (Cr)'!$C:$FB,59)</f>
        <v>164</v>
      </c>
      <c r="K193" s="51">
        <f>VLOOKUP($A193,'Data Vlaue (Cr)'!$C:$FB,60)</f>
        <v>341</v>
      </c>
      <c r="L193" s="51">
        <f>VLOOKUP($A193,'Data Vlaue (Cr)'!$C:$FB,62)*100</f>
        <v>-51.81</v>
      </c>
      <c r="M193" s="51">
        <f>VLOOKUP($A193,'Data Vlaue (Cr)'!$C:$FB,63)</f>
        <v>75</v>
      </c>
      <c r="N193" s="51">
        <f>VLOOKUP($A193,'Data Vlaue (Cr)'!$C:$FB,64)</f>
        <v>137</v>
      </c>
      <c r="O193" s="51">
        <f>VLOOKUP($A193,'Data Vlaue (Cr)'!$C:$FB,66)*100</f>
        <v>-45.51</v>
      </c>
    </row>
    <row r="194" spans="1:15" x14ac:dyDescent="0.25">
      <c r="A194" s="101" t="str">
        <f>'Data Vlaue (Cr)'!C189</f>
        <v>SRF</v>
      </c>
      <c r="B194" s="50">
        <f>VLOOKUP($A194,'Data Vlaue (Cr)'!$C:$FB,8)</f>
        <v>2399.8000000000002</v>
      </c>
      <c r="C194" s="50">
        <f>VLOOKUP($A194,'Data Vlaue (Cr)'!$C:$FB,11)*100</f>
        <v>-1.4500000000000002</v>
      </c>
      <c r="D194" s="50">
        <f>VLOOKUP($A194,'Data Vlaue (Cr)'!$C:$FB,143)</f>
        <v>846.18</v>
      </c>
      <c r="E194" s="50">
        <f>VLOOKUP($A194,'Data Vlaue (Cr)'!$C:$FB,144)</f>
        <v>1283.31</v>
      </c>
      <c r="F194" s="50">
        <f>VLOOKUP($A194,'Data Vlaue (Cr)'!$C:$FB,146)*100</f>
        <v>-34.06</v>
      </c>
      <c r="G194" s="49">
        <f>VLOOKUP($A194,'Data Vlaue (Cr)'!$C:$FB,43)</f>
        <v>227</v>
      </c>
      <c r="H194" s="49">
        <f>VLOOKUP($A194,'Data Vlaue (Cr)'!$C:$FB,44)</f>
        <v>266</v>
      </c>
      <c r="I194" s="49">
        <f>VLOOKUP($A194,'Data Vlaue (Cr)'!$C:$FB,46)*100</f>
        <v>-14.62</v>
      </c>
      <c r="J194" s="51">
        <f>VLOOKUP($A194,'Data Vlaue (Cr)'!$C:$FB,59)</f>
        <v>413</v>
      </c>
      <c r="K194" s="51">
        <f>VLOOKUP($A194,'Data Vlaue (Cr)'!$C:$FB,60)</f>
        <v>681</v>
      </c>
      <c r="L194" s="51">
        <f>VLOOKUP($A194,'Data Vlaue (Cr)'!$C:$FB,62)*100</f>
        <v>-39.32</v>
      </c>
      <c r="M194" s="51">
        <f>VLOOKUP($A194,'Data Vlaue (Cr)'!$C:$FB,63)</f>
        <v>175</v>
      </c>
      <c r="N194" s="51">
        <f>VLOOKUP($A194,'Data Vlaue (Cr)'!$C:$FB,64)</f>
        <v>255</v>
      </c>
      <c r="O194" s="51">
        <f>VLOOKUP($A194,'Data Vlaue (Cr)'!$C:$FB,66)*100</f>
        <v>-31.490000000000002</v>
      </c>
    </row>
    <row r="195" spans="1:15" x14ac:dyDescent="0.25">
      <c r="A195" s="101" t="str">
        <f>'Data Vlaue (Cr)'!C190</f>
        <v>SUNPHARMA</v>
      </c>
      <c r="B195" s="50">
        <f>VLOOKUP($A195,'Data Vlaue (Cr)'!$C:$FB,8)</f>
        <v>1717.1</v>
      </c>
      <c r="C195" s="50">
        <f>VLOOKUP($A195,'Data Vlaue (Cr)'!$C:$FB,11)*100</f>
        <v>0.15</v>
      </c>
      <c r="D195" s="50">
        <f>VLOOKUP($A195,'Data Vlaue (Cr)'!$C:$FB,143)</f>
        <v>1978.16</v>
      </c>
      <c r="E195" s="50">
        <f>VLOOKUP($A195,'Data Vlaue (Cr)'!$C:$FB,144)</f>
        <v>3903.09</v>
      </c>
      <c r="F195" s="50">
        <f>VLOOKUP($A195,'Data Vlaue (Cr)'!$C:$FB,146)*100</f>
        <v>-49.32</v>
      </c>
      <c r="G195" s="49">
        <f>VLOOKUP($A195,'Data Vlaue (Cr)'!$C:$FB,43)</f>
        <v>284</v>
      </c>
      <c r="H195" s="49">
        <f>VLOOKUP($A195,'Data Vlaue (Cr)'!$C:$FB,44)</f>
        <v>514</v>
      </c>
      <c r="I195" s="49">
        <f>VLOOKUP($A195,'Data Vlaue (Cr)'!$C:$FB,46)*100</f>
        <v>-44.79</v>
      </c>
      <c r="J195" s="51">
        <f>VLOOKUP($A195,'Data Vlaue (Cr)'!$C:$FB,59)</f>
        <v>1025</v>
      </c>
      <c r="K195" s="51">
        <f>VLOOKUP($A195,'Data Vlaue (Cr)'!$C:$FB,60)</f>
        <v>2006</v>
      </c>
      <c r="L195" s="51">
        <f>VLOOKUP($A195,'Data Vlaue (Cr)'!$C:$FB,62)*100</f>
        <v>-48.9</v>
      </c>
      <c r="M195" s="51">
        <f>VLOOKUP($A195,'Data Vlaue (Cr)'!$C:$FB,63)</f>
        <v>639</v>
      </c>
      <c r="N195" s="51">
        <f>VLOOKUP($A195,'Data Vlaue (Cr)'!$C:$FB,64)</f>
        <v>1342</v>
      </c>
      <c r="O195" s="51">
        <f>VLOOKUP($A195,'Data Vlaue (Cr)'!$C:$FB,66)*100</f>
        <v>-52.38</v>
      </c>
    </row>
    <row r="196" spans="1:15" x14ac:dyDescent="0.25">
      <c r="A196" s="101" t="str">
        <f>'Data Vlaue (Cr)'!C191</f>
        <v>SUPREMEIND</v>
      </c>
      <c r="B196" s="50">
        <f>VLOOKUP($A196,'Data Vlaue (Cr)'!$C:$FB,8)</f>
        <v>3771.9</v>
      </c>
      <c r="C196" s="50">
        <f>VLOOKUP($A196,'Data Vlaue (Cr)'!$C:$FB,11)*100</f>
        <v>-0.42</v>
      </c>
      <c r="D196" s="50">
        <f>VLOOKUP($A196,'Data Vlaue (Cr)'!$C:$FB,143)</f>
        <v>412.76</v>
      </c>
      <c r="E196" s="50">
        <f>VLOOKUP($A196,'Data Vlaue (Cr)'!$C:$FB,144)</f>
        <v>525.33000000000004</v>
      </c>
      <c r="F196" s="50">
        <f>VLOOKUP($A196,'Data Vlaue (Cr)'!$C:$FB,146)*100</f>
        <v>-21.43</v>
      </c>
      <c r="G196" s="49">
        <f>VLOOKUP($A196,'Data Vlaue (Cr)'!$C:$FB,43)</f>
        <v>130</v>
      </c>
      <c r="H196" s="49">
        <f>VLOOKUP($A196,'Data Vlaue (Cr)'!$C:$FB,44)</f>
        <v>149</v>
      </c>
      <c r="I196" s="49">
        <f>VLOOKUP($A196,'Data Vlaue (Cr)'!$C:$FB,46)*100</f>
        <v>-12.78</v>
      </c>
      <c r="J196" s="51">
        <f>VLOOKUP($A196,'Data Vlaue (Cr)'!$C:$FB,59)</f>
        <v>187</v>
      </c>
      <c r="K196" s="51">
        <f>VLOOKUP($A196,'Data Vlaue (Cr)'!$C:$FB,60)</f>
        <v>197</v>
      </c>
      <c r="L196" s="51">
        <f>VLOOKUP($A196,'Data Vlaue (Cr)'!$C:$FB,62)*100</f>
        <v>-5.0599999999999996</v>
      </c>
      <c r="M196" s="51">
        <f>VLOOKUP($A196,'Data Vlaue (Cr)'!$C:$FB,63)</f>
        <v>82</v>
      </c>
      <c r="N196" s="51">
        <f>VLOOKUP($A196,'Data Vlaue (Cr)'!$C:$FB,64)</f>
        <v>165</v>
      </c>
      <c r="O196" s="51">
        <f>VLOOKUP($A196,'Data Vlaue (Cr)'!$C:$FB,66)*100</f>
        <v>-50.12</v>
      </c>
    </row>
    <row r="197" spans="1:15" x14ac:dyDescent="0.25">
      <c r="A197" s="101" t="str">
        <f>'Data Vlaue (Cr)'!C192</f>
        <v>SUZLON</v>
      </c>
      <c r="B197" s="50">
        <f>VLOOKUP($A197,'Data Vlaue (Cr)'!$C:$FB,8)</f>
        <v>44.23</v>
      </c>
      <c r="C197" s="50">
        <f>VLOOKUP($A197,'Data Vlaue (Cr)'!$C:$FB,11)*100</f>
        <v>0</v>
      </c>
      <c r="D197" s="50">
        <f>VLOOKUP($A197,'Data Vlaue (Cr)'!$C:$FB,143)</f>
        <v>951.28</v>
      </c>
      <c r="E197" s="50">
        <f>VLOOKUP($A197,'Data Vlaue (Cr)'!$C:$FB,144)</f>
        <v>1520.09</v>
      </c>
      <c r="F197" s="50">
        <f>VLOOKUP($A197,'Data Vlaue (Cr)'!$C:$FB,146)*100</f>
        <v>-37.419999999999995</v>
      </c>
      <c r="G197" s="49">
        <f>VLOOKUP($A197,'Data Vlaue (Cr)'!$C:$FB,43)</f>
        <v>193</v>
      </c>
      <c r="H197" s="49">
        <f>VLOOKUP($A197,'Data Vlaue (Cr)'!$C:$FB,44)</f>
        <v>263</v>
      </c>
      <c r="I197" s="49">
        <f>VLOOKUP($A197,'Data Vlaue (Cr)'!$C:$FB,46)*100</f>
        <v>-26.729999999999997</v>
      </c>
      <c r="J197" s="51">
        <f>VLOOKUP($A197,'Data Vlaue (Cr)'!$C:$FB,59)</f>
        <v>521</v>
      </c>
      <c r="K197" s="51">
        <f>VLOOKUP($A197,'Data Vlaue (Cr)'!$C:$FB,60)</f>
        <v>933</v>
      </c>
      <c r="L197" s="51">
        <f>VLOOKUP($A197,'Data Vlaue (Cr)'!$C:$FB,62)*100</f>
        <v>-44.16</v>
      </c>
      <c r="M197" s="51">
        <f>VLOOKUP($A197,'Data Vlaue (Cr)'!$C:$FB,63)</f>
        <v>216</v>
      </c>
      <c r="N197" s="51">
        <f>VLOOKUP($A197,'Data Vlaue (Cr)'!$C:$FB,64)</f>
        <v>290</v>
      </c>
      <c r="O197" s="51">
        <f>VLOOKUP($A197,'Data Vlaue (Cr)'!$C:$FB,66)*100</f>
        <v>-25.53</v>
      </c>
    </row>
    <row r="198" spans="1:15" x14ac:dyDescent="0.25">
      <c r="A198" s="101" t="str">
        <f>'Data Vlaue (Cr)'!C193</f>
        <v>SWIGGY</v>
      </c>
      <c r="B198" s="50">
        <f>VLOOKUP($A198,'Data Vlaue (Cr)'!$C:$FB,8)</f>
        <v>271.89999999999998</v>
      </c>
      <c r="C198" s="50">
        <f>VLOOKUP($A198,'Data Vlaue (Cr)'!$C:$FB,11)*100</f>
        <v>-2.0699999999999998</v>
      </c>
      <c r="D198" s="50">
        <f>VLOOKUP($A198,'Data Vlaue (Cr)'!$C:$FB,143)</f>
        <v>487.59</v>
      </c>
      <c r="E198" s="50">
        <f>VLOOKUP($A198,'Data Vlaue (Cr)'!$C:$FB,144)</f>
        <v>586.72</v>
      </c>
      <c r="F198" s="50">
        <f>VLOOKUP($A198,'Data Vlaue (Cr)'!$C:$FB,146)*100</f>
        <v>-16.900000000000002</v>
      </c>
      <c r="G198" s="49">
        <f>VLOOKUP($A198,'Data Vlaue (Cr)'!$C:$FB,43)</f>
        <v>233</v>
      </c>
      <c r="H198" s="49">
        <f>VLOOKUP($A198,'Data Vlaue (Cr)'!$C:$FB,44)</f>
        <v>235</v>
      </c>
      <c r="I198" s="49">
        <f>VLOOKUP($A198,'Data Vlaue (Cr)'!$C:$FB,46)*100</f>
        <v>-0.65</v>
      </c>
      <c r="J198" s="51">
        <f>VLOOKUP($A198,'Data Vlaue (Cr)'!$C:$FB,59)</f>
        <v>163</v>
      </c>
      <c r="K198" s="51">
        <f>VLOOKUP($A198,'Data Vlaue (Cr)'!$C:$FB,60)</f>
        <v>226</v>
      </c>
      <c r="L198" s="51">
        <f>VLOOKUP($A198,'Data Vlaue (Cr)'!$C:$FB,62)*100</f>
        <v>-27.93</v>
      </c>
      <c r="M198" s="51">
        <f>VLOOKUP($A198,'Data Vlaue (Cr)'!$C:$FB,63)</f>
        <v>75</v>
      </c>
      <c r="N198" s="51">
        <f>VLOOKUP($A198,'Data Vlaue (Cr)'!$C:$FB,64)</f>
        <v>94</v>
      </c>
      <c r="O198" s="51">
        <f>VLOOKUP($A198,'Data Vlaue (Cr)'!$C:$FB,66)*100</f>
        <v>-20.41</v>
      </c>
    </row>
    <row r="199" spans="1:15" x14ac:dyDescent="0.25">
      <c r="A199" s="101" t="str">
        <f>'Data Vlaue (Cr)'!C194</f>
        <v>TATACONSUM</v>
      </c>
      <c r="B199" s="50">
        <f>VLOOKUP($A199,'Data Vlaue (Cr)'!$C:$FB,8)</f>
        <v>1078</v>
      </c>
      <c r="C199" s="50">
        <f>VLOOKUP($A199,'Data Vlaue (Cr)'!$C:$FB,11)*100</f>
        <v>0.89</v>
      </c>
      <c r="D199" s="50">
        <f>VLOOKUP($A199,'Data Vlaue (Cr)'!$C:$FB,143)</f>
        <v>490.75</v>
      </c>
      <c r="E199" s="50">
        <f>VLOOKUP($A199,'Data Vlaue (Cr)'!$C:$FB,144)</f>
        <v>607.12</v>
      </c>
      <c r="F199" s="50">
        <f>VLOOKUP($A199,'Data Vlaue (Cr)'!$C:$FB,146)*100</f>
        <v>-19.170000000000002</v>
      </c>
      <c r="G199" s="49">
        <f>VLOOKUP($A199,'Data Vlaue (Cr)'!$C:$FB,43)</f>
        <v>187</v>
      </c>
      <c r="H199" s="49">
        <f>VLOOKUP($A199,'Data Vlaue (Cr)'!$C:$FB,44)</f>
        <v>275</v>
      </c>
      <c r="I199" s="49">
        <f>VLOOKUP($A199,'Data Vlaue (Cr)'!$C:$FB,46)*100</f>
        <v>-31.95</v>
      </c>
      <c r="J199" s="51">
        <f>VLOOKUP($A199,'Data Vlaue (Cr)'!$C:$FB,59)</f>
        <v>214</v>
      </c>
      <c r="K199" s="51">
        <f>VLOOKUP($A199,'Data Vlaue (Cr)'!$C:$FB,60)</f>
        <v>234</v>
      </c>
      <c r="L199" s="51">
        <f>VLOOKUP($A199,'Data Vlaue (Cr)'!$C:$FB,62)*100</f>
        <v>-8.4500000000000011</v>
      </c>
      <c r="M199" s="51">
        <f>VLOOKUP($A199,'Data Vlaue (Cr)'!$C:$FB,63)</f>
        <v>80</v>
      </c>
      <c r="N199" s="51">
        <f>VLOOKUP($A199,'Data Vlaue (Cr)'!$C:$FB,64)</f>
        <v>94</v>
      </c>
      <c r="O199" s="51">
        <f>VLOOKUP($A199,'Data Vlaue (Cr)'!$C:$FB,66)*100</f>
        <v>-15.190000000000001</v>
      </c>
    </row>
    <row r="200" spans="1:15" x14ac:dyDescent="0.25">
      <c r="A200" s="101" t="str">
        <f>'Data Vlaue (Cr)'!C195</f>
        <v>TATAELXSI</v>
      </c>
      <c r="B200" s="50">
        <f>VLOOKUP($A200,'Data Vlaue (Cr)'!$C:$FB,8)</f>
        <v>4452</v>
      </c>
      <c r="C200" s="50">
        <f>VLOOKUP($A200,'Data Vlaue (Cr)'!$C:$FB,11)*100</f>
        <v>0.4</v>
      </c>
      <c r="D200" s="50">
        <f>VLOOKUP($A200,'Data Vlaue (Cr)'!$C:$FB,143)</f>
        <v>698.6</v>
      </c>
      <c r="E200" s="50">
        <f>VLOOKUP($A200,'Data Vlaue (Cr)'!$C:$FB,144)</f>
        <v>893.94</v>
      </c>
      <c r="F200" s="50">
        <f>VLOOKUP($A200,'Data Vlaue (Cr)'!$C:$FB,146)*100</f>
        <v>-21.85</v>
      </c>
      <c r="G200" s="49">
        <f>VLOOKUP($A200,'Data Vlaue (Cr)'!$C:$FB,43)</f>
        <v>120</v>
      </c>
      <c r="H200" s="49">
        <f>VLOOKUP($A200,'Data Vlaue (Cr)'!$C:$FB,44)</f>
        <v>164</v>
      </c>
      <c r="I200" s="49">
        <f>VLOOKUP($A200,'Data Vlaue (Cr)'!$C:$FB,46)*100</f>
        <v>-26.729999999999997</v>
      </c>
      <c r="J200" s="51">
        <f>VLOOKUP($A200,'Data Vlaue (Cr)'!$C:$FB,59)</f>
        <v>355</v>
      </c>
      <c r="K200" s="51">
        <f>VLOOKUP($A200,'Data Vlaue (Cr)'!$C:$FB,60)</f>
        <v>482</v>
      </c>
      <c r="L200" s="51">
        <f>VLOOKUP($A200,'Data Vlaue (Cr)'!$C:$FB,62)*100</f>
        <v>-26.19</v>
      </c>
      <c r="M200" s="51">
        <f>VLOOKUP($A200,'Data Vlaue (Cr)'!$C:$FB,63)</f>
        <v>209</v>
      </c>
      <c r="N200" s="51">
        <f>VLOOKUP($A200,'Data Vlaue (Cr)'!$C:$FB,64)</f>
        <v>231</v>
      </c>
      <c r="O200" s="51">
        <f>VLOOKUP($A200,'Data Vlaue (Cr)'!$C:$FB,66)*100</f>
        <v>-9.44</v>
      </c>
    </row>
    <row r="201" spans="1:15" x14ac:dyDescent="0.25">
      <c r="A201" s="101" t="str">
        <f>'Data Vlaue (Cr)'!C196</f>
        <v>TATAPOWER</v>
      </c>
      <c r="B201" s="50">
        <f>VLOOKUP($A201,'Data Vlaue (Cr)'!$C:$FB,8)</f>
        <v>394.7</v>
      </c>
      <c r="C201" s="50">
        <f>VLOOKUP($A201,'Data Vlaue (Cr)'!$C:$FB,11)*100</f>
        <v>-0.06</v>
      </c>
      <c r="D201" s="50">
        <f>VLOOKUP($A201,'Data Vlaue (Cr)'!$C:$FB,143)</f>
        <v>1514.46</v>
      </c>
      <c r="E201" s="50">
        <f>VLOOKUP($A201,'Data Vlaue (Cr)'!$C:$FB,144)</f>
        <v>2569.4299999999998</v>
      </c>
      <c r="F201" s="50">
        <f>VLOOKUP($A201,'Data Vlaue (Cr)'!$C:$FB,146)*100</f>
        <v>-41.06</v>
      </c>
      <c r="G201" s="49">
        <f>VLOOKUP($A201,'Data Vlaue (Cr)'!$C:$FB,43)</f>
        <v>297</v>
      </c>
      <c r="H201" s="49">
        <f>VLOOKUP($A201,'Data Vlaue (Cr)'!$C:$FB,44)</f>
        <v>380</v>
      </c>
      <c r="I201" s="49">
        <f>VLOOKUP($A201,'Data Vlaue (Cr)'!$C:$FB,46)*100</f>
        <v>-21.759999999999998</v>
      </c>
      <c r="J201" s="51">
        <f>VLOOKUP($A201,'Data Vlaue (Cr)'!$C:$FB,59)</f>
        <v>860</v>
      </c>
      <c r="K201" s="51">
        <f>VLOOKUP($A201,'Data Vlaue (Cr)'!$C:$FB,60)</f>
        <v>1584</v>
      </c>
      <c r="L201" s="51">
        <f>VLOOKUP($A201,'Data Vlaue (Cr)'!$C:$FB,62)*100</f>
        <v>-45.69</v>
      </c>
      <c r="M201" s="51">
        <f>VLOOKUP($A201,'Data Vlaue (Cr)'!$C:$FB,63)</f>
        <v>320</v>
      </c>
      <c r="N201" s="51">
        <f>VLOOKUP($A201,'Data Vlaue (Cr)'!$C:$FB,64)</f>
        <v>544</v>
      </c>
      <c r="O201" s="51">
        <f>VLOOKUP($A201,'Data Vlaue (Cr)'!$C:$FB,66)*100</f>
        <v>-41.07</v>
      </c>
    </row>
    <row r="202" spans="1:15" x14ac:dyDescent="0.25">
      <c r="A202" s="101" t="str">
        <f>'Data Vlaue (Cr)'!C197</f>
        <v>TATASTEEL</v>
      </c>
      <c r="B202" s="50">
        <f>VLOOKUP($A202,'Data Vlaue (Cr)'!$C:$FB,8)</f>
        <v>205.2</v>
      </c>
      <c r="C202" s="50">
        <f>VLOOKUP($A202,'Data Vlaue (Cr)'!$C:$FB,11)*100</f>
        <v>0.5</v>
      </c>
      <c r="D202" s="50">
        <f>VLOOKUP($A202,'Data Vlaue (Cr)'!$C:$FB,143)</f>
        <v>5043.46</v>
      </c>
      <c r="E202" s="50">
        <f>VLOOKUP($A202,'Data Vlaue (Cr)'!$C:$FB,144)</f>
        <v>5805.32</v>
      </c>
      <c r="F202" s="50">
        <f>VLOOKUP($A202,'Data Vlaue (Cr)'!$C:$FB,146)*100</f>
        <v>-13.120000000000001</v>
      </c>
      <c r="G202" s="49">
        <f>VLOOKUP($A202,'Data Vlaue (Cr)'!$C:$FB,43)</f>
        <v>838</v>
      </c>
      <c r="H202" s="49">
        <f>VLOOKUP($A202,'Data Vlaue (Cr)'!$C:$FB,44)</f>
        <v>995</v>
      </c>
      <c r="I202" s="49">
        <f>VLOOKUP($A202,'Data Vlaue (Cr)'!$C:$FB,46)*100</f>
        <v>-15.8</v>
      </c>
      <c r="J202" s="51">
        <f>VLOOKUP($A202,'Data Vlaue (Cr)'!$C:$FB,59)</f>
        <v>2456</v>
      </c>
      <c r="K202" s="51">
        <f>VLOOKUP($A202,'Data Vlaue (Cr)'!$C:$FB,60)</f>
        <v>2743</v>
      </c>
      <c r="L202" s="51">
        <f>VLOOKUP($A202,'Data Vlaue (Cr)'!$C:$FB,62)*100</f>
        <v>-10.47</v>
      </c>
      <c r="M202" s="51">
        <f>VLOOKUP($A202,'Data Vlaue (Cr)'!$C:$FB,63)</f>
        <v>1677</v>
      </c>
      <c r="N202" s="51">
        <f>VLOOKUP($A202,'Data Vlaue (Cr)'!$C:$FB,64)</f>
        <v>2079</v>
      </c>
      <c r="O202" s="51">
        <f>VLOOKUP($A202,'Data Vlaue (Cr)'!$C:$FB,66)*100</f>
        <v>-19.350000000000001</v>
      </c>
    </row>
    <row r="203" spans="1:15" x14ac:dyDescent="0.25">
      <c r="A203" s="101" t="str">
        <f>'Data Vlaue (Cr)'!C198</f>
        <v>TATATECH</v>
      </c>
      <c r="B203" s="50">
        <f>VLOOKUP($A203,'Data Vlaue (Cr)'!$C:$FB,8)</f>
        <v>558.9</v>
      </c>
      <c r="C203" s="50">
        <f>VLOOKUP($A203,'Data Vlaue (Cr)'!$C:$FB,11)*100</f>
        <v>-0.44</v>
      </c>
      <c r="D203" s="50">
        <f>VLOOKUP($A203,'Data Vlaue (Cr)'!$C:$FB,143)</f>
        <v>138.32</v>
      </c>
      <c r="E203" s="50">
        <f>VLOOKUP($A203,'Data Vlaue (Cr)'!$C:$FB,144)</f>
        <v>209.19</v>
      </c>
      <c r="F203" s="50">
        <f>VLOOKUP($A203,'Data Vlaue (Cr)'!$C:$FB,146)*100</f>
        <v>-33.879999999999995</v>
      </c>
      <c r="G203" s="49">
        <f>VLOOKUP($A203,'Data Vlaue (Cr)'!$C:$FB,43)</f>
        <v>40</v>
      </c>
      <c r="H203" s="49">
        <f>VLOOKUP($A203,'Data Vlaue (Cr)'!$C:$FB,44)</f>
        <v>62</v>
      </c>
      <c r="I203" s="49">
        <f>VLOOKUP($A203,'Data Vlaue (Cr)'!$C:$FB,46)*100</f>
        <v>-35.04</v>
      </c>
      <c r="J203" s="51">
        <f>VLOOKUP($A203,'Data Vlaue (Cr)'!$C:$FB,59)</f>
        <v>77</v>
      </c>
      <c r="K203" s="51">
        <f>VLOOKUP($A203,'Data Vlaue (Cr)'!$C:$FB,60)</f>
        <v>105</v>
      </c>
      <c r="L203" s="51">
        <f>VLOOKUP($A203,'Data Vlaue (Cr)'!$C:$FB,62)*100</f>
        <v>-26.740000000000002</v>
      </c>
      <c r="M203" s="51">
        <f>VLOOKUP($A203,'Data Vlaue (Cr)'!$C:$FB,63)</f>
        <v>17</v>
      </c>
      <c r="N203" s="51">
        <f>VLOOKUP($A203,'Data Vlaue (Cr)'!$C:$FB,64)</f>
        <v>38</v>
      </c>
      <c r="O203" s="51">
        <f>VLOOKUP($A203,'Data Vlaue (Cr)'!$C:$FB,66)*100</f>
        <v>-55.98</v>
      </c>
    </row>
    <row r="204" spans="1:15" x14ac:dyDescent="0.25">
      <c r="A204" s="101" t="str">
        <f>'Data Vlaue (Cr)'!C199</f>
        <v>TCS</v>
      </c>
      <c r="B204" s="50">
        <f>VLOOKUP($A204,'Data Vlaue (Cr)'!$C:$FB,8)</f>
        <v>2589</v>
      </c>
      <c r="C204" s="50">
        <f>VLOOKUP($A204,'Data Vlaue (Cr)'!$C:$FB,11)*100</f>
        <v>1.1599999999999999</v>
      </c>
      <c r="D204" s="50">
        <f>VLOOKUP($A204,'Data Vlaue (Cr)'!$C:$FB,143)</f>
        <v>17584.05</v>
      </c>
      <c r="E204" s="50">
        <f>VLOOKUP($A204,'Data Vlaue (Cr)'!$C:$FB,144)</f>
        <v>8240.98</v>
      </c>
      <c r="F204" s="50">
        <f>VLOOKUP($A204,'Data Vlaue (Cr)'!$C:$FB,146)*100</f>
        <v>113.36999999999999</v>
      </c>
      <c r="G204" s="49">
        <f>VLOOKUP($A204,'Data Vlaue (Cr)'!$C:$FB,43)</f>
        <v>1785</v>
      </c>
      <c r="H204" s="49">
        <f>VLOOKUP($A204,'Data Vlaue (Cr)'!$C:$FB,44)</f>
        <v>1340</v>
      </c>
      <c r="I204" s="49">
        <f>VLOOKUP($A204,'Data Vlaue (Cr)'!$C:$FB,46)*100</f>
        <v>33.18</v>
      </c>
      <c r="J204" s="51">
        <f>VLOOKUP($A204,'Data Vlaue (Cr)'!$C:$FB,59)</f>
        <v>10213</v>
      </c>
      <c r="K204" s="51">
        <f>VLOOKUP($A204,'Data Vlaue (Cr)'!$C:$FB,60)</f>
        <v>4465</v>
      </c>
      <c r="L204" s="51">
        <f>VLOOKUP($A204,'Data Vlaue (Cr)'!$C:$FB,62)*100</f>
        <v>128.72</v>
      </c>
      <c r="M204" s="51">
        <f>VLOOKUP($A204,'Data Vlaue (Cr)'!$C:$FB,63)</f>
        <v>5199</v>
      </c>
      <c r="N204" s="51">
        <f>VLOOKUP($A204,'Data Vlaue (Cr)'!$C:$FB,64)</f>
        <v>2311</v>
      </c>
      <c r="O204" s="51">
        <f>VLOOKUP($A204,'Data Vlaue (Cr)'!$C:$FB,66)*100</f>
        <v>124.98</v>
      </c>
    </row>
    <row r="205" spans="1:15" x14ac:dyDescent="0.25">
      <c r="A205" s="101" t="str">
        <f>'Data Vlaue (Cr)'!C200</f>
        <v>TECHM</v>
      </c>
      <c r="B205" s="50">
        <f>VLOOKUP($A205,'Data Vlaue (Cr)'!$C:$FB,8)</f>
        <v>1461.6</v>
      </c>
      <c r="C205" s="50">
        <f>VLOOKUP($A205,'Data Vlaue (Cr)'!$C:$FB,11)*100</f>
        <v>0.70000000000000007</v>
      </c>
      <c r="D205" s="50">
        <f>VLOOKUP($A205,'Data Vlaue (Cr)'!$C:$FB,143)</f>
        <v>2181.08</v>
      </c>
      <c r="E205" s="50">
        <f>VLOOKUP($A205,'Data Vlaue (Cr)'!$C:$FB,144)</f>
        <v>2784.56</v>
      </c>
      <c r="F205" s="50">
        <f>VLOOKUP($A205,'Data Vlaue (Cr)'!$C:$FB,146)*100</f>
        <v>-21.67</v>
      </c>
      <c r="G205" s="49">
        <f>VLOOKUP($A205,'Data Vlaue (Cr)'!$C:$FB,43)</f>
        <v>355</v>
      </c>
      <c r="H205" s="49">
        <f>VLOOKUP($A205,'Data Vlaue (Cr)'!$C:$FB,44)</f>
        <v>517</v>
      </c>
      <c r="I205" s="49">
        <f>VLOOKUP($A205,'Data Vlaue (Cr)'!$C:$FB,46)*100</f>
        <v>-31.319999999999997</v>
      </c>
      <c r="J205" s="51">
        <f>VLOOKUP($A205,'Data Vlaue (Cr)'!$C:$FB,59)</f>
        <v>1123</v>
      </c>
      <c r="K205" s="51">
        <f>VLOOKUP($A205,'Data Vlaue (Cr)'!$C:$FB,60)</f>
        <v>1309</v>
      </c>
      <c r="L205" s="51">
        <f>VLOOKUP($A205,'Data Vlaue (Cr)'!$C:$FB,62)*100</f>
        <v>-14.16</v>
      </c>
      <c r="M205" s="51">
        <f>VLOOKUP($A205,'Data Vlaue (Cr)'!$C:$FB,63)</f>
        <v>661</v>
      </c>
      <c r="N205" s="51">
        <f>VLOOKUP($A205,'Data Vlaue (Cr)'!$C:$FB,64)</f>
        <v>889</v>
      </c>
      <c r="O205" s="51">
        <f>VLOOKUP($A205,'Data Vlaue (Cr)'!$C:$FB,66)*100</f>
        <v>-25.590000000000003</v>
      </c>
    </row>
    <row r="206" spans="1:15" x14ac:dyDescent="0.25">
      <c r="A206" s="101" t="str">
        <f>'Data Vlaue (Cr)'!C201</f>
        <v>TIINDIA</v>
      </c>
      <c r="B206" s="50">
        <f>VLOOKUP($A206,'Data Vlaue (Cr)'!$C:$FB,8)</f>
        <v>2743.3</v>
      </c>
      <c r="C206" s="50">
        <f>VLOOKUP($A206,'Data Vlaue (Cr)'!$C:$FB,11)*100</f>
        <v>0.59</v>
      </c>
      <c r="D206" s="50">
        <f>VLOOKUP($A206,'Data Vlaue (Cr)'!$C:$FB,143)</f>
        <v>127.46</v>
      </c>
      <c r="E206" s="50">
        <f>VLOOKUP($A206,'Data Vlaue (Cr)'!$C:$FB,144)</f>
        <v>277.22000000000003</v>
      </c>
      <c r="F206" s="50">
        <f>VLOOKUP($A206,'Data Vlaue (Cr)'!$C:$FB,146)*100</f>
        <v>-54.02</v>
      </c>
      <c r="G206" s="49">
        <f>VLOOKUP($A206,'Data Vlaue (Cr)'!$C:$FB,43)</f>
        <v>59</v>
      </c>
      <c r="H206" s="49">
        <f>VLOOKUP($A206,'Data Vlaue (Cr)'!$C:$FB,44)</f>
        <v>71</v>
      </c>
      <c r="I206" s="49">
        <f>VLOOKUP($A206,'Data Vlaue (Cr)'!$C:$FB,46)*100</f>
        <v>-17.36</v>
      </c>
      <c r="J206" s="51">
        <f>VLOOKUP($A206,'Data Vlaue (Cr)'!$C:$FB,59)</f>
        <v>54</v>
      </c>
      <c r="K206" s="51">
        <f>VLOOKUP($A206,'Data Vlaue (Cr)'!$C:$FB,60)</f>
        <v>164</v>
      </c>
      <c r="L206" s="51">
        <f>VLOOKUP($A206,'Data Vlaue (Cr)'!$C:$FB,62)*100</f>
        <v>-66.900000000000006</v>
      </c>
      <c r="M206" s="51">
        <f>VLOOKUP($A206,'Data Vlaue (Cr)'!$C:$FB,63)</f>
        <v>12</v>
      </c>
      <c r="N206" s="51">
        <f>VLOOKUP($A206,'Data Vlaue (Cr)'!$C:$FB,64)</f>
        <v>38</v>
      </c>
      <c r="O206" s="51">
        <f>VLOOKUP($A206,'Data Vlaue (Cr)'!$C:$FB,66)*100</f>
        <v>-68.27</v>
      </c>
    </row>
    <row r="207" spans="1:15" x14ac:dyDescent="0.25">
      <c r="A207" s="101" t="str">
        <f>'Data Vlaue (Cr)'!C202</f>
        <v>TITAN</v>
      </c>
      <c r="B207" s="50">
        <f>VLOOKUP($A207,'Data Vlaue (Cr)'!$C:$FB,8)</f>
        <v>4439.8</v>
      </c>
      <c r="C207" s="50">
        <f>VLOOKUP($A207,'Data Vlaue (Cr)'!$C:$FB,11)*100</f>
        <v>-1.17</v>
      </c>
      <c r="D207" s="50">
        <f>VLOOKUP($A207,'Data Vlaue (Cr)'!$C:$FB,143)</f>
        <v>3199.61</v>
      </c>
      <c r="E207" s="50">
        <f>VLOOKUP($A207,'Data Vlaue (Cr)'!$C:$FB,144)</f>
        <v>10728.59</v>
      </c>
      <c r="F207" s="50">
        <f>VLOOKUP($A207,'Data Vlaue (Cr)'!$C:$FB,146)*100</f>
        <v>-70.179999999999993</v>
      </c>
      <c r="G207" s="49">
        <f>VLOOKUP($A207,'Data Vlaue (Cr)'!$C:$FB,43)</f>
        <v>374</v>
      </c>
      <c r="H207" s="49">
        <f>VLOOKUP($A207,'Data Vlaue (Cr)'!$C:$FB,44)</f>
        <v>1443</v>
      </c>
      <c r="I207" s="49">
        <f>VLOOKUP($A207,'Data Vlaue (Cr)'!$C:$FB,46)*100</f>
        <v>-74.09</v>
      </c>
      <c r="J207" s="51">
        <f>VLOOKUP($A207,'Data Vlaue (Cr)'!$C:$FB,59)</f>
        <v>1524</v>
      </c>
      <c r="K207" s="51">
        <f>VLOOKUP($A207,'Data Vlaue (Cr)'!$C:$FB,60)</f>
        <v>5991</v>
      </c>
      <c r="L207" s="51">
        <f>VLOOKUP($A207,'Data Vlaue (Cr)'!$C:$FB,62)*100</f>
        <v>-74.570000000000007</v>
      </c>
      <c r="M207" s="51">
        <f>VLOOKUP($A207,'Data Vlaue (Cr)'!$C:$FB,63)</f>
        <v>1264</v>
      </c>
      <c r="N207" s="51">
        <f>VLOOKUP($A207,'Data Vlaue (Cr)'!$C:$FB,64)</f>
        <v>3206</v>
      </c>
      <c r="O207" s="51">
        <f>VLOOKUP($A207,'Data Vlaue (Cr)'!$C:$FB,66)*100</f>
        <v>-60.58</v>
      </c>
    </row>
    <row r="208" spans="1:15" x14ac:dyDescent="0.25">
      <c r="A208" s="101" t="str">
        <f>'Data Vlaue (Cr)'!C203</f>
        <v>TMPV</v>
      </c>
      <c r="B208" s="50">
        <f>VLOOKUP($A208,'Data Vlaue (Cr)'!$C:$FB,8)</f>
        <v>333.25</v>
      </c>
      <c r="C208" s="50">
        <f>VLOOKUP($A208,'Data Vlaue (Cr)'!$C:$FB,11)*100</f>
        <v>-0.44999999999999996</v>
      </c>
      <c r="D208" s="50">
        <f>VLOOKUP($A208,'Data Vlaue (Cr)'!$C:$FB,143)</f>
        <v>2251.6999999999998</v>
      </c>
      <c r="E208" s="50">
        <f>VLOOKUP($A208,'Data Vlaue (Cr)'!$C:$FB,144)</f>
        <v>4507.74</v>
      </c>
      <c r="F208" s="50">
        <f>VLOOKUP($A208,'Data Vlaue (Cr)'!$C:$FB,146)*100</f>
        <v>-50.05</v>
      </c>
      <c r="G208" s="49">
        <f>VLOOKUP($A208,'Data Vlaue (Cr)'!$C:$FB,43)</f>
        <v>360</v>
      </c>
      <c r="H208" s="49">
        <f>VLOOKUP($A208,'Data Vlaue (Cr)'!$C:$FB,44)</f>
        <v>692</v>
      </c>
      <c r="I208" s="49">
        <f>VLOOKUP($A208,'Data Vlaue (Cr)'!$C:$FB,46)*100</f>
        <v>-47.980000000000004</v>
      </c>
      <c r="J208" s="51">
        <f>VLOOKUP($A208,'Data Vlaue (Cr)'!$C:$FB,59)</f>
        <v>1108</v>
      </c>
      <c r="K208" s="51">
        <f>VLOOKUP($A208,'Data Vlaue (Cr)'!$C:$FB,60)</f>
        <v>2404</v>
      </c>
      <c r="L208" s="51">
        <f>VLOOKUP($A208,'Data Vlaue (Cr)'!$C:$FB,62)*100</f>
        <v>-53.92</v>
      </c>
      <c r="M208" s="51">
        <f>VLOOKUP($A208,'Data Vlaue (Cr)'!$C:$FB,63)</f>
        <v>714</v>
      </c>
      <c r="N208" s="51">
        <f>VLOOKUP($A208,'Data Vlaue (Cr)'!$C:$FB,64)</f>
        <v>1331</v>
      </c>
      <c r="O208" s="51">
        <f>VLOOKUP($A208,'Data Vlaue (Cr)'!$C:$FB,66)*100</f>
        <v>-46.35</v>
      </c>
    </row>
    <row r="209" spans="1:15" x14ac:dyDescent="0.25">
      <c r="A209" s="101" t="str">
        <f>'Data Vlaue (Cr)'!C204</f>
        <v>TORNTPHARM</v>
      </c>
      <c r="B209" s="50">
        <f>VLOOKUP($A209,'Data Vlaue (Cr)'!$C:$FB,8)</f>
        <v>4094.5</v>
      </c>
      <c r="C209" s="50">
        <f>VLOOKUP($A209,'Data Vlaue (Cr)'!$C:$FB,11)*100</f>
        <v>1.6199999999999999</v>
      </c>
      <c r="D209" s="50">
        <f>VLOOKUP($A209,'Data Vlaue (Cr)'!$C:$FB,143)</f>
        <v>983.72</v>
      </c>
      <c r="E209" s="50">
        <f>VLOOKUP($A209,'Data Vlaue (Cr)'!$C:$FB,144)</f>
        <v>690.92</v>
      </c>
      <c r="F209" s="50">
        <f>VLOOKUP($A209,'Data Vlaue (Cr)'!$C:$FB,146)*100</f>
        <v>42.38</v>
      </c>
      <c r="G209" s="49">
        <f>VLOOKUP($A209,'Data Vlaue (Cr)'!$C:$FB,43)</f>
        <v>184</v>
      </c>
      <c r="H209" s="49">
        <f>VLOOKUP($A209,'Data Vlaue (Cr)'!$C:$FB,44)</f>
        <v>225</v>
      </c>
      <c r="I209" s="49">
        <f>VLOOKUP($A209,'Data Vlaue (Cr)'!$C:$FB,46)*100</f>
        <v>-18.25</v>
      </c>
      <c r="J209" s="51">
        <f>VLOOKUP($A209,'Data Vlaue (Cr)'!$C:$FB,59)</f>
        <v>638</v>
      </c>
      <c r="K209" s="51">
        <f>VLOOKUP($A209,'Data Vlaue (Cr)'!$C:$FB,60)</f>
        <v>318</v>
      </c>
      <c r="L209" s="51">
        <f>VLOOKUP($A209,'Data Vlaue (Cr)'!$C:$FB,62)*100</f>
        <v>100.71000000000001</v>
      </c>
      <c r="M209" s="51">
        <f>VLOOKUP($A209,'Data Vlaue (Cr)'!$C:$FB,63)</f>
        <v>145</v>
      </c>
      <c r="N209" s="51">
        <f>VLOOKUP($A209,'Data Vlaue (Cr)'!$C:$FB,64)</f>
        <v>143</v>
      </c>
      <c r="O209" s="51">
        <f>VLOOKUP($A209,'Data Vlaue (Cr)'!$C:$FB,66)*100</f>
        <v>1.1499999999999999</v>
      </c>
    </row>
    <row r="210" spans="1:15" x14ac:dyDescent="0.25">
      <c r="A210" s="101" t="str">
        <f>'Data Vlaue (Cr)'!C205</f>
        <v>TORNTPOWER</v>
      </c>
      <c r="B210" s="50">
        <f>VLOOKUP($A210,'Data Vlaue (Cr)'!$C:$FB,8)</f>
        <v>1446</v>
      </c>
      <c r="C210" s="50">
        <f>VLOOKUP($A210,'Data Vlaue (Cr)'!$C:$FB,11)*100</f>
        <v>-0.16999999999999998</v>
      </c>
      <c r="D210" s="50">
        <f>VLOOKUP($A210,'Data Vlaue (Cr)'!$C:$FB,143)</f>
        <v>207.97</v>
      </c>
      <c r="E210" s="50">
        <f>VLOOKUP($A210,'Data Vlaue (Cr)'!$C:$FB,144)</f>
        <v>305.79000000000002</v>
      </c>
      <c r="F210" s="50">
        <f>VLOOKUP($A210,'Data Vlaue (Cr)'!$C:$FB,146)*100</f>
        <v>-31.990000000000002</v>
      </c>
      <c r="G210" s="49">
        <f>VLOOKUP($A210,'Data Vlaue (Cr)'!$C:$FB,43)</f>
        <v>83</v>
      </c>
      <c r="H210" s="49">
        <f>VLOOKUP($A210,'Data Vlaue (Cr)'!$C:$FB,44)</f>
        <v>92</v>
      </c>
      <c r="I210" s="49">
        <f>VLOOKUP($A210,'Data Vlaue (Cr)'!$C:$FB,46)*100</f>
        <v>-10.52</v>
      </c>
      <c r="J210" s="51">
        <f>VLOOKUP($A210,'Data Vlaue (Cr)'!$C:$FB,59)</f>
        <v>79</v>
      </c>
      <c r="K210" s="51">
        <f>VLOOKUP($A210,'Data Vlaue (Cr)'!$C:$FB,60)</f>
        <v>124</v>
      </c>
      <c r="L210" s="51">
        <f>VLOOKUP($A210,'Data Vlaue (Cr)'!$C:$FB,62)*100</f>
        <v>-35.799999999999997</v>
      </c>
      <c r="M210" s="51">
        <f>VLOOKUP($A210,'Data Vlaue (Cr)'!$C:$FB,63)</f>
        <v>44</v>
      </c>
      <c r="N210" s="51">
        <f>VLOOKUP($A210,'Data Vlaue (Cr)'!$C:$FB,64)</f>
        <v>88</v>
      </c>
      <c r="O210" s="51">
        <f>VLOOKUP($A210,'Data Vlaue (Cr)'!$C:$FB,66)*100</f>
        <v>-50.139999999999993</v>
      </c>
    </row>
    <row r="211" spans="1:15" x14ac:dyDescent="0.25">
      <c r="A211" s="101" t="str">
        <f>'Data Vlaue (Cr)'!C206</f>
        <v>TRENT</v>
      </c>
      <c r="B211" s="50">
        <f>VLOOKUP($A211,'Data Vlaue (Cr)'!$C:$FB,8)</f>
        <v>3850.7</v>
      </c>
      <c r="C211" s="50">
        <f>VLOOKUP($A211,'Data Vlaue (Cr)'!$C:$FB,11)*100</f>
        <v>-1.39</v>
      </c>
      <c r="D211" s="50">
        <f>VLOOKUP($A211,'Data Vlaue (Cr)'!$C:$FB,143)</f>
        <v>2162.16</v>
      </c>
      <c r="E211" s="50">
        <f>VLOOKUP($A211,'Data Vlaue (Cr)'!$C:$FB,144)</f>
        <v>4698.5200000000004</v>
      </c>
      <c r="F211" s="50">
        <f>VLOOKUP($A211,'Data Vlaue (Cr)'!$C:$FB,146)*100</f>
        <v>-53.98</v>
      </c>
      <c r="G211" s="49">
        <f>VLOOKUP($A211,'Data Vlaue (Cr)'!$C:$FB,43)</f>
        <v>358</v>
      </c>
      <c r="H211" s="49">
        <f>VLOOKUP($A211,'Data Vlaue (Cr)'!$C:$FB,44)</f>
        <v>670</v>
      </c>
      <c r="I211" s="49">
        <f>VLOOKUP($A211,'Data Vlaue (Cr)'!$C:$FB,46)*100</f>
        <v>-46.58</v>
      </c>
      <c r="J211" s="51">
        <f>VLOOKUP($A211,'Data Vlaue (Cr)'!$C:$FB,59)</f>
        <v>1007</v>
      </c>
      <c r="K211" s="51">
        <f>VLOOKUP($A211,'Data Vlaue (Cr)'!$C:$FB,60)</f>
        <v>2614</v>
      </c>
      <c r="L211" s="51">
        <f>VLOOKUP($A211,'Data Vlaue (Cr)'!$C:$FB,62)*100</f>
        <v>-61.47</v>
      </c>
      <c r="M211" s="51">
        <f>VLOOKUP($A211,'Data Vlaue (Cr)'!$C:$FB,63)</f>
        <v>743</v>
      </c>
      <c r="N211" s="51">
        <f>VLOOKUP($A211,'Data Vlaue (Cr)'!$C:$FB,64)</f>
        <v>1232</v>
      </c>
      <c r="O211" s="51">
        <f>VLOOKUP($A211,'Data Vlaue (Cr)'!$C:$FB,66)*100</f>
        <v>-39.75</v>
      </c>
    </row>
    <row r="212" spans="1:15" x14ac:dyDescent="0.25">
      <c r="A212" s="101" t="str">
        <f>'Data Vlaue (Cr)'!C207</f>
        <v>TVSMOTOR</v>
      </c>
      <c r="B212" s="50">
        <f>VLOOKUP($A212,'Data Vlaue (Cr)'!$C:$FB,8)</f>
        <v>3727.1</v>
      </c>
      <c r="C212" s="50">
        <f>VLOOKUP($A212,'Data Vlaue (Cr)'!$C:$FB,11)*100</f>
        <v>0.69</v>
      </c>
      <c r="D212" s="50">
        <f>VLOOKUP($A212,'Data Vlaue (Cr)'!$C:$FB,143)</f>
        <v>1170.06</v>
      </c>
      <c r="E212" s="50">
        <f>VLOOKUP($A212,'Data Vlaue (Cr)'!$C:$FB,144)</f>
        <v>2090.81</v>
      </c>
      <c r="F212" s="50">
        <f>VLOOKUP($A212,'Data Vlaue (Cr)'!$C:$FB,146)*100</f>
        <v>-44.04</v>
      </c>
      <c r="G212" s="49">
        <f>VLOOKUP($A212,'Data Vlaue (Cr)'!$C:$FB,43)</f>
        <v>307</v>
      </c>
      <c r="H212" s="49">
        <f>VLOOKUP($A212,'Data Vlaue (Cr)'!$C:$FB,44)</f>
        <v>444</v>
      </c>
      <c r="I212" s="49">
        <f>VLOOKUP($A212,'Data Vlaue (Cr)'!$C:$FB,46)*100</f>
        <v>-30.880000000000003</v>
      </c>
      <c r="J212" s="51">
        <f>VLOOKUP($A212,'Data Vlaue (Cr)'!$C:$FB,59)</f>
        <v>565</v>
      </c>
      <c r="K212" s="51">
        <f>VLOOKUP($A212,'Data Vlaue (Cr)'!$C:$FB,60)</f>
        <v>1168</v>
      </c>
      <c r="L212" s="51">
        <f>VLOOKUP($A212,'Data Vlaue (Cr)'!$C:$FB,62)*100</f>
        <v>-51.67</v>
      </c>
      <c r="M212" s="51">
        <f>VLOOKUP($A212,'Data Vlaue (Cr)'!$C:$FB,63)</f>
        <v>280</v>
      </c>
      <c r="N212" s="51">
        <f>VLOOKUP($A212,'Data Vlaue (Cr)'!$C:$FB,64)</f>
        <v>469</v>
      </c>
      <c r="O212" s="51">
        <f>VLOOKUP($A212,'Data Vlaue (Cr)'!$C:$FB,66)*100</f>
        <v>-40.300000000000004</v>
      </c>
    </row>
    <row r="213" spans="1:15" x14ac:dyDescent="0.25">
      <c r="A213" s="101" t="str">
        <f>'Data Vlaue (Cr)'!C208</f>
        <v>ULTRACEMCO</v>
      </c>
      <c r="B213" s="50">
        <f>VLOOKUP($A213,'Data Vlaue (Cr)'!$C:$FB,8)</f>
        <v>11448</v>
      </c>
      <c r="C213" s="50">
        <f>VLOOKUP($A213,'Data Vlaue (Cr)'!$C:$FB,11)*100</f>
        <v>-1.34</v>
      </c>
      <c r="D213" s="50">
        <f>VLOOKUP($A213,'Data Vlaue (Cr)'!$C:$FB,143)</f>
        <v>1369.38</v>
      </c>
      <c r="E213" s="50">
        <f>VLOOKUP($A213,'Data Vlaue (Cr)'!$C:$FB,144)</f>
        <v>3010.32</v>
      </c>
      <c r="F213" s="50">
        <f>VLOOKUP($A213,'Data Vlaue (Cr)'!$C:$FB,146)*100</f>
        <v>-54.510000000000005</v>
      </c>
      <c r="G213" s="49">
        <f>VLOOKUP($A213,'Data Vlaue (Cr)'!$C:$FB,43)</f>
        <v>338</v>
      </c>
      <c r="H213" s="49">
        <f>VLOOKUP($A213,'Data Vlaue (Cr)'!$C:$FB,44)</f>
        <v>650</v>
      </c>
      <c r="I213" s="49">
        <f>VLOOKUP($A213,'Data Vlaue (Cr)'!$C:$FB,46)*100</f>
        <v>-47.93</v>
      </c>
      <c r="J213" s="51">
        <f>VLOOKUP($A213,'Data Vlaue (Cr)'!$C:$FB,59)</f>
        <v>589</v>
      </c>
      <c r="K213" s="51">
        <f>VLOOKUP($A213,'Data Vlaue (Cr)'!$C:$FB,60)</f>
        <v>1393</v>
      </c>
      <c r="L213" s="51">
        <f>VLOOKUP($A213,'Data Vlaue (Cr)'!$C:$FB,62)*100</f>
        <v>-57.699999999999996</v>
      </c>
      <c r="M213" s="51">
        <f>VLOOKUP($A213,'Data Vlaue (Cr)'!$C:$FB,63)</f>
        <v>429</v>
      </c>
      <c r="N213" s="51">
        <f>VLOOKUP($A213,'Data Vlaue (Cr)'!$C:$FB,64)</f>
        <v>899</v>
      </c>
      <c r="O213" s="51">
        <f>VLOOKUP($A213,'Data Vlaue (Cr)'!$C:$FB,66)*100</f>
        <v>-52.28</v>
      </c>
    </row>
    <row r="214" spans="1:15" x14ac:dyDescent="0.25">
      <c r="A214" s="101" t="str">
        <f>'Data Vlaue (Cr)'!C209</f>
        <v>UNIONBANK</v>
      </c>
      <c r="B214" s="50">
        <f>VLOOKUP($A214,'Data Vlaue (Cr)'!$C:$FB,8)</f>
        <v>184.69</v>
      </c>
      <c r="C214" s="50">
        <f>VLOOKUP($A214,'Data Vlaue (Cr)'!$C:$FB,11)*100</f>
        <v>-0.52</v>
      </c>
      <c r="D214" s="50">
        <f>VLOOKUP($A214,'Data Vlaue (Cr)'!$C:$FB,143)</f>
        <v>1532.73</v>
      </c>
      <c r="E214" s="50">
        <f>VLOOKUP($A214,'Data Vlaue (Cr)'!$C:$FB,144)</f>
        <v>2105.91</v>
      </c>
      <c r="F214" s="50">
        <f>VLOOKUP($A214,'Data Vlaue (Cr)'!$C:$FB,146)*100</f>
        <v>-27.22</v>
      </c>
      <c r="G214" s="49">
        <f>VLOOKUP($A214,'Data Vlaue (Cr)'!$C:$FB,43)</f>
        <v>432</v>
      </c>
      <c r="H214" s="49">
        <f>VLOOKUP($A214,'Data Vlaue (Cr)'!$C:$FB,44)</f>
        <v>606</v>
      </c>
      <c r="I214" s="49">
        <f>VLOOKUP($A214,'Data Vlaue (Cr)'!$C:$FB,46)*100</f>
        <v>-28.660000000000004</v>
      </c>
      <c r="J214" s="51">
        <f>VLOOKUP($A214,'Data Vlaue (Cr)'!$C:$FB,59)</f>
        <v>716</v>
      </c>
      <c r="K214" s="51">
        <f>VLOOKUP($A214,'Data Vlaue (Cr)'!$C:$FB,60)</f>
        <v>971</v>
      </c>
      <c r="L214" s="51">
        <f>VLOOKUP($A214,'Data Vlaue (Cr)'!$C:$FB,62)*100</f>
        <v>-26.35</v>
      </c>
      <c r="M214" s="51">
        <f>VLOOKUP($A214,'Data Vlaue (Cr)'!$C:$FB,63)</f>
        <v>336</v>
      </c>
      <c r="N214" s="51">
        <f>VLOOKUP($A214,'Data Vlaue (Cr)'!$C:$FB,64)</f>
        <v>491</v>
      </c>
      <c r="O214" s="51">
        <f>VLOOKUP($A214,'Data Vlaue (Cr)'!$C:$FB,66)*100</f>
        <v>-31.53</v>
      </c>
    </row>
    <row r="215" spans="1:15" x14ac:dyDescent="0.25">
      <c r="A215" s="101" t="str">
        <f>'Data Vlaue (Cr)'!C210</f>
        <v>UNITDSPR</v>
      </c>
      <c r="B215" s="50">
        <f>VLOOKUP($A215,'Data Vlaue (Cr)'!$C:$FB,8)</f>
        <v>1249.7</v>
      </c>
      <c r="C215" s="50">
        <f>VLOOKUP($A215,'Data Vlaue (Cr)'!$C:$FB,11)*100</f>
        <v>6.9999999999999993E-2</v>
      </c>
      <c r="D215" s="50">
        <f>VLOOKUP($A215,'Data Vlaue (Cr)'!$C:$FB,143)</f>
        <v>400.36</v>
      </c>
      <c r="E215" s="50">
        <f>VLOOKUP($A215,'Data Vlaue (Cr)'!$C:$FB,144)</f>
        <v>584.47</v>
      </c>
      <c r="F215" s="50">
        <f>VLOOKUP($A215,'Data Vlaue (Cr)'!$C:$FB,146)*100</f>
        <v>-31.5</v>
      </c>
      <c r="G215" s="49">
        <f>VLOOKUP($A215,'Data Vlaue (Cr)'!$C:$FB,43)</f>
        <v>122</v>
      </c>
      <c r="H215" s="49">
        <f>VLOOKUP($A215,'Data Vlaue (Cr)'!$C:$FB,44)</f>
        <v>145</v>
      </c>
      <c r="I215" s="49">
        <f>VLOOKUP($A215,'Data Vlaue (Cr)'!$C:$FB,46)*100</f>
        <v>-15.78</v>
      </c>
      <c r="J215" s="51">
        <f>VLOOKUP($A215,'Data Vlaue (Cr)'!$C:$FB,59)</f>
        <v>209</v>
      </c>
      <c r="K215" s="51">
        <f>VLOOKUP($A215,'Data Vlaue (Cr)'!$C:$FB,60)</f>
        <v>289</v>
      </c>
      <c r="L215" s="51">
        <f>VLOOKUP($A215,'Data Vlaue (Cr)'!$C:$FB,62)*100</f>
        <v>-27.79</v>
      </c>
      <c r="M215" s="51">
        <f>VLOOKUP($A215,'Data Vlaue (Cr)'!$C:$FB,63)</f>
        <v>59</v>
      </c>
      <c r="N215" s="51">
        <f>VLOOKUP($A215,'Data Vlaue (Cr)'!$C:$FB,64)</f>
        <v>129</v>
      </c>
      <c r="O215" s="51">
        <f>VLOOKUP($A215,'Data Vlaue (Cr)'!$C:$FB,66)*100</f>
        <v>-54.72</v>
      </c>
    </row>
    <row r="216" spans="1:15" x14ac:dyDescent="0.25">
      <c r="A216" s="101" t="str">
        <f>'Data Vlaue (Cr)'!C211</f>
        <v>UNOMINDA</v>
      </c>
      <c r="B216" s="50">
        <f>VLOOKUP($A216,'Data Vlaue (Cr)'!$C:$FB,8)</f>
        <v>1054.5999999999999</v>
      </c>
      <c r="C216" s="50">
        <f>VLOOKUP($A216,'Data Vlaue (Cr)'!$C:$FB,11)*100</f>
        <v>-3.27</v>
      </c>
      <c r="D216" s="50">
        <f>VLOOKUP($A216,'Data Vlaue (Cr)'!$C:$FB,143)</f>
        <v>292.60000000000002</v>
      </c>
      <c r="E216" s="50">
        <f>VLOOKUP($A216,'Data Vlaue (Cr)'!$C:$FB,144)</f>
        <v>372.51</v>
      </c>
      <c r="F216" s="50">
        <f>VLOOKUP($A216,'Data Vlaue (Cr)'!$C:$FB,146)*100</f>
        <v>-21.45</v>
      </c>
      <c r="G216" s="49">
        <f>VLOOKUP($A216,'Data Vlaue (Cr)'!$C:$FB,43)</f>
        <v>121</v>
      </c>
      <c r="H216" s="49">
        <f>VLOOKUP($A216,'Data Vlaue (Cr)'!$C:$FB,44)</f>
        <v>92</v>
      </c>
      <c r="I216" s="49">
        <f>VLOOKUP($A216,'Data Vlaue (Cr)'!$C:$FB,46)*100</f>
        <v>30.9</v>
      </c>
      <c r="J216" s="51">
        <f>VLOOKUP($A216,'Data Vlaue (Cr)'!$C:$FB,59)</f>
        <v>104</v>
      </c>
      <c r="K216" s="51">
        <f>VLOOKUP($A216,'Data Vlaue (Cr)'!$C:$FB,60)</f>
        <v>195</v>
      </c>
      <c r="L216" s="51">
        <f>VLOOKUP($A216,'Data Vlaue (Cr)'!$C:$FB,62)*100</f>
        <v>-46.51</v>
      </c>
      <c r="M216" s="51">
        <f>VLOOKUP($A216,'Data Vlaue (Cr)'!$C:$FB,63)</f>
        <v>58</v>
      </c>
      <c r="N216" s="51">
        <f>VLOOKUP($A216,'Data Vlaue (Cr)'!$C:$FB,64)</f>
        <v>58</v>
      </c>
      <c r="O216" s="51">
        <f>VLOOKUP($A216,'Data Vlaue (Cr)'!$C:$FB,66)*100</f>
        <v>0.91</v>
      </c>
    </row>
    <row r="217" spans="1:15" x14ac:dyDescent="0.25">
      <c r="A217" s="101" t="str">
        <f>'Data Vlaue (Cr)'!C220</f>
        <v>ZYDUSLIFE</v>
      </c>
      <c r="B217" s="50">
        <f>VLOOKUP($A217,'Data Vlaue (Cr)'!$C:$FB,8)</f>
        <v>902.25</v>
      </c>
      <c r="C217" s="50">
        <f>VLOOKUP($A217,'Data Vlaue (Cr)'!$C:$FB,11)*100</f>
        <v>1.2</v>
      </c>
      <c r="D217" s="50">
        <f>VLOOKUP($A217,'Data Vlaue (Cr)'!$C:$FB,143)</f>
        <v>773.96</v>
      </c>
      <c r="E217" s="50">
        <f>VLOOKUP($A217,'Data Vlaue (Cr)'!$C:$FB,144)</f>
        <v>422.6</v>
      </c>
      <c r="F217" s="50">
        <f>VLOOKUP($A217,'Data Vlaue (Cr)'!$C:$FB,146)*100</f>
        <v>83.14</v>
      </c>
      <c r="G217" s="49">
        <f>VLOOKUP($A217,'Data Vlaue (Cr)'!$C:$FB,43)</f>
        <v>107</v>
      </c>
      <c r="H217" s="49">
        <f>VLOOKUP($A217,'Data Vlaue (Cr)'!$C:$FB,44)</f>
        <v>119</v>
      </c>
      <c r="I217" s="49">
        <f>VLOOKUP($A217,'Data Vlaue (Cr)'!$C:$FB,46)*100</f>
        <v>-10.52</v>
      </c>
      <c r="J217" s="51">
        <f>VLOOKUP($A217,'Data Vlaue (Cr)'!$C:$FB,59)</f>
        <v>498</v>
      </c>
      <c r="K217" s="51">
        <f>VLOOKUP($A217,'Data Vlaue (Cr)'!$C:$FB,60)</f>
        <v>211</v>
      </c>
      <c r="L217" s="51">
        <f>VLOOKUP($A217,'Data Vlaue (Cr)'!$C:$FB,62)*100</f>
        <v>135.53</v>
      </c>
      <c r="M217" s="51">
        <f>VLOOKUP($A217,'Data Vlaue (Cr)'!$C:$FB,63)</f>
        <v>155</v>
      </c>
      <c r="N217" s="51">
        <f>VLOOKUP($A217,'Data Vlaue (Cr)'!$C:$FB,64)</f>
        <v>94</v>
      </c>
      <c r="O217" s="51">
        <f>VLOOKUP($A217,'Data Vlaue (Cr)'!$C:$FB,66)*100</f>
        <v>65.680000000000007</v>
      </c>
    </row>
    <row r="218" spans="1:15" x14ac:dyDescent="0.25">
      <c r="A218" s="101"/>
      <c r="B218" s="50"/>
      <c r="C218" s="50"/>
      <c r="D218" s="50"/>
      <c r="E218" s="50"/>
      <c r="F218" s="50"/>
      <c r="G218" s="49"/>
      <c r="H218" s="49"/>
      <c r="I218" s="49"/>
      <c r="J218" s="51"/>
      <c r="K218" s="51"/>
      <c r="L218" s="51"/>
      <c r="M218" s="51"/>
      <c r="N218" s="51"/>
      <c r="O218" s="51"/>
    </row>
    <row r="219" spans="1:15" x14ac:dyDescent="0.25">
      <c r="A219" s="101"/>
      <c r="B219" s="50"/>
      <c r="C219" s="50"/>
      <c r="D219" s="50"/>
      <c r="E219" s="50"/>
      <c r="F219" s="50"/>
      <c r="G219" s="49"/>
      <c r="H219" s="49"/>
      <c r="I219" s="49"/>
      <c r="J219" s="51"/>
      <c r="K219" s="51"/>
      <c r="L219" s="51"/>
      <c r="M219" s="51"/>
      <c r="N219" s="51"/>
      <c r="O219" s="51"/>
    </row>
    <row r="220" spans="1:15" x14ac:dyDescent="0.25">
      <c r="A220" s="101"/>
      <c r="B220" s="50"/>
      <c r="C220" s="50"/>
      <c r="D220" s="50"/>
      <c r="E220" s="50"/>
      <c r="F220" s="50"/>
      <c r="G220" s="49"/>
      <c r="H220" s="49"/>
      <c r="I220" s="49"/>
      <c r="J220" s="51"/>
      <c r="K220" s="51"/>
      <c r="L220" s="51"/>
      <c r="M220" s="51"/>
      <c r="N220" s="51"/>
      <c r="O220" s="51"/>
    </row>
    <row r="221" spans="1:15" x14ac:dyDescent="0.25">
      <c r="A221" s="101"/>
      <c r="B221" s="50"/>
      <c r="C221" s="50"/>
      <c r="D221" s="50"/>
      <c r="E221" s="50"/>
      <c r="F221" s="50"/>
      <c r="G221" s="49"/>
      <c r="H221" s="49"/>
      <c r="I221" s="49"/>
      <c r="J221" s="51"/>
      <c r="K221" s="51"/>
      <c r="L221" s="51"/>
      <c r="M221" s="51"/>
      <c r="N221" s="51"/>
      <c r="O221" s="51"/>
    </row>
    <row r="222" spans="1:15" x14ac:dyDescent="0.25">
      <c r="A222" s="101"/>
      <c r="B222" s="50"/>
      <c r="C222" s="50"/>
      <c r="D222" s="50"/>
      <c r="E222" s="50"/>
      <c r="F222" s="50"/>
      <c r="G222" s="49"/>
      <c r="H222" s="49"/>
      <c r="I222" s="49"/>
      <c r="J222" s="51"/>
      <c r="K222" s="51"/>
      <c r="L222" s="51"/>
      <c r="M222" s="51"/>
      <c r="N222" s="51"/>
      <c r="O222" s="51"/>
    </row>
    <row r="223" spans="1:15" x14ac:dyDescent="0.25">
      <c r="A223" s="101"/>
      <c r="B223" s="50"/>
      <c r="C223" s="50"/>
      <c r="D223" s="50"/>
      <c r="E223" s="50"/>
      <c r="F223" s="50"/>
      <c r="G223" s="49"/>
      <c r="H223" s="49"/>
      <c r="I223" s="49"/>
      <c r="J223" s="51"/>
      <c r="K223" s="51"/>
      <c r="L223" s="51"/>
      <c r="M223" s="51"/>
      <c r="N223" s="51"/>
      <c r="O223" s="51"/>
    </row>
    <row r="224" spans="1:15" x14ac:dyDescent="0.25">
      <c r="A224" s="101"/>
      <c r="B224" s="50"/>
      <c r="C224" s="50"/>
      <c r="D224" s="50"/>
      <c r="E224" s="50"/>
      <c r="F224" s="50"/>
      <c r="G224" s="49"/>
      <c r="H224" s="49"/>
      <c r="I224" s="49"/>
      <c r="J224" s="51"/>
      <c r="K224" s="51"/>
      <c r="L224" s="51"/>
      <c r="M224" s="51"/>
      <c r="N224" s="51"/>
      <c r="O224" s="51"/>
    </row>
    <row r="225" spans="1:15" x14ac:dyDescent="0.25">
      <c r="A225" s="101"/>
      <c r="B225" s="50"/>
      <c r="C225" s="50"/>
      <c r="D225" s="50"/>
      <c r="E225" s="50"/>
      <c r="F225" s="50"/>
      <c r="G225" s="49"/>
      <c r="H225" s="49"/>
      <c r="I225" s="49"/>
      <c r="J225" s="51"/>
      <c r="K225" s="51"/>
      <c r="L225" s="51"/>
      <c r="M225" s="51"/>
      <c r="N225" s="51"/>
      <c r="O225" s="51"/>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8367574.1500000013</v>
      </c>
      <c r="E232" s="131">
        <f>SUM(E7:E231)</f>
        <v>8506035.6599999983</v>
      </c>
      <c r="F232" s="132">
        <f>(D232-E232)/E232</f>
        <v>-1.6278030745993488E-2</v>
      </c>
      <c r="G232" s="131">
        <f>SUM(G7:G231)</f>
        <v>97924</v>
      </c>
      <c r="H232" s="131">
        <f>SUM(H7:H231)</f>
        <v>141270</v>
      </c>
      <c r="I232" s="132">
        <f>(G232-H232)/H232</f>
        <v>-0.30683089120124585</v>
      </c>
      <c r="J232" s="131">
        <f>SUM(J7:J231)</f>
        <v>4112836</v>
      </c>
      <c r="K232" s="131">
        <f>SUM(K7:K231)</f>
        <v>4479374</v>
      </c>
      <c r="L232" s="132">
        <f>(J232-K232)/K232</f>
        <v>-8.1827951852200778E-2</v>
      </c>
      <c r="M232" s="131">
        <f>SUM(M7:M231)</f>
        <v>4123850</v>
      </c>
      <c r="N232" s="131">
        <f>SUM(N7:N231)</f>
        <v>3873537</v>
      </c>
      <c r="O232" s="132">
        <f>(M232-N232)/N232</f>
        <v>6.4621300893730971E-2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9"/>
  <sheetViews>
    <sheetView workbookViewId="0">
      <pane ySplit="6" topLeftCell="A207" activePane="bottomLeft" state="frozen"/>
      <selection pane="bottomLeft" activeCell="N220" sqref="N220"/>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3" t="s">
        <v>315</v>
      </c>
      <c r="B3" s="300"/>
      <c r="C3" s="300"/>
      <c r="D3" s="300"/>
      <c r="E3" s="300"/>
      <c r="F3" s="300"/>
      <c r="G3" s="300"/>
      <c r="H3" s="300"/>
      <c r="I3" s="300"/>
      <c r="J3" s="300"/>
      <c r="K3" s="300"/>
      <c r="L3" s="300"/>
      <c r="M3" s="300"/>
      <c r="N3" s="300"/>
      <c r="O3" s="301"/>
    </row>
    <row r="4" spans="1:15" x14ac:dyDescent="0.25">
      <c r="A4" s="304" t="s">
        <v>330</v>
      </c>
      <c r="B4" s="304" t="s">
        <v>308</v>
      </c>
      <c r="C4" s="304"/>
      <c r="D4" s="304" t="s">
        <v>361</v>
      </c>
      <c r="E4" s="304"/>
      <c r="F4" s="304"/>
      <c r="G4" s="304"/>
      <c r="H4" s="304"/>
      <c r="I4" s="304"/>
      <c r="J4" s="304"/>
      <c r="K4" s="304"/>
      <c r="L4" s="304"/>
      <c r="M4" s="304"/>
      <c r="N4" s="304"/>
      <c r="O4" s="304"/>
    </row>
    <row r="5" spans="1:15" x14ac:dyDescent="0.25">
      <c r="A5" s="305"/>
      <c r="B5" s="305" t="s">
        <v>312</v>
      </c>
      <c r="C5" s="305"/>
      <c r="D5" s="305" t="s">
        <v>315</v>
      </c>
      <c r="E5" s="305"/>
      <c r="F5" s="305"/>
      <c r="G5" s="305" t="s">
        <v>362</v>
      </c>
      <c r="H5" s="305"/>
      <c r="I5" s="305"/>
      <c r="J5" s="305" t="s">
        <v>363</v>
      </c>
      <c r="K5" s="305"/>
      <c r="L5" s="305"/>
      <c r="M5" s="305" t="s">
        <v>364</v>
      </c>
      <c r="N5" s="305"/>
      <c r="O5" s="305"/>
    </row>
    <row r="6" spans="1:15" x14ac:dyDescent="0.25">
      <c r="A6" s="34" t="s">
        <v>318</v>
      </c>
      <c r="B6" s="21">
        <f>'Total Value'!B6</f>
        <v>46121</v>
      </c>
      <c r="C6" s="34" t="s">
        <v>328</v>
      </c>
      <c r="D6" s="21">
        <f>B6</f>
        <v>46121</v>
      </c>
      <c r="E6" s="34" t="s">
        <v>322</v>
      </c>
      <c r="F6" s="34" t="s">
        <v>328</v>
      </c>
      <c r="G6" s="21">
        <f>D6</f>
        <v>46121</v>
      </c>
      <c r="H6" s="34" t="s">
        <v>322</v>
      </c>
      <c r="I6" s="34" t="s">
        <v>328</v>
      </c>
      <c r="J6" s="21">
        <f>D6</f>
        <v>46121</v>
      </c>
      <c r="K6" s="34" t="s">
        <v>322</v>
      </c>
      <c r="L6" s="34" t="s">
        <v>328</v>
      </c>
      <c r="M6" s="21">
        <f>D6</f>
        <v>46121</v>
      </c>
      <c r="N6" s="34" t="s">
        <v>322</v>
      </c>
      <c r="O6" s="34" t="s">
        <v>328</v>
      </c>
    </row>
    <row r="7" spans="1:15" x14ac:dyDescent="0.25">
      <c r="A7" s="101" t="str">
        <f>'Data Vlaue (Cr)'!C2</f>
        <v>360ONE</v>
      </c>
      <c r="B7" s="50">
        <f>VLOOKUP($A7,'Data shares'!$C:$FB,7)</f>
        <v>998.1</v>
      </c>
      <c r="C7" s="50">
        <f>VLOOKUP($A7,'Data shares'!$C:$FB,10)*100</f>
        <v>2.7199999999999998</v>
      </c>
      <c r="D7" s="49">
        <f>VLOOKUP($A7,'Data shares'!$C:$FB,66)</f>
        <v>6903000</v>
      </c>
      <c r="E7" s="49">
        <f>VLOOKUP($A7,'Data shares'!$C:$FB,67)</f>
        <v>6714500</v>
      </c>
      <c r="F7" s="50">
        <f>VLOOKUP($A7,'Data shares'!$C:$FB,69)*100</f>
        <v>2.81</v>
      </c>
      <c r="G7" s="49">
        <f>VLOOKUP($A7,'Data shares'!$C:$FB,42)</f>
        <v>1866500</v>
      </c>
      <c r="H7" s="49">
        <f>VLOOKUP($A7,'Data shares'!$C:$FB,43)</f>
        <v>2853000</v>
      </c>
      <c r="I7" s="50">
        <f>VLOOKUP($A7,'Data shares'!$C:$FB,45)*100</f>
        <v>-34.58</v>
      </c>
      <c r="J7" s="49">
        <f>VLOOKUP($A7,'Data shares'!$C:$FB,58)</f>
        <v>4188000</v>
      </c>
      <c r="K7" s="49">
        <f>VLOOKUP($A7,'Data shares'!$C:$FB,59)</f>
        <v>3102000</v>
      </c>
      <c r="L7" s="50">
        <f>VLOOKUP($A7,'Data shares'!$C:$FB,61)*100</f>
        <v>35.010000000000005</v>
      </c>
      <c r="M7" s="49">
        <f>VLOOKUP($A7,'Data shares'!$C:$FB,62)</f>
        <v>848500</v>
      </c>
      <c r="N7" s="49">
        <f>VLOOKUP($A7,'Data shares'!$C:$FB,63)</f>
        <v>759500</v>
      </c>
      <c r="O7" s="140">
        <f>VLOOKUP($A7,'Data shares'!$C:$FB,65)*100</f>
        <v>11.72</v>
      </c>
    </row>
    <row r="8" spans="1:15" x14ac:dyDescent="0.25">
      <c r="A8" s="101" t="str">
        <f>'Data Vlaue (Cr)'!C3</f>
        <v>ABB</v>
      </c>
      <c r="B8" s="50">
        <f>VLOOKUP($A8,'Data shares'!$C:$FB,7)</f>
        <v>6614</v>
      </c>
      <c r="C8" s="50">
        <f>VLOOKUP($A8,'Data shares'!$C:$FB,10)*100</f>
        <v>0.75</v>
      </c>
      <c r="D8" s="49">
        <f>VLOOKUP($A8,'Data shares'!$C:$FB,66)</f>
        <v>2978125</v>
      </c>
      <c r="E8" s="49">
        <f>VLOOKUP($A8,'Data shares'!$C:$FB,67)</f>
        <v>3918625</v>
      </c>
      <c r="F8" s="50">
        <f>VLOOKUP($A8,'Data shares'!$C:$FB,69)*100</f>
        <v>-24</v>
      </c>
      <c r="G8" s="49">
        <f>VLOOKUP($A8,'Data shares'!$C:$FB,42)</f>
        <v>669375</v>
      </c>
      <c r="H8" s="49">
        <f>VLOOKUP($A8,'Data shares'!$C:$FB,43)</f>
        <v>720500</v>
      </c>
      <c r="I8" s="50">
        <f>VLOOKUP($A8,'Data shares'!$C:$FB,45)*100</f>
        <v>-7.1</v>
      </c>
      <c r="J8" s="49">
        <f>VLOOKUP($A8,'Data shares'!$C:$FB,58)</f>
        <v>1560000</v>
      </c>
      <c r="K8" s="49">
        <f>VLOOKUP($A8,'Data shares'!$C:$FB,59)</f>
        <v>2236000</v>
      </c>
      <c r="L8" s="50">
        <f>VLOOKUP($A8,'Data shares'!$C:$FB,61)*100</f>
        <v>-30.23</v>
      </c>
      <c r="M8" s="49">
        <f>VLOOKUP($A8,'Data shares'!$C:$FB,62)</f>
        <v>748750</v>
      </c>
      <c r="N8" s="49">
        <f>VLOOKUP($A8,'Data shares'!$C:$FB,63)</f>
        <v>962125</v>
      </c>
      <c r="O8" s="140">
        <f>VLOOKUP($A8,'Data shares'!$C:$FB,65)*100</f>
        <v>-22.18</v>
      </c>
    </row>
    <row r="9" spans="1:15" x14ac:dyDescent="0.25">
      <c r="A9" s="101" t="str">
        <f>'Data Vlaue (Cr)'!C4</f>
        <v>ABCAPITAL</v>
      </c>
      <c r="B9" s="50">
        <f>VLOOKUP($A9,'Data shares'!$C:$FB,7)</f>
        <v>334.55</v>
      </c>
      <c r="C9" s="50">
        <f>VLOOKUP($A9,'Data shares'!$C:$FB,10)*100</f>
        <v>-1.1400000000000001</v>
      </c>
      <c r="D9" s="49">
        <f>VLOOKUP($A9,'Data shares'!$C:$FB,66)</f>
        <v>29124500</v>
      </c>
      <c r="E9" s="49">
        <f>VLOOKUP($A9,'Data shares'!$C:$FB,67)</f>
        <v>55666700</v>
      </c>
      <c r="F9" s="50">
        <f>VLOOKUP($A9,'Data shares'!$C:$FB,69)*100</f>
        <v>-47.68</v>
      </c>
      <c r="G9" s="49">
        <f>VLOOKUP($A9,'Data shares'!$C:$FB,42)</f>
        <v>8652100</v>
      </c>
      <c r="H9" s="49">
        <f>VLOOKUP($A9,'Data shares'!$C:$FB,43)</f>
        <v>13556300</v>
      </c>
      <c r="I9" s="50">
        <f>VLOOKUP($A9,'Data shares'!$C:$FB,45)*100</f>
        <v>-36.18</v>
      </c>
      <c r="J9" s="49">
        <f>VLOOKUP($A9,'Data shares'!$C:$FB,58)</f>
        <v>10412900</v>
      </c>
      <c r="K9" s="49">
        <f>VLOOKUP($A9,'Data shares'!$C:$FB,59)</f>
        <v>21603900</v>
      </c>
      <c r="L9" s="50">
        <f>VLOOKUP($A9,'Data shares'!$C:$FB,61)*100</f>
        <v>-51.800000000000004</v>
      </c>
      <c r="M9" s="49">
        <f>VLOOKUP($A9,'Data shares'!$C:$FB,62)</f>
        <v>10059500</v>
      </c>
      <c r="N9" s="49">
        <f>VLOOKUP($A9,'Data shares'!$C:$FB,63)</f>
        <v>20506500</v>
      </c>
      <c r="O9" s="140">
        <f>VLOOKUP($A9,'Data shares'!$C:$FB,65)*100</f>
        <v>-50.94</v>
      </c>
    </row>
    <row r="10" spans="1:15" x14ac:dyDescent="0.25">
      <c r="A10" s="101" t="str">
        <f>'Data Vlaue (Cr)'!C5</f>
        <v>ADANIENSOL</v>
      </c>
      <c r="B10" s="50">
        <f>VLOOKUP($A10,'Data shares'!$C:$FB,7)</f>
        <v>1078.75</v>
      </c>
      <c r="C10" s="50">
        <f>VLOOKUP($A10,'Data shares'!$C:$FB,10)*100</f>
        <v>0.51</v>
      </c>
      <c r="D10" s="49">
        <f>VLOOKUP($A10,'Data shares'!$C:$FB,66)</f>
        <v>9104400</v>
      </c>
      <c r="E10" s="49">
        <f>VLOOKUP($A10,'Data shares'!$C:$FB,67)</f>
        <v>20133900</v>
      </c>
      <c r="F10" s="50">
        <f>VLOOKUP($A10,'Data shares'!$C:$FB,69)*100</f>
        <v>-54.779999999999994</v>
      </c>
      <c r="G10" s="49">
        <f>VLOOKUP($A10,'Data shares'!$C:$FB,42)</f>
        <v>2600775</v>
      </c>
      <c r="H10" s="49">
        <f>VLOOKUP($A10,'Data shares'!$C:$FB,43)</f>
        <v>4677075</v>
      </c>
      <c r="I10" s="50">
        <f>VLOOKUP($A10,'Data shares'!$C:$FB,45)*100</f>
        <v>-44.39</v>
      </c>
      <c r="J10" s="49">
        <f>VLOOKUP($A10,'Data shares'!$C:$FB,58)</f>
        <v>4789800</v>
      </c>
      <c r="K10" s="49">
        <f>VLOOKUP($A10,'Data shares'!$C:$FB,59)</f>
        <v>12122325</v>
      </c>
      <c r="L10" s="50">
        <f>VLOOKUP($A10,'Data shares'!$C:$FB,61)*100</f>
        <v>-60.49</v>
      </c>
      <c r="M10" s="49">
        <f>VLOOKUP($A10,'Data shares'!$C:$FB,62)</f>
        <v>1713825</v>
      </c>
      <c r="N10" s="49">
        <f>VLOOKUP($A10,'Data shares'!$C:$FB,63)</f>
        <v>3334500</v>
      </c>
      <c r="O10" s="140">
        <f>VLOOKUP($A10,'Data shares'!$C:$FB,65)*100</f>
        <v>-48.6</v>
      </c>
    </row>
    <row r="11" spans="1:15" x14ac:dyDescent="0.25">
      <c r="A11" s="101" t="str">
        <f>'Data Vlaue (Cr)'!C6</f>
        <v>ADANIENT</v>
      </c>
      <c r="B11" s="50">
        <f>VLOOKUP($A11,'Data shares'!$C:$FB,7)</f>
        <v>2040.5</v>
      </c>
      <c r="C11" s="50">
        <f>VLOOKUP($A11,'Data shares'!$C:$FB,10)*100</f>
        <v>-0.16</v>
      </c>
      <c r="D11" s="49">
        <f>VLOOKUP($A11,'Data shares'!$C:$FB,66)</f>
        <v>13856487</v>
      </c>
      <c r="E11" s="49">
        <f>VLOOKUP($A11,'Data shares'!$C:$FB,67)</f>
        <v>41496846</v>
      </c>
      <c r="F11" s="50">
        <f>VLOOKUP($A11,'Data shares'!$C:$FB,69)*100</f>
        <v>-66.61</v>
      </c>
      <c r="G11" s="49">
        <f>VLOOKUP($A11,'Data shares'!$C:$FB,42)</f>
        <v>3382623</v>
      </c>
      <c r="H11" s="49">
        <f>VLOOKUP($A11,'Data shares'!$C:$FB,43)</f>
        <v>5394522</v>
      </c>
      <c r="I11" s="50">
        <f>VLOOKUP($A11,'Data shares'!$C:$FB,45)*100</f>
        <v>-37.299999999999997</v>
      </c>
      <c r="J11" s="49">
        <f>VLOOKUP($A11,'Data shares'!$C:$FB,58)</f>
        <v>7313103</v>
      </c>
      <c r="K11" s="49">
        <f>VLOOKUP($A11,'Data shares'!$C:$FB,59)</f>
        <v>25910268</v>
      </c>
      <c r="L11" s="50">
        <f>VLOOKUP($A11,'Data shares'!$C:$FB,61)*100</f>
        <v>-71.78</v>
      </c>
      <c r="M11" s="49">
        <f>VLOOKUP($A11,'Data shares'!$C:$FB,62)</f>
        <v>3160761</v>
      </c>
      <c r="N11" s="49">
        <f>VLOOKUP($A11,'Data shares'!$C:$FB,63)</f>
        <v>10192056</v>
      </c>
      <c r="O11" s="140">
        <f>VLOOKUP($A11,'Data shares'!$C:$FB,65)*100</f>
        <v>-68.989999999999995</v>
      </c>
    </row>
    <row r="12" spans="1:15" x14ac:dyDescent="0.25">
      <c r="A12" s="101" t="str">
        <f>'Data Vlaue (Cr)'!C7</f>
        <v>ADANIGREEN</v>
      </c>
      <c r="B12" s="50">
        <f>VLOOKUP($A12,'Data shares'!$C:$FB,7)</f>
        <v>1044.55</v>
      </c>
      <c r="C12" s="50">
        <f>VLOOKUP($A12,'Data shares'!$C:$FB,10)*100</f>
        <v>1.4500000000000002</v>
      </c>
      <c r="D12" s="49">
        <f>VLOOKUP($A12,'Data shares'!$C:$FB,66)</f>
        <v>21910800</v>
      </c>
      <c r="E12" s="49">
        <f>VLOOKUP($A12,'Data shares'!$C:$FB,67)</f>
        <v>57915000</v>
      </c>
      <c r="F12" s="50">
        <f>VLOOKUP($A12,'Data shares'!$C:$FB,69)*100</f>
        <v>-62.17</v>
      </c>
      <c r="G12" s="49">
        <f>VLOOKUP($A12,'Data shares'!$C:$FB,42)</f>
        <v>4716000</v>
      </c>
      <c r="H12" s="49">
        <f>VLOOKUP($A12,'Data shares'!$C:$FB,43)</f>
        <v>9527400</v>
      </c>
      <c r="I12" s="50">
        <f>VLOOKUP($A12,'Data shares'!$C:$FB,45)*100</f>
        <v>-50.5</v>
      </c>
      <c r="J12" s="49">
        <f>VLOOKUP($A12,'Data shares'!$C:$FB,58)</f>
        <v>10861200</v>
      </c>
      <c r="K12" s="49">
        <f>VLOOKUP($A12,'Data shares'!$C:$FB,59)</f>
        <v>34893600</v>
      </c>
      <c r="L12" s="50">
        <f>VLOOKUP($A12,'Data shares'!$C:$FB,61)*100</f>
        <v>-68.87</v>
      </c>
      <c r="M12" s="49">
        <f>VLOOKUP($A12,'Data shares'!$C:$FB,62)</f>
        <v>6333600</v>
      </c>
      <c r="N12" s="49">
        <f>VLOOKUP($A12,'Data shares'!$C:$FB,63)</f>
        <v>13494000</v>
      </c>
      <c r="O12" s="140">
        <f>VLOOKUP($A12,'Data shares'!$C:$FB,65)*100</f>
        <v>-53.059999999999995</v>
      </c>
    </row>
    <row r="13" spans="1:15" x14ac:dyDescent="0.25">
      <c r="A13" s="101" t="str">
        <f>'Data Vlaue (Cr)'!C8</f>
        <v>ADANIPORTS</v>
      </c>
      <c r="B13" s="50">
        <f>VLOOKUP($A13,'Data shares'!$C:$FB,7)</f>
        <v>1447.4</v>
      </c>
      <c r="C13" s="50">
        <f>VLOOKUP($A13,'Data shares'!$C:$FB,10)*100</f>
        <v>-0.41000000000000003</v>
      </c>
      <c r="D13" s="49">
        <f>VLOOKUP($A13,'Data shares'!$C:$FB,66)</f>
        <v>20635425</v>
      </c>
      <c r="E13" s="49">
        <f>VLOOKUP($A13,'Data shares'!$C:$FB,67)</f>
        <v>74563125</v>
      </c>
      <c r="F13" s="50">
        <f>VLOOKUP($A13,'Data shares'!$C:$FB,69)*100</f>
        <v>-72.319999999999993</v>
      </c>
      <c r="G13" s="49">
        <f>VLOOKUP($A13,'Data shares'!$C:$FB,42)</f>
        <v>3752500</v>
      </c>
      <c r="H13" s="49">
        <f>VLOOKUP($A13,'Data shares'!$C:$FB,43)</f>
        <v>8763750</v>
      </c>
      <c r="I13" s="50">
        <f>VLOOKUP($A13,'Data shares'!$C:$FB,45)*100</f>
        <v>-57.18</v>
      </c>
      <c r="J13" s="49">
        <f>VLOOKUP($A13,'Data shares'!$C:$FB,58)</f>
        <v>10437175</v>
      </c>
      <c r="K13" s="49">
        <f>VLOOKUP($A13,'Data shares'!$C:$FB,59)</f>
        <v>44289950</v>
      </c>
      <c r="L13" s="50">
        <f>VLOOKUP($A13,'Data shares'!$C:$FB,61)*100</f>
        <v>-76.429999999999993</v>
      </c>
      <c r="M13" s="49">
        <f>VLOOKUP($A13,'Data shares'!$C:$FB,62)</f>
        <v>6445750</v>
      </c>
      <c r="N13" s="49">
        <f>VLOOKUP($A13,'Data shares'!$C:$FB,63)</f>
        <v>21509425</v>
      </c>
      <c r="O13" s="140">
        <f>VLOOKUP($A13,'Data shares'!$C:$FB,65)*100</f>
        <v>-70.03</v>
      </c>
    </row>
    <row r="14" spans="1:15" x14ac:dyDescent="0.25">
      <c r="A14" s="101" t="str">
        <f>'Data Vlaue (Cr)'!C9</f>
        <v>ADANIPOWER</v>
      </c>
      <c r="B14" s="50">
        <f>VLOOKUP($A14,'Data shares'!$C:$FB,7)</f>
        <v>172.33</v>
      </c>
      <c r="C14" s="50">
        <f>VLOOKUP($A14,'Data shares'!$C:$FB,10)*100</f>
        <v>1.78</v>
      </c>
      <c r="D14" s="49">
        <f>VLOOKUP($A14,'Data shares'!$C:$FB,66)</f>
        <v>52674900</v>
      </c>
      <c r="E14" s="49">
        <f>VLOOKUP($A14,'Data shares'!$C:$FB,67)</f>
        <v>101473200</v>
      </c>
      <c r="F14" s="50">
        <f>VLOOKUP($A14,'Data shares'!$C:$FB,69)*100</f>
        <v>-48.089999999999996</v>
      </c>
      <c r="G14" s="49">
        <f>VLOOKUP($A14,'Data shares'!$C:$FB,42)</f>
        <v>19887100</v>
      </c>
      <c r="H14" s="49">
        <f>VLOOKUP($A14,'Data shares'!$C:$FB,43)</f>
        <v>32727450</v>
      </c>
      <c r="I14" s="50">
        <f>VLOOKUP($A14,'Data shares'!$C:$FB,45)*100</f>
        <v>-39.229999999999997</v>
      </c>
      <c r="J14" s="49">
        <f>VLOOKUP($A14,'Data shares'!$C:$FB,58)</f>
        <v>26248700</v>
      </c>
      <c r="K14" s="49">
        <f>VLOOKUP($A14,'Data shares'!$C:$FB,59)</f>
        <v>60623350</v>
      </c>
      <c r="L14" s="50">
        <f>VLOOKUP($A14,'Data shares'!$C:$FB,61)*100</f>
        <v>-56.699999999999996</v>
      </c>
      <c r="M14" s="49">
        <f>VLOOKUP($A14,'Data shares'!$C:$FB,62)</f>
        <v>6539100</v>
      </c>
      <c r="N14" s="49">
        <f>VLOOKUP($A14,'Data shares'!$C:$FB,63)</f>
        <v>8122400</v>
      </c>
      <c r="O14" s="140">
        <f>VLOOKUP($A14,'Data shares'!$C:$FB,65)*100</f>
        <v>-19.489999999999998</v>
      </c>
    </row>
    <row r="15" spans="1:15" x14ac:dyDescent="0.25">
      <c r="A15" s="101" t="str">
        <f>'Data Vlaue (Cr)'!C10</f>
        <v>ALKEM</v>
      </c>
      <c r="B15" s="50">
        <f>VLOOKUP($A15,'Data shares'!$C:$FB,7)</f>
        <v>5370.5</v>
      </c>
      <c r="C15" s="50">
        <f>VLOOKUP($A15,'Data shares'!$C:$FB,10)*100</f>
        <v>2.37</v>
      </c>
      <c r="D15" s="49">
        <f>VLOOKUP($A15,'Data shares'!$C:$FB,66)</f>
        <v>700625</v>
      </c>
      <c r="E15" s="49">
        <f>VLOOKUP($A15,'Data shares'!$C:$FB,67)</f>
        <v>714375</v>
      </c>
      <c r="F15" s="50">
        <f>VLOOKUP($A15,'Data shares'!$C:$FB,69)*100</f>
        <v>-1.92</v>
      </c>
      <c r="G15" s="49">
        <f>VLOOKUP($A15,'Data shares'!$C:$FB,42)</f>
        <v>176500</v>
      </c>
      <c r="H15" s="49">
        <f>VLOOKUP($A15,'Data shares'!$C:$FB,43)</f>
        <v>145000</v>
      </c>
      <c r="I15" s="50">
        <f>VLOOKUP($A15,'Data shares'!$C:$FB,45)*100</f>
        <v>21.72</v>
      </c>
      <c r="J15" s="49">
        <f>VLOOKUP($A15,'Data shares'!$C:$FB,58)</f>
        <v>384250</v>
      </c>
      <c r="K15" s="49">
        <f>VLOOKUP($A15,'Data shares'!$C:$FB,59)</f>
        <v>395250</v>
      </c>
      <c r="L15" s="50">
        <f>VLOOKUP($A15,'Data shares'!$C:$FB,61)*100</f>
        <v>-2.78</v>
      </c>
      <c r="M15" s="49">
        <f>VLOOKUP($A15,'Data shares'!$C:$FB,62)</f>
        <v>139875</v>
      </c>
      <c r="N15" s="49">
        <f>VLOOKUP($A15,'Data shares'!$C:$FB,63)</f>
        <v>174125</v>
      </c>
      <c r="O15" s="140">
        <f>VLOOKUP($A15,'Data shares'!$C:$FB,65)*100</f>
        <v>-19.670000000000002</v>
      </c>
    </row>
    <row r="16" spans="1:15" x14ac:dyDescent="0.25">
      <c r="A16" s="101" t="str">
        <f>'Data Vlaue (Cr)'!C11</f>
        <v>AMBER</v>
      </c>
      <c r="B16" s="50">
        <f>VLOOKUP($A16,'Data shares'!$C:$FB,7)</f>
        <v>6888.5</v>
      </c>
      <c r="C16" s="50">
        <f>VLOOKUP($A16,'Data shares'!$C:$FB,10)*100</f>
        <v>-0.8</v>
      </c>
      <c r="D16" s="49">
        <f>VLOOKUP($A16,'Data shares'!$C:$FB,66)</f>
        <v>2010900</v>
      </c>
      <c r="E16" s="49">
        <f>VLOOKUP($A16,'Data shares'!$C:$FB,67)</f>
        <v>3132800</v>
      </c>
      <c r="F16" s="50">
        <f>VLOOKUP($A16,'Data shares'!$C:$FB,69)*100</f>
        <v>-35.809999999999995</v>
      </c>
      <c r="G16" s="49">
        <f>VLOOKUP($A16,'Data shares'!$C:$FB,42)</f>
        <v>539200</v>
      </c>
      <c r="H16" s="49">
        <f>VLOOKUP($A16,'Data shares'!$C:$FB,43)</f>
        <v>551400</v>
      </c>
      <c r="I16" s="50">
        <f>VLOOKUP($A16,'Data shares'!$C:$FB,45)*100</f>
        <v>-2.21</v>
      </c>
      <c r="J16" s="49">
        <f>VLOOKUP($A16,'Data shares'!$C:$FB,58)</f>
        <v>948200</v>
      </c>
      <c r="K16" s="49">
        <f>VLOOKUP($A16,'Data shares'!$C:$FB,59)</f>
        <v>1811600</v>
      </c>
      <c r="L16" s="50">
        <f>VLOOKUP($A16,'Data shares'!$C:$FB,61)*100</f>
        <v>-47.660000000000004</v>
      </c>
      <c r="M16" s="49">
        <f>VLOOKUP($A16,'Data shares'!$C:$FB,62)</f>
        <v>523500</v>
      </c>
      <c r="N16" s="49">
        <f>VLOOKUP($A16,'Data shares'!$C:$FB,63)</f>
        <v>769800</v>
      </c>
      <c r="O16" s="140">
        <f>VLOOKUP($A16,'Data shares'!$C:$FB,65)*100</f>
        <v>-32</v>
      </c>
    </row>
    <row r="17" spans="1:15" x14ac:dyDescent="0.25">
      <c r="A17" s="101" t="str">
        <f>'Data Vlaue (Cr)'!C12</f>
        <v>AMBUJACEM</v>
      </c>
      <c r="B17" s="50">
        <f>VLOOKUP($A17,'Data shares'!$C:$FB,7)</f>
        <v>434.05</v>
      </c>
      <c r="C17" s="50">
        <f>VLOOKUP($A17,'Data shares'!$C:$FB,10)*100</f>
        <v>-2.8400000000000003</v>
      </c>
      <c r="D17" s="49">
        <f>VLOOKUP($A17,'Data shares'!$C:$FB,66)</f>
        <v>27344100</v>
      </c>
      <c r="E17" s="49">
        <f>VLOOKUP($A17,'Data shares'!$C:$FB,67)</f>
        <v>53405100</v>
      </c>
      <c r="F17" s="50">
        <f>VLOOKUP($A17,'Data shares'!$C:$FB,69)*100</f>
        <v>-48.8</v>
      </c>
      <c r="G17" s="49">
        <f>VLOOKUP($A17,'Data shares'!$C:$FB,42)</f>
        <v>8263500</v>
      </c>
      <c r="H17" s="49">
        <f>VLOOKUP($A17,'Data shares'!$C:$FB,43)</f>
        <v>13994400</v>
      </c>
      <c r="I17" s="50">
        <f>VLOOKUP($A17,'Data shares'!$C:$FB,45)*100</f>
        <v>-40.949999999999996</v>
      </c>
      <c r="J17" s="49">
        <f>VLOOKUP($A17,'Data shares'!$C:$FB,58)</f>
        <v>12747000</v>
      </c>
      <c r="K17" s="49">
        <f>VLOOKUP($A17,'Data shares'!$C:$FB,59)</f>
        <v>27757800</v>
      </c>
      <c r="L17" s="50">
        <f>VLOOKUP($A17,'Data shares'!$C:$FB,61)*100</f>
        <v>-54.08</v>
      </c>
      <c r="M17" s="49">
        <f>VLOOKUP($A17,'Data shares'!$C:$FB,62)</f>
        <v>6333600</v>
      </c>
      <c r="N17" s="49">
        <f>VLOOKUP($A17,'Data shares'!$C:$FB,63)</f>
        <v>11652900</v>
      </c>
      <c r="O17" s="140">
        <f>VLOOKUP($A17,'Data shares'!$C:$FB,65)*100</f>
        <v>-45.65</v>
      </c>
    </row>
    <row r="18" spans="1:15" x14ac:dyDescent="0.25">
      <c r="A18" s="101" t="str">
        <f>'Data Vlaue (Cr)'!C13</f>
        <v>ANGELONE</v>
      </c>
      <c r="B18" s="50">
        <f>VLOOKUP($A18,'Data shares'!$C:$FB,7)</f>
        <v>281.8</v>
      </c>
      <c r="C18" s="50">
        <f>VLOOKUP($A18,'Data shares'!$C:$FB,10)*100</f>
        <v>5.3</v>
      </c>
      <c r="D18" s="49">
        <f>VLOOKUP($A18,'Data shares'!$C:$FB,66)</f>
        <v>109022500</v>
      </c>
      <c r="E18" s="49">
        <f>VLOOKUP($A18,'Data shares'!$C:$FB,67)</f>
        <v>67522500</v>
      </c>
      <c r="F18" s="50">
        <f>VLOOKUP($A18,'Data shares'!$C:$FB,69)*100</f>
        <v>61.46</v>
      </c>
      <c r="G18" s="49">
        <f>VLOOKUP($A18,'Data shares'!$C:$FB,42)</f>
        <v>23160000</v>
      </c>
      <c r="H18" s="49">
        <f>VLOOKUP($A18,'Data shares'!$C:$FB,43)</f>
        <v>15257500</v>
      </c>
      <c r="I18" s="50">
        <f>VLOOKUP($A18,'Data shares'!$C:$FB,45)*100</f>
        <v>51.790000000000006</v>
      </c>
      <c r="J18" s="49">
        <f>VLOOKUP($A18,'Data shares'!$C:$FB,58)</f>
        <v>58797500</v>
      </c>
      <c r="K18" s="49">
        <f>VLOOKUP($A18,'Data shares'!$C:$FB,59)</f>
        <v>35360000</v>
      </c>
      <c r="L18" s="50">
        <f>VLOOKUP($A18,'Data shares'!$C:$FB,61)*100</f>
        <v>66.28</v>
      </c>
      <c r="M18" s="49">
        <f>VLOOKUP($A18,'Data shares'!$C:$FB,62)</f>
        <v>27065000</v>
      </c>
      <c r="N18" s="49">
        <f>VLOOKUP($A18,'Data shares'!$C:$FB,63)</f>
        <v>16905000</v>
      </c>
      <c r="O18" s="140">
        <f>VLOOKUP($A18,'Data shares'!$C:$FB,65)*100</f>
        <v>60.099999999999994</v>
      </c>
    </row>
    <row r="19" spans="1:15" x14ac:dyDescent="0.25">
      <c r="A19" s="101" t="str">
        <f>'Data Vlaue (Cr)'!C14</f>
        <v>APLAPOLLO</v>
      </c>
      <c r="B19" s="50">
        <f>VLOOKUP($A19,'Data shares'!$C:$FB,7)</f>
        <v>2040.3</v>
      </c>
      <c r="C19" s="50">
        <f>VLOOKUP($A19,'Data shares'!$C:$FB,10)*100</f>
        <v>-0.36</v>
      </c>
      <c r="D19" s="49">
        <f>VLOOKUP($A19,'Data shares'!$C:$FB,66)</f>
        <v>1920800</v>
      </c>
      <c r="E19" s="49">
        <f>VLOOKUP($A19,'Data shares'!$C:$FB,67)</f>
        <v>4189500</v>
      </c>
      <c r="F19" s="50">
        <f>VLOOKUP($A19,'Data shares'!$C:$FB,69)*100</f>
        <v>-54.15</v>
      </c>
      <c r="G19" s="49">
        <f>VLOOKUP($A19,'Data shares'!$C:$FB,42)</f>
        <v>564900</v>
      </c>
      <c r="H19" s="49">
        <f>VLOOKUP($A19,'Data shares'!$C:$FB,43)</f>
        <v>1280650</v>
      </c>
      <c r="I19" s="50">
        <f>VLOOKUP($A19,'Data shares'!$C:$FB,45)*100</f>
        <v>-55.889999999999993</v>
      </c>
      <c r="J19" s="49">
        <f>VLOOKUP($A19,'Data shares'!$C:$FB,58)</f>
        <v>952000</v>
      </c>
      <c r="K19" s="49">
        <f>VLOOKUP($A19,'Data shares'!$C:$FB,59)</f>
        <v>1990800</v>
      </c>
      <c r="L19" s="50">
        <f>VLOOKUP($A19,'Data shares'!$C:$FB,61)*100</f>
        <v>-52.180000000000007</v>
      </c>
      <c r="M19" s="49">
        <f>VLOOKUP($A19,'Data shares'!$C:$FB,62)</f>
        <v>403900</v>
      </c>
      <c r="N19" s="49">
        <f>VLOOKUP($A19,'Data shares'!$C:$FB,63)</f>
        <v>918050</v>
      </c>
      <c r="O19" s="140">
        <f>VLOOKUP($A19,'Data shares'!$C:$FB,65)*100</f>
        <v>-56.000000000000007</v>
      </c>
    </row>
    <row r="20" spans="1:15" x14ac:dyDescent="0.25">
      <c r="A20" s="101" t="str">
        <f>'Data Vlaue (Cr)'!C15</f>
        <v>APOLLOHOSP</v>
      </c>
      <c r="B20" s="50">
        <f>VLOOKUP($A20,'Data shares'!$C:$FB,7)</f>
        <v>7481.5</v>
      </c>
      <c r="C20" s="50">
        <f>VLOOKUP($A20,'Data shares'!$C:$FB,10)*100</f>
        <v>1.08</v>
      </c>
      <c r="D20" s="49">
        <f>VLOOKUP($A20,'Data shares'!$C:$FB,66)</f>
        <v>3120250</v>
      </c>
      <c r="E20" s="49">
        <f>VLOOKUP($A20,'Data shares'!$C:$FB,67)</f>
        <v>3237125</v>
      </c>
      <c r="F20" s="50">
        <f>VLOOKUP($A20,'Data shares'!$C:$FB,69)*100</f>
        <v>-3.61</v>
      </c>
      <c r="G20" s="49">
        <f>VLOOKUP($A20,'Data shares'!$C:$FB,42)</f>
        <v>413000</v>
      </c>
      <c r="H20" s="49">
        <f>VLOOKUP($A20,'Data shares'!$C:$FB,43)</f>
        <v>609375</v>
      </c>
      <c r="I20" s="50">
        <f>VLOOKUP($A20,'Data shares'!$C:$FB,45)*100</f>
        <v>-32.229999999999997</v>
      </c>
      <c r="J20" s="49">
        <f>VLOOKUP($A20,'Data shares'!$C:$FB,58)</f>
        <v>2018750</v>
      </c>
      <c r="K20" s="49">
        <f>VLOOKUP($A20,'Data shares'!$C:$FB,59)</f>
        <v>1812500</v>
      </c>
      <c r="L20" s="50">
        <f>VLOOKUP($A20,'Data shares'!$C:$FB,61)*100</f>
        <v>11.379999999999999</v>
      </c>
      <c r="M20" s="49">
        <f>VLOOKUP($A20,'Data shares'!$C:$FB,62)</f>
        <v>688500</v>
      </c>
      <c r="N20" s="49">
        <f>VLOOKUP($A20,'Data shares'!$C:$FB,63)</f>
        <v>815250</v>
      </c>
      <c r="O20" s="140">
        <f>VLOOKUP($A20,'Data shares'!$C:$FB,65)*100</f>
        <v>-15.55</v>
      </c>
    </row>
    <row r="21" spans="1:15" x14ac:dyDescent="0.25">
      <c r="A21" s="101" t="str">
        <f>'Data Vlaue (Cr)'!C16</f>
        <v>ASHOKLEY</v>
      </c>
      <c r="B21" s="50">
        <f>VLOOKUP($A21,'Data shares'!$C:$FB,7)</f>
        <v>170.38</v>
      </c>
      <c r="C21" s="50">
        <f>VLOOKUP($A21,'Data shares'!$C:$FB,10)*100</f>
        <v>-1.22</v>
      </c>
      <c r="D21" s="49">
        <f>VLOOKUP($A21,'Data shares'!$C:$FB,66)</f>
        <v>250905000</v>
      </c>
      <c r="E21" s="49">
        <f>VLOOKUP($A21,'Data shares'!$C:$FB,67)</f>
        <v>599795000</v>
      </c>
      <c r="F21" s="50">
        <f>VLOOKUP($A21,'Data shares'!$C:$FB,69)*100</f>
        <v>-58.17</v>
      </c>
      <c r="G21" s="49">
        <f>VLOOKUP($A21,'Data shares'!$C:$FB,42)</f>
        <v>38540000</v>
      </c>
      <c r="H21" s="49">
        <f>VLOOKUP($A21,'Data shares'!$C:$FB,43)</f>
        <v>90460000</v>
      </c>
      <c r="I21" s="50">
        <f>VLOOKUP($A21,'Data shares'!$C:$FB,45)*100</f>
        <v>-57.4</v>
      </c>
      <c r="J21" s="49">
        <f>VLOOKUP($A21,'Data shares'!$C:$FB,58)</f>
        <v>131555000</v>
      </c>
      <c r="K21" s="49">
        <f>VLOOKUP($A21,'Data shares'!$C:$FB,59)</f>
        <v>353970000</v>
      </c>
      <c r="L21" s="50">
        <f>VLOOKUP($A21,'Data shares'!$C:$FB,61)*100</f>
        <v>-62.83</v>
      </c>
      <c r="M21" s="49">
        <f>VLOOKUP($A21,'Data shares'!$C:$FB,62)</f>
        <v>80810000</v>
      </c>
      <c r="N21" s="49">
        <f>VLOOKUP($A21,'Data shares'!$C:$FB,63)</f>
        <v>155365000</v>
      </c>
      <c r="O21" s="140">
        <f>VLOOKUP($A21,'Data shares'!$C:$FB,65)*100</f>
        <v>-47.99</v>
      </c>
    </row>
    <row r="22" spans="1:15" x14ac:dyDescent="0.25">
      <c r="A22" s="101" t="str">
        <f>'Data Vlaue (Cr)'!C17</f>
        <v>ASIANPAINT</v>
      </c>
      <c r="B22" s="50">
        <f>VLOOKUP($A22,'Data shares'!$C:$FB,7)</f>
        <v>2269.6</v>
      </c>
      <c r="C22" s="50">
        <f>VLOOKUP($A22,'Data shares'!$C:$FB,10)*100</f>
        <v>-0.55999999999999994</v>
      </c>
      <c r="D22" s="49">
        <f>VLOOKUP($A22,'Data shares'!$C:$FB,66)</f>
        <v>6970250</v>
      </c>
      <c r="E22" s="49">
        <f>VLOOKUP($A22,'Data shares'!$C:$FB,67)</f>
        <v>18788750</v>
      </c>
      <c r="F22" s="50">
        <f>VLOOKUP($A22,'Data shares'!$C:$FB,69)*100</f>
        <v>-62.9</v>
      </c>
      <c r="G22" s="49">
        <f>VLOOKUP($A22,'Data shares'!$C:$FB,42)</f>
        <v>1305250</v>
      </c>
      <c r="H22" s="49">
        <f>VLOOKUP($A22,'Data shares'!$C:$FB,43)</f>
        <v>3030000</v>
      </c>
      <c r="I22" s="50">
        <f>VLOOKUP($A22,'Data shares'!$C:$FB,45)*100</f>
        <v>-56.92</v>
      </c>
      <c r="J22" s="49">
        <f>VLOOKUP($A22,'Data shares'!$C:$FB,58)</f>
        <v>3456500</v>
      </c>
      <c r="K22" s="49">
        <f>VLOOKUP($A22,'Data shares'!$C:$FB,59)</f>
        <v>10292750</v>
      </c>
      <c r="L22" s="50">
        <f>VLOOKUP($A22,'Data shares'!$C:$FB,61)*100</f>
        <v>-66.42</v>
      </c>
      <c r="M22" s="49">
        <f>VLOOKUP($A22,'Data shares'!$C:$FB,62)</f>
        <v>2208500</v>
      </c>
      <c r="N22" s="49">
        <f>VLOOKUP($A22,'Data shares'!$C:$FB,63)</f>
        <v>5466000</v>
      </c>
      <c r="O22" s="140">
        <f>VLOOKUP($A22,'Data shares'!$C:$FB,65)*100</f>
        <v>-59.599999999999994</v>
      </c>
    </row>
    <row r="23" spans="1:15" x14ac:dyDescent="0.25">
      <c r="A23" s="101" t="str">
        <f>'Data Vlaue (Cr)'!C18</f>
        <v>ASTRAL</v>
      </c>
      <c r="B23" s="50">
        <f>VLOOKUP($A23,'Data shares'!$C:$FB,7)</f>
        <v>1563.7</v>
      </c>
      <c r="C23" s="50">
        <f>VLOOKUP($A23,'Data shares'!$C:$FB,10)*100</f>
        <v>2.5</v>
      </c>
      <c r="D23" s="49">
        <f>VLOOKUP($A23,'Data shares'!$C:$FB,66)</f>
        <v>6496550</v>
      </c>
      <c r="E23" s="49">
        <f>VLOOKUP($A23,'Data shares'!$C:$FB,67)</f>
        <v>10162600</v>
      </c>
      <c r="F23" s="50">
        <f>VLOOKUP($A23,'Data shares'!$C:$FB,69)*100</f>
        <v>-36.07</v>
      </c>
      <c r="G23" s="49">
        <f>VLOOKUP($A23,'Data shares'!$C:$FB,42)</f>
        <v>1724225</v>
      </c>
      <c r="H23" s="49">
        <f>VLOOKUP($A23,'Data shares'!$C:$FB,43)</f>
        <v>2718725</v>
      </c>
      <c r="I23" s="50">
        <f>VLOOKUP($A23,'Data shares'!$C:$FB,45)*100</f>
        <v>-36.58</v>
      </c>
      <c r="J23" s="49">
        <f>VLOOKUP($A23,'Data shares'!$C:$FB,58)</f>
        <v>2675375</v>
      </c>
      <c r="K23" s="49">
        <f>VLOOKUP($A23,'Data shares'!$C:$FB,59)</f>
        <v>4430625</v>
      </c>
      <c r="L23" s="50">
        <f>VLOOKUP($A23,'Data shares'!$C:$FB,61)*100</f>
        <v>-39.619999999999997</v>
      </c>
      <c r="M23" s="49">
        <f>VLOOKUP($A23,'Data shares'!$C:$FB,62)</f>
        <v>2096950</v>
      </c>
      <c r="N23" s="49">
        <f>VLOOKUP($A23,'Data shares'!$C:$FB,63)</f>
        <v>3013250</v>
      </c>
      <c r="O23" s="140">
        <f>VLOOKUP($A23,'Data shares'!$C:$FB,65)*100</f>
        <v>-30.409999999999997</v>
      </c>
    </row>
    <row r="24" spans="1:15" x14ac:dyDescent="0.25">
      <c r="A24" s="101" t="str">
        <f>'Data Vlaue (Cr)'!C19</f>
        <v>AUBANK</v>
      </c>
      <c r="B24" s="50">
        <f>VLOOKUP($A24,'Data shares'!$C:$FB,7)</f>
        <v>963</v>
      </c>
      <c r="C24" s="50">
        <f>VLOOKUP($A24,'Data shares'!$C:$FB,10)*100</f>
        <v>-0.5</v>
      </c>
      <c r="D24" s="49">
        <f>VLOOKUP($A24,'Data shares'!$C:$FB,66)</f>
        <v>13501000</v>
      </c>
      <c r="E24" s="49">
        <f>VLOOKUP($A24,'Data shares'!$C:$FB,67)</f>
        <v>30040000</v>
      </c>
      <c r="F24" s="50">
        <f>VLOOKUP($A24,'Data shares'!$C:$FB,69)*100</f>
        <v>-55.059999999999995</v>
      </c>
      <c r="G24" s="49">
        <f>VLOOKUP($A24,'Data shares'!$C:$FB,42)</f>
        <v>3223000</v>
      </c>
      <c r="H24" s="49">
        <f>VLOOKUP($A24,'Data shares'!$C:$FB,43)</f>
        <v>8345000</v>
      </c>
      <c r="I24" s="50">
        <f>VLOOKUP($A24,'Data shares'!$C:$FB,45)*100</f>
        <v>-61.38</v>
      </c>
      <c r="J24" s="49">
        <f>VLOOKUP($A24,'Data shares'!$C:$FB,58)</f>
        <v>5846000</v>
      </c>
      <c r="K24" s="49">
        <f>VLOOKUP($A24,'Data shares'!$C:$FB,59)</f>
        <v>11357000</v>
      </c>
      <c r="L24" s="50">
        <f>VLOOKUP($A24,'Data shares'!$C:$FB,61)*100</f>
        <v>-48.53</v>
      </c>
      <c r="M24" s="49">
        <f>VLOOKUP($A24,'Data shares'!$C:$FB,62)</f>
        <v>4432000</v>
      </c>
      <c r="N24" s="49">
        <f>VLOOKUP($A24,'Data shares'!$C:$FB,63)</f>
        <v>10338000</v>
      </c>
      <c r="O24" s="140">
        <f>VLOOKUP($A24,'Data shares'!$C:$FB,65)*100</f>
        <v>-57.13</v>
      </c>
    </row>
    <row r="25" spans="1:15" x14ac:dyDescent="0.25">
      <c r="A25" s="101" t="str">
        <f>'Data Vlaue (Cr)'!C20</f>
        <v>AUROPHARMA</v>
      </c>
      <c r="B25" s="50">
        <f>VLOOKUP($A25,'Data shares'!$C:$FB,7)</f>
        <v>1340.4</v>
      </c>
      <c r="C25" s="50">
        <f>VLOOKUP($A25,'Data shares'!$C:$FB,10)*100</f>
        <v>0.35000000000000003</v>
      </c>
      <c r="D25" s="49">
        <f>VLOOKUP($A25,'Data shares'!$C:$FB,66)</f>
        <v>5029750</v>
      </c>
      <c r="E25" s="49">
        <f>VLOOKUP($A25,'Data shares'!$C:$FB,67)</f>
        <v>10244300</v>
      </c>
      <c r="F25" s="50">
        <f>VLOOKUP($A25,'Data shares'!$C:$FB,69)*100</f>
        <v>-50.9</v>
      </c>
      <c r="G25" s="49">
        <f>VLOOKUP($A25,'Data shares'!$C:$FB,42)</f>
        <v>898150</v>
      </c>
      <c r="H25" s="49">
        <f>VLOOKUP($A25,'Data shares'!$C:$FB,43)</f>
        <v>2322650</v>
      </c>
      <c r="I25" s="50">
        <f>VLOOKUP($A25,'Data shares'!$C:$FB,45)*100</f>
        <v>-61.33</v>
      </c>
      <c r="J25" s="49">
        <f>VLOOKUP($A25,'Data shares'!$C:$FB,58)</f>
        <v>2758800</v>
      </c>
      <c r="K25" s="49">
        <f>VLOOKUP($A25,'Data shares'!$C:$FB,59)</f>
        <v>5038550</v>
      </c>
      <c r="L25" s="50">
        <f>VLOOKUP($A25,'Data shares'!$C:$FB,61)*100</f>
        <v>-45.25</v>
      </c>
      <c r="M25" s="49">
        <f>VLOOKUP($A25,'Data shares'!$C:$FB,62)</f>
        <v>1372800</v>
      </c>
      <c r="N25" s="49">
        <f>VLOOKUP($A25,'Data shares'!$C:$FB,63)</f>
        <v>2883100</v>
      </c>
      <c r="O25" s="140">
        <f>VLOOKUP($A25,'Data shares'!$C:$FB,65)*100</f>
        <v>-52.38</v>
      </c>
    </row>
    <row r="26" spans="1:15" x14ac:dyDescent="0.25">
      <c r="A26" s="101" t="str">
        <f>'Data Vlaue (Cr)'!C21</f>
        <v>AXISBANK</v>
      </c>
      <c r="B26" s="50">
        <f>VLOOKUP($A26,'Data shares'!$C:$FB,7)</f>
        <v>1318.5</v>
      </c>
      <c r="C26" s="50">
        <f>VLOOKUP($A26,'Data shares'!$C:$FB,10)*100</f>
        <v>-1.0900000000000001</v>
      </c>
      <c r="D26" s="49">
        <f>VLOOKUP($A26,'Data shares'!$C:$FB,66)</f>
        <v>37775000</v>
      </c>
      <c r="E26" s="49">
        <f>VLOOKUP($A26,'Data shares'!$C:$FB,67)</f>
        <v>58037500</v>
      </c>
      <c r="F26" s="50">
        <f>VLOOKUP($A26,'Data shares'!$C:$FB,69)*100</f>
        <v>-34.910000000000004</v>
      </c>
      <c r="G26" s="49">
        <f>VLOOKUP($A26,'Data shares'!$C:$FB,42)</f>
        <v>7267500</v>
      </c>
      <c r="H26" s="49">
        <f>VLOOKUP($A26,'Data shares'!$C:$FB,43)</f>
        <v>11345625</v>
      </c>
      <c r="I26" s="50">
        <f>VLOOKUP($A26,'Data shares'!$C:$FB,45)*100</f>
        <v>-35.94</v>
      </c>
      <c r="J26" s="49">
        <f>VLOOKUP($A26,'Data shares'!$C:$FB,58)</f>
        <v>13860625</v>
      </c>
      <c r="K26" s="49">
        <f>VLOOKUP($A26,'Data shares'!$C:$FB,59)</f>
        <v>22636250</v>
      </c>
      <c r="L26" s="50">
        <f>VLOOKUP($A26,'Data shares'!$C:$FB,61)*100</f>
        <v>-38.769999999999996</v>
      </c>
      <c r="M26" s="49">
        <f>VLOOKUP($A26,'Data shares'!$C:$FB,62)</f>
        <v>16646875</v>
      </c>
      <c r="N26" s="49">
        <f>VLOOKUP($A26,'Data shares'!$C:$FB,63)</f>
        <v>24055625</v>
      </c>
      <c r="O26" s="140">
        <f>VLOOKUP($A26,'Data shares'!$C:$FB,65)*100</f>
        <v>-30.8</v>
      </c>
    </row>
    <row r="27" spans="1:15" x14ac:dyDescent="0.25">
      <c r="A27" s="101" t="str">
        <f>'Data Vlaue (Cr)'!C22</f>
        <v>BAJAJ-AUTO</v>
      </c>
      <c r="B27" s="50">
        <f>VLOOKUP($A27,'Data shares'!$C:$FB,7)</f>
        <v>9517</v>
      </c>
      <c r="C27" s="50">
        <f>VLOOKUP($A27,'Data shares'!$C:$FB,10)*100</f>
        <v>1.6099999999999999</v>
      </c>
      <c r="D27" s="49">
        <f>VLOOKUP($A27,'Data shares'!$C:$FB,66)</f>
        <v>6234150</v>
      </c>
      <c r="E27" s="49">
        <f>VLOOKUP($A27,'Data shares'!$C:$FB,67)</f>
        <v>2837925</v>
      </c>
      <c r="F27" s="50">
        <f>VLOOKUP($A27,'Data shares'!$C:$FB,69)*100</f>
        <v>119.67000000000002</v>
      </c>
      <c r="G27" s="49">
        <f>VLOOKUP($A27,'Data shares'!$C:$FB,42)</f>
        <v>501975</v>
      </c>
      <c r="H27" s="49">
        <f>VLOOKUP($A27,'Data shares'!$C:$FB,43)</f>
        <v>393900</v>
      </c>
      <c r="I27" s="50">
        <f>VLOOKUP($A27,'Data shares'!$C:$FB,45)*100</f>
        <v>27.439999999999998</v>
      </c>
      <c r="J27" s="49">
        <f>VLOOKUP($A27,'Data shares'!$C:$FB,58)</f>
        <v>4027875</v>
      </c>
      <c r="K27" s="49">
        <f>VLOOKUP($A27,'Data shares'!$C:$FB,59)</f>
        <v>1536750</v>
      </c>
      <c r="L27" s="50">
        <f>VLOOKUP($A27,'Data shares'!$C:$FB,61)*100</f>
        <v>162.1</v>
      </c>
      <c r="M27" s="49">
        <f>VLOOKUP($A27,'Data shares'!$C:$FB,62)</f>
        <v>1704300</v>
      </c>
      <c r="N27" s="49">
        <f>VLOOKUP($A27,'Data shares'!$C:$FB,63)</f>
        <v>907275</v>
      </c>
      <c r="O27" s="140">
        <f>VLOOKUP($A27,'Data shares'!$C:$FB,65)*100</f>
        <v>87.85</v>
      </c>
    </row>
    <row r="28" spans="1:15" x14ac:dyDescent="0.25">
      <c r="A28" s="101" t="str">
        <f>'Data Vlaue (Cr)'!C23</f>
        <v>BAJAJFINSV</v>
      </c>
      <c r="B28" s="50">
        <f>VLOOKUP($A28,'Data shares'!$C:$FB,7)</f>
        <v>1767.7</v>
      </c>
      <c r="C28" s="50">
        <f>VLOOKUP($A28,'Data shares'!$C:$FB,10)*100</f>
        <v>-0.95</v>
      </c>
      <c r="D28" s="49">
        <f>VLOOKUP($A28,'Data shares'!$C:$FB,66)</f>
        <v>4622250</v>
      </c>
      <c r="E28" s="49">
        <f>VLOOKUP($A28,'Data shares'!$C:$FB,67)</f>
        <v>9232000</v>
      </c>
      <c r="F28" s="50">
        <f>VLOOKUP($A28,'Data shares'!$C:$FB,69)*100</f>
        <v>-49.93</v>
      </c>
      <c r="G28" s="49">
        <f>VLOOKUP($A28,'Data shares'!$C:$FB,42)</f>
        <v>725750</v>
      </c>
      <c r="H28" s="49">
        <f>VLOOKUP($A28,'Data shares'!$C:$FB,43)</f>
        <v>1652000</v>
      </c>
      <c r="I28" s="50">
        <f>VLOOKUP($A28,'Data shares'!$C:$FB,45)*100</f>
        <v>-56.07</v>
      </c>
      <c r="J28" s="49">
        <f>VLOOKUP($A28,'Data shares'!$C:$FB,58)</f>
        <v>2022500</v>
      </c>
      <c r="K28" s="49">
        <f>VLOOKUP($A28,'Data shares'!$C:$FB,59)</f>
        <v>4774250</v>
      </c>
      <c r="L28" s="50">
        <f>VLOOKUP($A28,'Data shares'!$C:$FB,61)*100</f>
        <v>-57.64</v>
      </c>
      <c r="M28" s="49">
        <f>VLOOKUP($A28,'Data shares'!$C:$FB,62)</f>
        <v>1874000</v>
      </c>
      <c r="N28" s="49">
        <f>VLOOKUP($A28,'Data shares'!$C:$FB,63)</f>
        <v>2805750</v>
      </c>
      <c r="O28" s="140">
        <f>VLOOKUP($A28,'Data shares'!$C:$FB,65)*100</f>
        <v>-33.21</v>
      </c>
    </row>
    <row r="29" spans="1:15" x14ac:dyDescent="0.25">
      <c r="A29" s="101" t="str">
        <f>'Data Vlaue (Cr)'!C24</f>
        <v>BAJAJHLDNG</v>
      </c>
      <c r="B29" s="50">
        <f>VLOOKUP($A29,'Data shares'!$C:$FB,7)</f>
        <v>9912.5</v>
      </c>
      <c r="C29" s="50">
        <f>VLOOKUP($A29,'Data shares'!$C:$FB,10)*100</f>
        <v>-0.57999999999999996</v>
      </c>
      <c r="D29" s="49">
        <f>VLOOKUP($A29,'Data shares'!$C:$FB,66)</f>
        <v>73200</v>
      </c>
      <c r="E29" s="49">
        <f>VLOOKUP($A29,'Data shares'!$C:$FB,67)</f>
        <v>154900</v>
      </c>
      <c r="F29" s="50">
        <f>VLOOKUP($A29,'Data shares'!$C:$FB,69)*100</f>
        <v>-52.739999999999995</v>
      </c>
      <c r="G29" s="49">
        <f>VLOOKUP($A29,'Data shares'!$C:$FB,42)</f>
        <v>35500</v>
      </c>
      <c r="H29" s="49">
        <f>VLOOKUP($A29,'Data shares'!$C:$FB,43)</f>
        <v>56250</v>
      </c>
      <c r="I29" s="50">
        <f>VLOOKUP($A29,'Data shares'!$C:$FB,45)*100</f>
        <v>-36.89</v>
      </c>
      <c r="J29" s="49">
        <f>VLOOKUP($A29,'Data shares'!$C:$FB,58)</f>
        <v>26000</v>
      </c>
      <c r="K29" s="49">
        <f>VLOOKUP($A29,'Data shares'!$C:$FB,59)</f>
        <v>78150</v>
      </c>
      <c r="L29" s="50">
        <f>VLOOKUP($A29,'Data shares'!$C:$FB,61)*100</f>
        <v>-66.73</v>
      </c>
      <c r="M29" s="49">
        <f>VLOOKUP($A29,'Data shares'!$C:$FB,62)</f>
        <v>11700</v>
      </c>
      <c r="N29" s="49">
        <f>VLOOKUP($A29,'Data shares'!$C:$FB,63)</f>
        <v>20500</v>
      </c>
      <c r="O29" s="140">
        <f>VLOOKUP($A29,'Data shares'!$C:$FB,65)*100</f>
        <v>-42.93</v>
      </c>
    </row>
    <row r="30" spans="1:15" x14ac:dyDescent="0.25">
      <c r="A30" s="101" t="str">
        <f>'Data Vlaue (Cr)'!C25</f>
        <v>BAJFINANCE</v>
      </c>
      <c r="B30" s="50">
        <f>VLOOKUP($A30,'Data shares'!$C:$FB,7)</f>
        <v>903.25</v>
      </c>
      <c r="C30" s="50">
        <f>VLOOKUP($A30,'Data shares'!$C:$FB,10)*100</f>
        <v>-1.29</v>
      </c>
      <c r="D30" s="49">
        <f>VLOOKUP($A30,'Data shares'!$C:$FB,66)</f>
        <v>36803250</v>
      </c>
      <c r="E30" s="49">
        <f>VLOOKUP($A30,'Data shares'!$C:$FB,67)</f>
        <v>74080500</v>
      </c>
      <c r="F30" s="50">
        <f>VLOOKUP($A30,'Data shares'!$C:$FB,69)*100</f>
        <v>-50.32</v>
      </c>
      <c r="G30" s="49">
        <f>VLOOKUP($A30,'Data shares'!$C:$FB,42)</f>
        <v>7039500</v>
      </c>
      <c r="H30" s="49">
        <f>VLOOKUP($A30,'Data shares'!$C:$FB,43)</f>
        <v>14184750</v>
      </c>
      <c r="I30" s="50">
        <f>VLOOKUP($A30,'Data shares'!$C:$FB,45)*100</f>
        <v>-50.370000000000005</v>
      </c>
      <c r="J30" s="49">
        <f>VLOOKUP($A30,'Data shares'!$C:$FB,58)</f>
        <v>15682500</v>
      </c>
      <c r="K30" s="49">
        <f>VLOOKUP($A30,'Data shares'!$C:$FB,59)</f>
        <v>36368250</v>
      </c>
      <c r="L30" s="50">
        <f>VLOOKUP($A30,'Data shares'!$C:$FB,61)*100</f>
        <v>-56.879999999999995</v>
      </c>
      <c r="M30" s="49">
        <f>VLOOKUP($A30,'Data shares'!$C:$FB,62)</f>
        <v>14081250</v>
      </c>
      <c r="N30" s="49">
        <f>VLOOKUP($A30,'Data shares'!$C:$FB,63)</f>
        <v>23527500</v>
      </c>
      <c r="O30" s="140">
        <f>VLOOKUP($A30,'Data shares'!$C:$FB,65)*100</f>
        <v>-40.150000000000006</v>
      </c>
    </row>
    <row r="31" spans="1:15" x14ac:dyDescent="0.25">
      <c r="A31" s="101" t="str">
        <f>'Data Vlaue (Cr)'!C26</f>
        <v>BANDHANBNK</v>
      </c>
      <c r="B31" s="50">
        <f>VLOOKUP($A31,'Data shares'!$C:$FB,7)</f>
        <v>165.94</v>
      </c>
      <c r="C31" s="50">
        <f>VLOOKUP($A31,'Data shares'!$C:$FB,10)*100</f>
        <v>0.72</v>
      </c>
      <c r="D31" s="49">
        <f>VLOOKUP($A31,'Data shares'!$C:$FB,66)</f>
        <v>53107200</v>
      </c>
      <c r="E31" s="49">
        <f>VLOOKUP($A31,'Data shares'!$C:$FB,67)</f>
        <v>106311600</v>
      </c>
      <c r="F31" s="50">
        <f>VLOOKUP($A31,'Data shares'!$C:$FB,69)*100</f>
        <v>-50.05</v>
      </c>
      <c r="G31" s="49">
        <f>VLOOKUP($A31,'Data shares'!$C:$FB,42)</f>
        <v>14504400</v>
      </c>
      <c r="H31" s="49">
        <f>VLOOKUP($A31,'Data shares'!$C:$FB,43)</f>
        <v>36615600</v>
      </c>
      <c r="I31" s="50">
        <f>VLOOKUP($A31,'Data shares'!$C:$FB,45)*100</f>
        <v>-60.39</v>
      </c>
      <c r="J31" s="49">
        <f>VLOOKUP($A31,'Data shares'!$C:$FB,58)</f>
        <v>23522400</v>
      </c>
      <c r="K31" s="49">
        <f>VLOOKUP($A31,'Data shares'!$C:$FB,59)</f>
        <v>42256800</v>
      </c>
      <c r="L31" s="50">
        <f>VLOOKUP($A31,'Data shares'!$C:$FB,61)*100</f>
        <v>-44.330000000000005</v>
      </c>
      <c r="M31" s="49">
        <f>VLOOKUP($A31,'Data shares'!$C:$FB,62)</f>
        <v>15080400</v>
      </c>
      <c r="N31" s="49">
        <f>VLOOKUP($A31,'Data shares'!$C:$FB,63)</f>
        <v>27439200</v>
      </c>
      <c r="O31" s="140">
        <f>VLOOKUP($A31,'Data shares'!$C:$FB,65)*100</f>
        <v>-45.04</v>
      </c>
    </row>
    <row r="32" spans="1:15" x14ac:dyDescent="0.25">
      <c r="A32" s="101" t="str">
        <f>'Data Vlaue (Cr)'!C27</f>
        <v>BANKBARODA</v>
      </c>
      <c r="B32" s="50">
        <f>VLOOKUP($A32,'Data shares'!$C:$FB,7)</f>
        <v>274.24</v>
      </c>
      <c r="C32" s="50">
        <f>VLOOKUP($A32,'Data shares'!$C:$FB,10)*100</f>
        <v>-0.63</v>
      </c>
      <c r="D32" s="49">
        <f>VLOOKUP($A32,'Data shares'!$C:$FB,66)</f>
        <v>79849575</v>
      </c>
      <c r="E32" s="49">
        <f>VLOOKUP($A32,'Data shares'!$C:$FB,67)</f>
        <v>127094175</v>
      </c>
      <c r="F32" s="50">
        <f>VLOOKUP($A32,'Data shares'!$C:$FB,69)*100</f>
        <v>-37.169999999999995</v>
      </c>
      <c r="G32" s="49">
        <f>VLOOKUP($A32,'Data shares'!$C:$FB,42)</f>
        <v>18582525</v>
      </c>
      <c r="H32" s="49">
        <f>VLOOKUP($A32,'Data shares'!$C:$FB,43)</f>
        <v>30811950</v>
      </c>
      <c r="I32" s="50">
        <f>VLOOKUP($A32,'Data shares'!$C:$FB,45)*100</f>
        <v>-39.69</v>
      </c>
      <c r="J32" s="49">
        <f>VLOOKUP($A32,'Data shares'!$C:$FB,58)</f>
        <v>36021375</v>
      </c>
      <c r="K32" s="49">
        <f>VLOOKUP($A32,'Data shares'!$C:$FB,59)</f>
        <v>55732950</v>
      </c>
      <c r="L32" s="50">
        <f>VLOOKUP($A32,'Data shares'!$C:$FB,61)*100</f>
        <v>-35.370000000000005</v>
      </c>
      <c r="M32" s="49">
        <f>VLOOKUP($A32,'Data shares'!$C:$FB,62)</f>
        <v>25245675</v>
      </c>
      <c r="N32" s="49">
        <f>VLOOKUP($A32,'Data shares'!$C:$FB,63)</f>
        <v>40549275</v>
      </c>
      <c r="O32" s="140">
        <f>VLOOKUP($A32,'Data shares'!$C:$FB,65)*100</f>
        <v>-37.74</v>
      </c>
    </row>
    <row r="33" spans="1:15" x14ac:dyDescent="0.25">
      <c r="A33" s="101" t="str">
        <f>'Data Vlaue (Cr)'!C28</f>
        <v>BANKINDIA</v>
      </c>
      <c r="B33" s="50">
        <f>VLOOKUP($A33,'Data shares'!$C:$FB,7)</f>
        <v>144.29</v>
      </c>
      <c r="C33" s="50">
        <f>VLOOKUP($A33,'Data shares'!$C:$FB,10)*100</f>
        <v>-1.5</v>
      </c>
      <c r="D33" s="49">
        <f>VLOOKUP($A33,'Data shares'!$C:$FB,66)</f>
        <v>44746000</v>
      </c>
      <c r="E33" s="49">
        <f>VLOOKUP($A33,'Data shares'!$C:$FB,67)</f>
        <v>70902000</v>
      </c>
      <c r="F33" s="50">
        <f>VLOOKUP($A33,'Data shares'!$C:$FB,69)*100</f>
        <v>-36.89</v>
      </c>
      <c r="G33" s="49">
        <f>VLOOKUP($A33,'Data shares'!$C:$FB,42)</f>
        <v>15813200</v>
      </c>
      <c r="H33" s="49">
        <f>VLOOKUP($A33,'Data shares'!$C:$FB,43)</f>
        <v>27216800</v>
      </c>
      <c r="I33" s="50">
        <f>VLOOKUP($A33,'Data shares'!$C:$FB,45)*100</f>
        <v>-41.9</v>
      </c>
      <c r="J33" s="49">
        <f>VLOOKUP($A33,'Data shares'!$C:$FB,58)</f>
        <v>16551600</v>
      </c>
      <c r="K33" s="49">
        <f>VLOOKUP($A33,'Data shares'!$C:$FB,59)</f>
        <v>28615600</v>
      </c>
      <c r="L33" s="50">
        <f>VLOOKUP($A33,'Data shares'!$C:$FB,61)*100</f>
        <v>-42.16</v>
      </c>
      <c r="M33" s="49">
        <f>VLOOKUP($A33,'Data shares'!$C:$FB,62)</f>
        <v>12381200</v>
      </c>
      <c r="N33" s="49">
        <f>VLOOKUP($A33,'Data shares'!$C:$FB,63)</f>
        <v>15069600</v>
      </c>
      <c r="O33" s="140">
        <f>VLOOKUP($A33,'Data shares'!$C:$FB,65)*100</f>
        <v>-17.84</v>
      </c>
    </row>
    <row r="34" spans="1:15" x14ac:dyDescent="0.25">
      <c r="A34" s="101" t="str">
        <f>'Data Vlaue (Cr)'!C29</f>
        <v>BANKNIFTY</v>
      </c>
      <c r="B34" s="50">
        <f>VLOOKUP($A34,'Data shares'!$C:$FB,7)</f>
        <v>54821.7</v>
      </c>
      <c r="C34" s="50">
        <f>VLOOKUP($A34,'Data shares'!$C:$FB,10)*100</f>
        <v>-1.58</v>
      </c>
      <c r="D34" s="49">
        <f>VLOOKUP($A34,'Data shares'!$C:$FB,66)</f>
        <v>65698980</v>
      </c>
      <c r="E34" s="49">
        <f>VLOOKUP($A34,'Data shares'!$C:$FB,67)</f>
        <v>87863460</v>
      </c>
      <c r="F34" s="50">
        <f>VLOOKUP($A34,'Data shares'!$C:$FB,69)*100</f>
        <v>-25.230000000000004</v>
      </c>
      <c r="G34" s="49">
        <f>VLOOKUP($A34,'Data shares'!$C:$FB,42)</f>
        <v>1172670</v>
      </c>
      <c r="H34" s="49">
        <f>VLOOKUP($A34,'Data shares'!$C:$FB,43)</f>
        <v>1784430</v>
      </c>
      <c r="I34" s="50">
        <f>VLOOKUP($A34,'Data shares'!$C:$FB,45)*100</f>
        <v>-34.28</v>
      </c>
      <c r="J34" s="49">
        <f>VLOOKUP($A34,'Data shares'!$C:$FB,58)</f>
        <v>34697820</v>
      </c>
      <c r="K34" s="49">
        <f>VLOOKUP($A34,'Data shares'!$C:$FB,59)</f>
        <v>51204750</v>
      </c>
      <c r="L34" s="50">
        <f>VLOOKUP($A34,'Data shares'!$C:$FB,61)*100</f>
        <v>-32.24</v>
      </c>
      <c r="M34" s="49">
        <f>VLOOKUP($A34,'Data shares'!$C:$FB,62)</f>
        <v>29828490</v>
      </c>
      <c r="N34" s="49">
        <f>VLOOKUP($A34,'Data shares'!$C:$FB,63)</f>
        <v>34874280</v>
      </c>
      <c r="O34" s="140">
        <f>VLOOKUP($A34,'Data shares'!$C:$FB,65)*100</f>
        <v>-14.469999999999999</v>
      </c>
    </row>
    <row r="35" spans="1:15" x14ac:dyDescent="0.25">
      <c r="A35" s="101" t="str">
        <f>'Data Vlaue (Cr)'!C30</f>
        <v>BDL</v>
      </c>
      <c r="B35" s="50">
        <f>VLOOKUP($A35,'Data shares'!$C:$FB,7)</f>
        <v>1325.5</v>
      </c>
      <c r="C35" s="50">
        <f>VLOOKUP($A35,'Data shares'!$C:$FB,10)*100</f>
        <v>2.64</v>
      </c>
      <c r="D35" s="49">
        <f>VLOOKUP($A35,'Data shares'!$C:$FB,66)</f>
        <v>13499500</v>
      </c>
      <c r="E35" s="49">
        <f>VLOOKUP($A35,'Data shares'!$C:$FB,67)</f>
        <v>10643500</v>
      </c>
      <c r="F35" s="50">
        <f>VLOOKUP($A35,'Data shares'!$C:$FB,69)*100</f>
        <v>26.83</v>
      </c>
      <c r="G35" s="49">
        <f>VLOOKUP($A35,'Data shares'!$C:$FB,42)</f>
        <v>2163700</v>
      </c>
      <c r="H35" s="49">
        <f>VLOOKUP($A35,'Data shares'!$C:$FB,43)</f>
        <v>1400000</v>
      </c>
      <c r="I35" s="50">
        <f>VLOOKUP($A35,'Data shares'!$C:$FB,45)*100</f>
        <v>54.55</v>
      </c>
      <c r="J35" s="49">
        <f>VLOOKUP($A35,'Data shares'!$C:$FB,58)</f>
        <v>6895350</v>
      </c>
      <c r="K35" s="49">
        <f>VLOOKUP($A35,'Data shares'!$C:$FB,59)</f>
        <v>4756500</v>
      </c>
      <c r="L35" s="50">
        <f>VLOOKUP($A35,'Data shares'!$C:$FB,61)*100</f>
        <v>44.97</v>
      </c>
      <c r="M35" s="49">
        <f>VLOOKUP($A35,'Data shares'!$C:$FB,62)</f>
        <v>4440450</v>
      </c>
      <c r="N35" s="49">
        <f>VLOOKUP($A35,'Data shares'!$C:$FB,63)</f>
        <v>4487000</v>
      </c>
      <c r="O35" s="140">
        <f>VLOOKUP($A35,'Data shares'!$C:$FB,65)*100</f>
        <v>-1.04</v>
      </c>
    </row>
    <row r="36" spans="1:15" x14ac:dyDescent="0.25">
      <c r="A36" s="101" t="str">
        <f>'Data Vlaue (Cr)'!C31</f>
        <v>BEL</v>
      </c>
      <c r="B36" s="50">
        <f>VLOOKUP($A36,'Data shares'!$C:$FB,7)</f>
        <v>439.75</v>
      </c>
      <c r="C36" s="50">
        <f>VLOOKUP($A36,'Data shares'!$C:$FB,10)*100</f>
        <v>1.54</v>
      </c>
      <c r="D36" s="49">
        <f>VLOOKUP($A36,'Data shares'!$C:$FB,66)</f>
        <v>134532825</v>
      </c>
      <c r="E36" s="49">
        <f>VLOOKUP($A36,'Data shares'!$C:$FB,67)</f>
        <v>112606350</v>
      </c>
      <c r="F36" s="50">
        <f>VLOOKUP($A36,'Data shares'!$C:$FB,69)*100</f>
        <v>19.470000000000002</v>
      </c>
      <c r="G36" s="49">
        <f>VLOOKUP($A36,'Data shares'!$C:$FB,42)</f>
        <v>18259950</v>
      </c>
      <c r="H36" s="49">
        <f>VLOOKUP($A36,'Data shares'!$C:$FB,43)</f>
        <v>22185825</v>
      </c>
      <c r="I36" s="50">
        <f>VLOOKUP($A36,'Data shares'!$C:$FB,45)*100</f>
        <v>-17.7</v>
      </c>
      <c r="J36" s="49">
        <f>VLOOKUP($A36,'Data shares'!$C:$FB,58)</f>
        <v>82900800</v>
      </c>
      <c r="K36" s="49">
        <f>VLOOKUP($A36,'Data shares'!$C:$FB,59)</f>
        <v>60640875</v>
      </c>
      <c r="L36" s="50">
        <f>VLOOKUP($A36,'Data shares'!$C:$FB,61)*100</f>
        <v>36.71</v>
      </c>
      <c r="M36" s="49">
        <f>VLOOKUP($A36,'Data shares'!$C:$FB,62)</f>
        <v>33372075</v>
      </c>
      <c r="N36" s="49">
        <f>VLOOKUP($A36,'Data shares'!$C:$FB,63)</f>
        <v>29779650</v>
      </c>
      <c r="O36" s="140">
        <f>VLOOKUP($A36,'Data shares'!$C:$FB,65)*100</f>
        <v>12.06</v>
      </c>
    </row>
    <row r="37" spans="1:15" x14ac:dyDescent="0.25">
      <c r="A37" s="101" t="str">
        <f>'Data Vlaue (Cr)'!C32</f>
        <v>BHARATFORG</v>
      </c>
      <c r="B37" s="50">
        <f>VLOOKUP($A37,'Data shares'!$C:$FB,7)</f>
        <v>1739.4</v>
      </c>
      <c r="C37" s="50">
        <f>VLOOKUP($A37,'Data shares'!$C:$FB,10)*100</f>
        <v>-2.36</v>
      </c>
      <c r="D37" s="49">
        <f>VLOOKUP($A37,'Data shares'!$C:$FB,66)</f>
        <v>7449000</v>
      </c>
      <c r="E37" s="49">
        <f>VLOOKUP($A37,'Data shares'!$C:$FB,67)</f>
        <v>11968500</v>
      </c>
      <c r="F37" s="50">
        <f>VLOOKUP($A37,'Data shares'!$C:$FB,69)*100</f>
        <v>-37.76</v>
      </c>
      <c r="G37" s="49">
        <f>VLOOKUP($A37,'Data shares'!$C:$FB,42)</f>
        <v>1727500</v>
      </c>
      <c r="H37" s="49">
        <f>VLOOKUP($A37,'Data shares'!$C:$FB,43)</f>
        <v>2863000</v>
      </c>
      <c r="I37" s="50">
        <f>VLOOKUP($A37,'Data shares'!$C:$FB,45)*100</f>
        <v>-39.660000000000004</v>
      </c>
      <c r="J37" s="49">
        <f>VLOOKUP($A37,'Data shares'!$C:$FB,58)</f>
        <v>3652000</v>
      </c>
      <c r="K37" s="49">
        <f>VLOOKUP($A37,'Data shares'!$C:$FB,59)</f>
        <v>6305500</v>
      </c>
      <c r="L37" s="50">
        <f>VLOOKUP($A37,'Data shares'!$C:$FB,61)*100</f>
        <v>-42.08</v>
      </c>
      <c r="M37" s="49">
        <f>VLOOKUP($A37,'Data shares'!$C:$FB,62)</f>
        <v>2069500</v>
      </c>
      <c r="N37" s="49">
        <f>VLOOKUP($A37,'Data shares'!$C:$FB,63)</f>
        <v>2800000</v>
      </c>
      <c r="O37" s="140">
        <f>VLOOKUP($A37,'Data shares'!$C:$FB,65)*100</f>
        <v>-26.090000000000003</v>
      </c>
    </row>
    <row r="38" spans="1:15" x14ac:dyDescent="0.25">
      <c r="A38" s="101" t="str">
        <f>'Data Vlaue (Cr)'!C33</f>
        <v>BHARTIARTL</v>
      </c>
      <c r="B38" s="50">
        <f>VLOOKUP($A38,'Data shares'!$C:$FB,7)</f>
        <v>1859.4</v>
      </c>
      <c r="C38" s="50">
        <f>VLOOKUP($A38,'Data shares'!$C:$FB,10)*100</f>
        <v>-0.12</v>
      </c>
      <c r="D38" s="49">
        <f>VLOOKUP($A38,'Data shares'!$C:$FB,66)</f>
        <v>21024925</v>
      </c>
      <c r="E38" s="49">
        <f>VLOOKUP($A38,'Data shares'!$C:$FB,67)</f>
        <v>41332125</v>
      </c>
      <c r="F38" s="50">
        <f>VLOOKUP($A38,'Data shares'!$C:$FB,69)*100</f>
        <v>-49.13</v>
      </c>
      <c r="G38" s="49">
        <f>VLOOKUP($A38,'Data shares'!$C:$FB,42)</f>
        <v>3939650</v>
      </c>
      <c r="H38" s="49">
        <f>VLOOKUP($A38,'Data shares'!$C:$FB,43)</f>
        <v>5696675</v>
      </c>
      <c r="I38" s="50">
        <f>VLOOKUP($A38,'Data shares'!$C:$FB,45)*100</f>
        <v>-30.84</v>
      </c>
      <c r="J38" s="49">
        <f>VLOOKUP($A38,'Data shares'!$C:$FB,58)</f>
        <v>10901725</v>
      </c>
      <c r="K38" s="49">
        <f>VLOOKUP($A38,'Data shares'!$C:$FB,59)</f>
        <v>25327000</v>
      </c>
      <c r="L38" s="50">
        <f>VLOOKUP($A38,'Data shares'!$C:$FB,61)*100</f>
        <v>-56.96</v>
      </c>
      <c r="M38" s="49">
        <f>VLOOKUP($A38,'Data shares'!$C:$FB,62)</f>
        <v>6183550</v>
      </c>
      <c r="N38" s="49">
        <f>VLOOKUP($A38,'Data shares'!$C:$FB,63)</f>
        <v>10308450</v>
      </c>
      <c r="O38" s="140">
        <f>VLOOKUP($A38,'Data shares'!$C:$FB,65)*100</f>
        <v>-40.01</v>
      </c>
    </row>
    <row r="39" spans="1:15" x14ac:dyDescent="0.25">
      <c r="A39" s="101" t="str">
        <f>'Data Vlaue (Cr)'!C34</f>
        <v>BHEL</v>
      </c>
      <c r="B39" s="50">
        <f>VLOOKUP($A39,'Data shares'!$C:$FB,7)</f>
        <v>277.2</v>
      </c>
      <c r="C39" s="50">
        <f>VLOOKUP($A39,'Data shares'!$C:$FB,10)*100</f>
        <v>4.33</v>
      </c>
      <c r="D39" s="49">
        <f>VLOOKUP($A39,'Data shares'!$C:$FB,66)</f>
        <v>220345125</v>
      </c>
      <c r="E39" s="49">
        <f>VLOOKUP($A39,'Data shares'!$C:$FB,67)</f>
        <v>98513625</v>
      </c>
      <c r="F39" s="50">
        <f>VLOOKUP($A39,'Data shares'!$C:$FB,69)*100</f>
        <v>123.66999999999999</v>
      </c>
      <c r="G39" s="49">
        <f>VLOOKUP($A39,'Data shares'!$C:$FB,42)</f>
        <v>33300750</v>
      </c>
      <c r="H39" s="49">
        <f>VLOOKUP($A39,'Data shares'!$C:$FB,43)</f>
        <v>22645875</v>
      </c>
      <c r="I39" s="50">
        <f>VLOOKUP($A39,'Data shares'!$C:$FB,45)*100</f>
        <v>47.05</v>
      </c>
      <c r="J39" s="49">
        <f>VLOOKUP($A39,'Data shares'!$C:$FB,58)</f>
        <v>132126750</v>
      </c>
      <c r="K39" s="49">
        <f>VLOOKUP($A39,'Data shares'!$C:$FB,59)</f>
        <v>49735875</v>
      </c>
      <c r="L39" s="50">
        <f>VLOOKUP($A39,'Data shares'!$C:$FB,61)*100</f>
        <v>165.66</v>
      </c>
      <c r="M39" s="49">
        <f>VLOOKUP($A39,'Data shares'!$C:$FB,62)</f>
        <v>54917625</v>
      </c>
      <c r="N39" s="49">
        <f>VLOOKUP($A39,'Data shares'!$C:$FB,63)</f>
        <v>26131875</v>
      </c>
      <c r="O39" s="140">
        <f>VLOOKUP($A39,'Data shares'!$C:$FB,65)*100</f>
        <v>110.16</v>
      </c>
    </row>
    <row r="40" spans="1:15" x14ac:dyDescent="0.25">
      <c r="A40" s="101" t="str">
        <f>'Data Vlaue (Cr)'!C35</f>
        <v>BIOCON</v>
      </c>
      <c r="B40" s="50">
        <f>VLOOKUP($A40,'Data shares'!$C:$FB,7)</f>
        <v>345.7</v>
      </c>
      <c r="C40" s="50">
        <f>VLOOKUP($A40,'Data shares'!$C:$FB,10)*100</f>
        <v>-1.17</v>
      </c>
      <c r="D40" s="49">
        <f>VLOOKUP($A40,'Data shares'!$C:$FB,66)</f>
        <v>25510000</v>
      </c>
      <c r="E40" s="49">
        <f>VLOOKUP($A40,'Data shares'!$C:$FB,67)</f>
        <v>61535000</v>
      </c>
      <c r="F40" s="50">
        <f>VLOOKUP($A40,'Data shares'!$C:$FB,69)*100</f>
        <v>-58.540000000000006</v>
      </c>
      <c r="G40" s="49">
        <f>VLOOKUP($A40,'Data shares'!$C:$FB,42)</f>
        <v>6692500</v>
      </c>
      <c r="H40" s="49">
        <f>VLOOKUP($A40,'Data shares'!$C:$FB,43)</f>
        <v>13457500</v>
      </c>
      <c r="I40" s="50">
        <f>VLOOKUP($A40,'Data shares'!$C:$FB,45)*100</f>
        <v>-50.27</v>
      </c>
      <c r="J40" s="49">
        <f>VLOOKUP($A40,'Data shares'!$C:$FB,58)</f>
        <v>13422500</v>
      </c>
      <c r="K40" s="49">
        <f>VLOOKUP($A40,'Data shares'!$C:$FB,59)</f>
        <v>31032500</v>
      </c>
      <c r="L40" s="50">
        <f>VLOOKUP($A40,'Data shares'!$C:$FB,61)*100</f>
        <v>-56.75</v>
      </c>
      <c r="M40" s="49">
        <f>VLOOKUP($A40,'Data shares'!$C:$FB,62)</f>
        <v>5395000</v>
      </c>
      <c r="N40" s="49">
        <f>VLOOKUP($A40,'Data shares'!$C:$FB,63)</f>
        <v>17045000</v>
      </c>
      <c r="O40" s="140">
        <f>VLOOKUP($A40,'Data shares'!$C:$FB,65)*100</f>
        <v>-68.349999999999994</v>
      </c>
    </row>
    <row r="41" spans="1:15" x14ac:dyDescent="0.25">
      <c r="A41" s="101" t="str">
        <f>'Data Vlaue (Cr)'!C36</f>
        <v>BLUESTARCO</v>
      </c>
      <c r="B41" s="50">
        <f>VLOOKUP($A41,'Data shares'!$C:$FB,7)</f>
        <v>1655.6</v>
      </c>
      <c r="C41" s="50">
        <f>VLOOKUP($A41,'Data shares'!$C:$FB,10)*100</f>
        <v>2.2399999999999998</v>
      </c>
      <c r="D41" s="49">
        <f>VLOOKUP($A41,'Data shares'!$C:$FB,66)</f>
        <v>3801525</v>
      </c>
      <c r="E41" s="49">
        <f>VLOOKUP($A41,'Data shares'!$C:$FB,67)</f>
        <v>4836650</v>
      </c>
      <c r="F41" s="50">
        <f>VLOOKUP($A41,'Data shares'!$C:$FB,69)*100</f>
        <v>-21.4</v>
      </c>
      <c r="G41" s="49">
        <f>VLOOKUP($A41,'Data shares'!$C:$FB,42)</f>
        <v>1228500</v>
      </c>
      <c r="H41" s="49">
        <f>VLOOKUP($A41,'Data shares'!$C:$FB,43)</f>
        <v>1377025</v>
      </c>
      <c r="I41" s="50">
        <f>VLOOKUP($A41,'Data shares'!$C:$FB,45)*100</f>
        <v>-10.79</v>
      </c>
      <c r="J41" s="49">
        <f>VLOOKUP($A41,'Data shares'!$C:$FB,58)</f>
        <v>1899950</v>
      </c>
      <c r="K41" s="49">
        <f>VLOOKUP($A41,'Data shares'!$C:$FB,59)</f>
        <v>2051400</v>
      </c>
      <c r="L41" s="50">
        <f>VLOOKUP($A41,'Data shares'!$C:$FB,61)*100</f>
        <v>-7.3800000000000008</v>
      </c>
      <c r="M41" s="49">
        <f>VLOOKUP($A41,'Data shares'!$C:$FB,62)</f>
        <v>673075</v>
      </c>
      <c r="N41" s="49">
        <f>VLOOKUP($A41,'Data shares'!$C:$FB,63)</f>
        <v>1408225</v>
      </c>
      <c r="O41" s="140">
        <f>VLOOKUP($A41,'Data shares'!$C:$FB,65)*100</f>
        <v>-52.2</v>
      </c>
    </row>
    <row r="42" spans="1:15" x14ac:dyDescent="0.25">
      <c r="A42" s="101" t="str">
        <f>'Data Vlaue (Cr)'!C37</f>
        <v>BOSCHLTD</v>
      </c>
      <c r="B42" s="50">
        <f>VLOOKUP($A42,'Data shares'!$C:$FB,7)</f>
        <v>36770</v>
      </c>
      <c r="C42" s="50">
        <f>VLOOKUP($A42,'Data shares'!$C:$FB,10)*100</f>
        <v>2.3199999999999998</v>
      </c>
      <c r="D42" s="49">
        <f>VLOOKUP($A42,'Data shares'!$C:$FB,66)</f>
        <v>2356950</v>
      </c>
      <c r="E42" s="49">
        <f>VLOOKUP($A42,'Data shares'!$C:$FB,67)</f>
        <v>1293025</v>
      </c>
      <c r="F42" s="50">
        <f>VLOOKUP($A42,'Data shares'!$C:$FB,69)*100</f>
        <v>82.28</v>
      </c>
      <c r="G42" s="49">
        <f>VLOOKUP($A42,'Data shares'!$C:$FB,42)</f>
        <v>278625</v>
      </c>
      <c r="H42" s="49">
        <f>VLOOKUP($A42,'Data shares'!$C:$FB,43)</f>
        <v>160825</v>
      </c>
      <c r="I42" s="50">
        <f>VLOOKUP($A42,'Data shares'!$C:$FB,45)*100</f>
        <v>73.25</v>
      </c>
      <c r="J42" s="49">
        <f>VLOOKUP($A42,'Data shares'!$C:$FB,58)</f>
        <v>1559950</v>
      </c>
      <c r="K42" s="49">
        <f>VLOOKUP($A42,'Data shares'!$C:$FB,59)</f>
        <v>882425</v>
      </c>
      <c r="L42" s="50">
        <f>VLOOKUP($A42,'Data shares'!$C:$FB,61)*100</f>
        <v>76.78</v>
      </c>
      <c r="M42" s="49">
        <f>VLOOKUP($A42,'Data shares'!$C:$FB,62)</f>
        <v>518375</v>
      </c>
      <c r="N42" s="49">
        <f>VLOOKUP($A42,'Data shares'!$C:$FB,63)</f>
        <v>249775</v>
      </c>
      <c r="O42" s="140">
        <f>VLOOKUP($A42,'Data shares'!$C:$FB,65)*100</f>
        <v>107.53999999999999</v>
      </c>
    </row>
    <row r="43" spans="1:15" x14ac:dyDescent="0.25">
      <c r="A43" s="101" t="str">
        <f>'Data Vlaue (Cr)'!C38</f>
        <v>BPCL</v>
      </c>
      <c r="B43" s="50">
        <f>VLOOKUP($A43,'Data shares'!$C:$FB,7)</f>
        <v>297.35000000000002</v>
      </c>
      <c r="C43" s="50">
        <f>VLOOKUP($A43,'Data shares'!$C:$FB,10)*100</f>
        <v>-0.25</v>
      </c>
      <c r="D43" s="49">
        <f>VLOOKUP($A43,'Data shares'!$C:$FB,66)</f>
        <v>54093275</v>
      </c>
      <c r="E43" s="49">
        <f>VLOOKUP($A43,'Data shares'!$C:$FB,67)</f>
        <v>114230050</v>
      </c>
      <c r="F43" s="50">
        <f>VLOOKUP($A43,'Data shares'!$C:$FB,69)*100</f>
        <v>-52.65</v>
      </c>
      <c r="G43" s="49">
        <f>VLOOKUP($A43,'Data shares'!$C:$FB,42)</f>
        <v>12096875</v>
      </c>
      <c r="H43" s="49">
        <f>VLOOKUP($A43,'Data shares'!$C:$FB,43)</f>
        <v>21543300</v>
      </c>
      <c r="I43" s="50">
        <f>VLOOKUP($A43,'Data shares'!$C:$FB,45)*100</f>
        <v>-43.85</v>
      </c>
      <c r="J43" s="49">
        <f>VLOOKUP($A43,'Data shares'!$C:$FB,58)</f>
        <v>24703300</v>
      </c>
      <c r="K43" s="49">
        <f>VLOOKUP($A43,'Data shares'!$C:$FB,59)</f>
        <v>64426475</v>
      </c>
      <c r="L43" s="50">
        <f>VLOOKUP($A43,'Data shares'!$C:$FB,61)*100</f>
        <v>-61.660000000000004</v>
      </c>
      <c r="M43" s="49">
        <f>VLOOKUP($A43,'Data shares'!$C:$FB,62)</f>
        <v>17293100</v>
      </c>
      <c r="N43" s="49">
        <f>VLOOKUP($A43,'Data shares'!$C:$FB,63)</f>
        <v>28260275</v>
      </c>
      <c r="O43" s="140">
        <f>VLOOKUP($A43,'Data shares'!$C:$FB,65)*100</f>
        <v>-38.81</v>
      </c>
    </row>
    <row r="44" spans="1:15" x14ac:dyDescent="0.25">
      <c r="A44" s="101" t="str">
        <f>'Data Vlaue (Cr)'!C39</f>
        <v>BRITANNIA</v>
      </c>
      <c r="B44" s="50">
        <f>VLOOKUP($A44,'Data shares'!$C:$FB,7)</f>
        <v>5475</v>
      </c>
      <c r="C44" s="50">
        <f>VLOOKUP($A44,'Data shares'!$C:$FB,10)*100</f>
        <v>-2.1399999999999997</v>
      </c>
      <c r="D44" s="49">
        <f>VLOOKUP($A44,'Data shares'!$C:$FB,66)</f>
        <v>3621250</v>
      </c>
      <c r="E44" s="49">
        <f>VLOOKUP($A44,'Data shares'!$C:$FB,67)</f>
        <v>1350000</v>
      </c>
      <c r="F44" s="50">
        <f>VLOOKUP($A44,'Data shares'!$C:$FB,69)*100</f>
        <v>168.23999999999998</v>
      </c>
      <c r="G44" s="49">
        <f>VLOOKUP($A44,'Data shares'!$C:$FB,42)</f>
        <v>938750</v>
      </c>
      <c r="H44" s="49">
        <f>VLOOKUP($A44,'Data shares'!$C:$FB,43)</f>
        <v>281625</v>
      </c>
      <c r="I44" s="50">
        <f>VLOOKUP($A44,'Data shares'!$C:$FB,45)*100</f>
        <v>233.32999999999998</v>
      </c>
      <c r="J44" s="49">
        <f>VLOOKUP($A44,'Data shares'!$C:$FB,58)</f>
        <v>1595000</v>
      </c>
      <c r="K44" s="49">
        <f>VLOOKUP($A44,'Data shares'!$C:$FB,59)</f>
        <v>768000</v>
      </c>
      <c r="L44" s="50">
        <f>VLOOKUP($A44,'Data shares'!$C:$FB,61)*100</f>
        <v>107.67999999999999</v>
      </c>
      <c r="M44" s="49">
        <f>VLOOKUP($A44,'Data shares'!$C:$FB,62)</f>
        <v>1087500</v>
      </c>
      <c r="N44" s="49">
        <f>VLOOKUP($A44,'Data shares'!$C:$FB,63)</f>
        <v>300375</v>
      </c>
      <c r="O44" s="140">
        <f>VLOOKUP($A44,'Data shares'!$C:$FB,65)*100</f>
        <v>262.04999999999995</v>
      </c>
    </row>
    <row r="45" spans="1:15" x14ac:dyDescent="0.25">
      <c r="A45" s="101" t="str">
        <f>'Data Vlaue (Cr)'!C40</f>
        <v>BSE</v>
      </c>
      <c r="B45" s="50">
        <f>VLOOKUP($A45,'Data shares'!$C:$FB,7)</f>
        <v>3257.4</v>
      </c>
      <c r="C45" s="50">
        <f>VLOOKUP($A45,'Data shares'!$C:$FB,10)*100</f>
        <v>2.96</v>
      </c>
      <c r="D45" s="49">
        <f>VLOOKUP($A45,'Data shares'!$C:$FB,66)</f>
        <v>40186500</v>
      </c>
      <c r="E45" s="49">
        <f>VLOOKUP($A45,'Data shares'!$C:$FB,67)</f>
        <v>46751625</v>
      </c>
      <c r="F45" s="50">
        <f>VLOOKUP($A45,'Data shares'!$C:$FB,69)*100</f>
        <v>-14.04</v>
      </c>
      <c r="G45" s="49">
        <f>VLOOKUP($A45,'Data shares'!$C:$FB,42)</f>
        <v>4483125</v>
      </c>
      <c r="H45" s="49">
        <f>VLOOKUP($A45,'Data shares'!$C:$FB,43)</f>
        <v>5622750</v>
      </c>
      <c r="I45" s="50">
        <f>VLOOKUP($A45,'Data shares'!$C:$FB,45)*100</f>
        <v>-20.27</v>
      </c>
      <c r="J45" s="49">
        <f>VLOOKUP($A45,'Data shares'!$C:$FB,58)</f>
        <v>23240625</v>
      </c>
      <c r="K45" s="49">
        <f>VLOOKUP($A45,'Data shares'!$C:$FB,59)</f>
        <v>26665125</v>
      </c>
      <c r="L45" s="50">
        <f>VLOOKUP($A45,'Data shares'!$C:$FB,61)*100</f>
        <v>-12.839999999999998</v>
      </c>
      <c r="M45" s="49">
        <f>VLOOKUP($A45,'Data shares'!$C:$FB,62)</f>
        <v>12462750</v>
      </c>
      <c r="N45" s="49">
        <f>VLOOKUP($A45,'Data shares'!$C:$FB,63)</f>
        <v>14463750</v>
      </c>
      <c r="O45" s="140">
        <f>VLOOKUP($A45,'Data shares'!$C:$FB,65)*100</f>
        <v>-13.83</v>
      </c>
    </row>
    <row r="46" spans="1:15" x14ac:dyDescent="0.25">
      <c r="A46" s="101" t="str">
        <f>'Data Vlaue (Cr)'!C41</f>
        <v>CAMS</v>
      </c>
      <c r="B46" s="50">
        <f>VLOOKUP($A46,'Data shares'!$C:$FB,7)</f>
        <v>699.05</v>
      </c>
      <c r="C46" s="50">
        <f>VLOOKUP($A46,'Data shares'!$C:$FB,10)*100</f>
        <v>-0.82000000000000006</v>
      </c>
      <c r="D46" s="49">
        <f>VLOOKUP($A46,'Data shares'!$C:$FB,66)</f>
        <v>8241000</v>
      </c>
      <c r="E46" s="49">
        <f>VLOOKUP($A46,'Data shares'!$C:$FB,67)</f>
        <v>7304250</v>
      </c>
      <c r="F46" s="50">
        <f>VLOOKUP($A46,'Data shares'!$C:$FB,69)*100</f>
        <v>12.82</v>
      </c>
      <c r="G46" s="49">
        <f>VLOOKUP($A46,'Data shares'!$C:$FB,42)</f>
        <v>2208750</v>
      </c>
      <c r="H46" s="49">
        <f>VLOOKUP($A46,'Data shares'!$C:$FB,43)</f>
        <v>2351250</v>
      </c>
      <c r="I46" s="50">
        <f>VLOOKUP($A46,'Data shares'!$C:$FB,45)*100</f>
        <v>-6.0600000000000005</v>
      </c>
      <c r="J46" s="49">
        <f>VLOOKUP($A46,'Data shares'!$C:$FB,58)</f>
        <v>4136250</v>
      </c>
      <c r="K46" s="49">
        <f>VLOOKUP($A46,'Data shares'!$C:$FB,59)</f>
        <v>3232500</v>
      </c>
      <c r="L46" s="50">
        <f>VLOOKUP($A46,'Data shares'!$C:$FB,61)*100</f>
        <v>27.96</v>
      </c>
      <c r="M46" s="49">
        <f>VLOOKUP($A46,'Data shares'!$C:$FB,62)</f>
        <v>1896000</v>
      </c>
      <c r="N46" s="49">
        <f>VLOOKUP($A46,'Data shares'!$C:$FB,63)</f>
        <v>1720500</v>
      </c>
      <c r="O46" s="140">
        <f>VLOOKUP($A46,'Data shares'!$C:$FB,65)*100</f>
        <v>10.199999999999999</v>
      </c>
    </row>
    <row r="47" spans="1:15" x14ac:dyDescent="0.25">
      <c r="A47" s="101" t="str">
        <f>'Data Vlaue (Cr)'!C42</f>
        <v>CANBK</v>
      </c>
      <c r="B47" s="50">
        <f>VLOOKUP($A47,'Data shares'!$C:$FB,7)</f>
        <v>137.91</v>
      </c>
      <c r="C47" s="50">
        <f>VLOOKUP($A47,'Data shares'!$C:$FB,10)*100</f>
        <v>-0.91999999999999993</v>
      </c>
      <c r="D47" s="49">
        <f>VLOOKUP($A47,'Data shares'!$C:$FB,66)</f>
        <v>147588750</v>
      </c>
      <c r="E47" s="49">
        <f>VLOOKUP($A47,'Data shares'!$C:$FB,67)</f>
        <v>270391500</v>
      </c>
      <c r="F47" s="50">
        <f>VLOOKUP($A47,'Data shares'!$C:$FB,69)*100</f>
        <v>-45.42</v>
      </c>
      <c r="G47" s="49">
        <f>VLOOKUP($A47,'Data shares'!$C:$FB,42)</f>
        <v>38853000</v>
      </c>
      <c r="H47" s="49">
        <f>VLOOKUP($A47,'Data shares'!$C:$FB,43)</f>
        <v>66804750</v>
      </c>
      <c r="I47" s="50">
        <f>VLOOKUP($A47,'Data shares'!$C:$FB,45)*100</f>
        <v>-41.839999999999996</v>
      </c>
      <c r="J47" s="49">
        <f>VLOOKUP($A47,'Data shares'!$C:$FB,58)</f>
        <v>68141250</v>
      </c>
      <c r="K47" s="49">
        <f>VLOOKUP($A47,'Data shares'!$C:$FB,59)</f>
        <v>125651250</v>
      </c>
      <c r="L47" s="50">
        <f>VLOOKUP($A47,'Data shares'!$C:$FB,61)*100</f>
        <v>-45.769999999999996</v>
      </c>
      <c r="M47" s="49">
        <f>VLOOKUP($A47,'Data shares'!$C:$FB,62)</f>
        <v>40594500</v>
      </c>
      <c r="N47" s="49">
        <f>VLOOKUP($A47,'Data shares'!$C:$FB,63)</f>
        <v>77935500</v>
      </c>
      <c r="O47" s="140">
        <f>VLOOKUP($A47,'Data shares'!$C:$FB,65)*100</f>
        <v>-47.910000000000004</v>
      </c>
    </row>
    <row r="48" spans="1:15" x14ac:dyDescent="0.25">
      <c r="A48" s="101" t="str">
        <f>'Data Vlaue (Cr)'!C43</f>
        <v>CDSL</v>
      </c>
      <c r="B48" s="50">
        <f>VLOOKUP($A48,'Data shares'!$C:$FB,7)</f>
        <v>1279.3</v>
      </c>
      <c r="C48" s="50">
        <f>VLOOKUP($A48,'Data shares'!$C:$FB,10)*100</f>
        <v>-0.63</v>
      </c>
      <c r="D48" s="49">
        <f>VLOOKUP($A48,'Data shares'!$C:$FB,66)</f>
        <v>17332750</v>
      </c>
      <c r="E48" s="49">
        <f>VLOOKUP($A48,'Data shares'!$C:$FB,67)</f>
        <v>22856525</v>
      </c>
      <c r="F48" s="50">
        <f>VLOOKUP($A48,'Data shares'!$C:$FB,69)*100</f>
        <v>-24.169999999999998</v>
      </c>
      <c r="G48" s="49">
        <f>VLOOKUP($A48,'Data shares'!$C:$FB,42)</f>
        <v>3781000</v>
      </c>
      <c r="H48" s="49">
        <f>VLOOKUP($A48,'Data shares'!$C:$FB,43)</f>
        <v>4768050</v>
      </c>
      <c r="I48" s="50">
        <f>VLOOKUP($A48,'Data shares'!$C:$FB,45)*100</f>
        <v>-20.7</v>
      </c>
      <c r="J48" s="49">
        <f>VLOOKUP($A48,'Data shares'!$C:$FB,58)</f>
        <v>9833450</v>
      </c>
      <c r="K48" s="49">
        <f>VLOOKUP($A48,'Data shares'!$C:$FB,59)</f>
        <v>12690575</v>
      </c>
      <c r="L48" s="50">
        <f>VLOOKUP($A48,'Data shares'!$C:$FB,61)*100</f>
        <v>-22.509999999999998</v>
      </c>
      <c r="M48" s="49">
        <f>VLOOKUP($A48,'Data shares'!$C:$FB,62)</f>
        <v>3718300</v>
      </c>
      <c r="N48" s="49">
        <f>VLOOKUP($A48,'Data shares'!$C:$FB,63)</f>
        <v>5397900</v>
      </c>
      <c r="O48" s="140">
        <f>VLOOKUP($A48,'Data shares'!$C:$FB,65)*100</f>
        <v>-31.119999999999997</v>
      </c>
    </row>
    <row r="49" spans="1:15" x14ac:dyDescent="0.25">
      <c r="A49" s="101" t="str">
        <f>'Data Vlaue (Cr)'!C44</f>
        <v>CGPOWER</v>
      </c>
      <c r="B49" s="50">
        <f>VLOOKUP($A49,'Data shares'!$C:$FB,7)</f>
        <v>720.6</v>
      </c>
      <c r="C49" s="50">
        <f>VLOOKUP($A49,'Data shares'!$C:$FB,10)*100</f>
        <v>-0.77999999999999992</v>
      </c>
      <c r="D49" s="49">
        <f>VLOOKUP($A49,'Data shares'!$C:$FB,66)</f>
        <v>8132800</v>
      </c>
      <c r="E49" s="49">
        <f>VLOOKUP($A49,'Data shares'!$C:$FB,67)</f>
        <v>12370050</v>
      </c>
      <c r="F49" s="50">
        <f>VLOOKUP($A49,'Data shares'!$C:$FB,69)*100</f>
        <v>-34.25</v>
      </c>
      <c r="G49" s="49">
        <f>VLOOKUP($A49,'Data shares'!$C:$FB,42)</f>
        <v>2764200</v>
      </c>
      <c r="H49" s="49">
        <f>VLOOKUP($A49,'Data shares'!$C:$FB,43)</f>
        <v>3386400</v>
      </c>
      <c r="I49" s="50">
        <f>VLOOKUP($A49,'Data shares'!$C:$FB,45)*100</f>
        <v>-18.37</v>
      </c>
      <c r="J49" s="49">
        <f>VLOOKUP($A49,'Data shares'!$C:$FB,58)</f>
        <v>3379600</v>
      </c>
      <c r="K49" s="49">
        <f>VLOOKUP($A49,'Data shares'!$C:$FB,59)</f>
        <v>5426400</v>
      </c>
      <c r="L49" s="50">
        <f>VLOOKUP($A49,'Data shares'!$C:$FB,61)*100</f>
        <v>-37.72</v>
      </c>
      <c r="M49" s="49">
        <f>VLOOKUP($A49,'Data shares'!$C:$FB,62)</f>
        <v>1989000</v>
      </c>
      <c r="N49" s="49">
        <f>VLOOKUP($A49,'Data shares'!$C:$FB,63)</f>
        <v>3557250</v>
      </c>
      <c r="O49" s="140">
        <f>VLOOKUP($A49,'Data shares'!$C:$FB,65)*100</f>
        <v>-44.09</v>
      </c>
    </row>
    <row r="50" spans="1:15" x14ac:dyDescent="0.25">
      <c r="A50" s="101" t="str">
        <f>'Data Vlaue (Cr)'!C45</f>
        <v>CHOLAFIN</v>
      </c>
      <c r="B50" s="50">
        <f>VLOOKUP($A50,'Data shares'!$C:$FB,7)</f>
        <v>1533.1</v>
      </c>
      <c r="C50" s="50">
        <f>VLOOKUP($A50,'Data shares'!$C:$FB,10)*100</f>
        <v>-1.3599999999999999</v>
      </c>
      <c r="D50" s="49">
        <f>VLOOKUP($A50,'Data shares'!$C:$FB,66)</f>
        <v>11093750</v>
      </c>
      <c r="E50" s="49">
        <f>VLOOKUP($A50,'Data shares'!$C:$FB,67)</f>
        <v>20585625</v>
      </c>
      <c r="F50" s="50">
        <f>VLOOKUP($A50,'Data shares'!$C:$FB,69)*100</f>
        <v>-46.11</v>
      </c>
      <c r="G50" s="49">
        <f>VLOOKUP($A50,'Data shares'!$C:$FB,42)</f>
        <v>2672500</v>
      </c>
      <c r="H50" s="49">
        <f>VLOOKUP($A50,'Data shares'!$C:$FB,43)</f>
        <v>4527500</v>
      </c>
      <c r="I50" s="50">
        <f>VLOOKUP($A50,'Data shares'!$C:$FB,45)*100</f>
        <v>-40.97</v>
      </c>
      <c r="J50" s="49">
        <f>VLOOKUP($A50,'Data shares'!$C:$FB,58)</f>
        <v>4200625</v>
      </c>
      <c r="K50" s="49">
        <f>VLOOKUP($A50,'Data shares'!$C:$FB,59)</f>
        <v>9905000</v>
      </c>
      <c r="L50" s="50">
        <f>VLOOKUP($A50,'Data shares'!$C:$FB,61)*100</f>
        <v>-57.589999999999996</v>
      </c>
      <c r="M50" s="49">
        <f>VLOOKUP($A50,'Data shares'!$C:$FB,62)</f>
        <v>4220625</v>
      </c>
      <c r="N50" s="49">
        <f>VLOOKUP($A50,'Data shares'!$C:$FB,63)</f>
        <v>6153125</v>
      </c>
      <c r="O50" s="140">
        <f>VLOOKUP($A50,'Data shares'!$C:$FB,65)*100</f>
        <v>-31.41</v>
      </c>
    </row>
    <row r="51" spans="1:15" x14ac:dyDescent="0.25">
      <c r="A51" s="101" t="str">
        <f>'Data Vlaue (Cr)'!C46</f>
        <v>CIPLA</v>
      </c>
      <c r="B51" s="50">
        <f>VLOOKUP($A51,'Data shares'!$C:$FB,7)</f>
        <v>1224.4000000000001</v>
      </c>
      <c r="C51" s="50">
        <f>VLOOKUP($A51,'Data shares'!$C:$FB,10)*100</f>
        <v>0.70000000000000007</v>
      </c>
      <c r="D51" s="49">
        <f>VLOOKUP($A51,'Data shares'!$C:$FB,66)</f>
        <v>7987500</v>
      </c>
      <c r="E51" s="49">
        <f>VLOOKUP($A51,'Data shares'!$C:$FB,67)</f>
        <v>10318125</v>
      </c>
      <c r="F51" s="50">
        <f>VLOOKUP($A51,'Data shares'!$C:$FB,69)*100</f>
        <v>-22.59</v>
      </c>
      <c r="G51" s="49">
        <f>VLOOKUP($A51,'Data shares'!$C:$FB,42)</f>
        <v>1133250</v>
      </c>
      <c r="H51" s="49">
        <f>VLOOKUP($A51,'Data shares'!$C:$FB,43)</f>
        <v>1798125</v>
      </c>
      <c r="I51" s="50">
        <f>VLOOKUP($A51,'Data shares'!$C:$FB,45)*100</f>
        <v>-36.980000000000004</v>
      </c>
      <c r="J51" s="49">
        <f>VLOOKUP($A51,'Data shares'!$C:$FB,58)</f>
        <v>5436375</v>
      </c>
      <c r="K51" s="49">
        <f>VLOOKUP($A51,'Data shares'!$C:$FB,59)</f>
        <v>6641250</v>
      </c>
      <c r="L51" s="50">
        <f>VLOOKUP($A51,'Data shares'!$C:$FB,61)*100</f>
        <v>-18.14</v>
      </c>
      <c r="M51" s="49">
        <f>VLOOKUP($A51,'Data shares'!$C:$FB,62)</f>
        <v>1417875</v>
      </c>
      <c r="N51" s="49">
        <f>VLOOKUP($A51,'Data shares'!$C:$FB,63)</f>
        <v>1878750</v>
      </c>
      <c r="O51" s="140">
        <f>VLOOKUP($A51,'Data shares'!$C:$FB,65)*100</f>
        <v>-24.529999999999998</v>
      </c>
    </row>
    <row r="52" spans="1:15" x14ac:dyDescent="0.25">
      <c r="A52" s="101" t="str">
        <f>'Data Vlaue (Cr)'!C47</f>
        <v>COALINDIA</v>
      </c>
      <c r="B52" s="50">
        <f>VLOOKUP($A52,'Data shares'!$C:$FB,7)</f>
        <v>454.1</v>
      </c>
      <c r="C52" s="50">
        <f>VLOOKUP($A52,'Data shares'!$C:$FB,10)*100</f>
        <v>1.08</v>
      </c>
      <c r="D52" s="49">
        <f>VLOOKUP($A52,'Data shares'!$C:$FB,66)</f>
        <v>65360250</v>
      </c>
      <c r="E52" s="49">
        <f>VLOOKUP($A52,'Data shares'!$C:$FB,67)</f>
        <v>93191850</v>
      </c>
      <c r="F52" s="50">
        <f>VLOOKUP($A52,'Data shares'!$C:$FB,69)*100</f>
        <v>-29.86</v>
      </c>
      <c r="G52" s="49">
        <f>VLOOKUP($A52,'Data shares'!$C:$FB,42)</f>
        <v>10945800</v>
      </c>
      <c r="H52" s="49">
        <f>VLOOKUP($A52,'Data shares'!$C:$FB,43)</f>
        <v>18800100</v>
      </c>
      <c r="I52" s="50">
        <f>VLOOKUP($A52,'Data shares'!$C:$FB,45)*100</f>
        <v>-41.78</v>
      </c>
      <c r="J52" s="49">
        <f>VLOOKUP($A52,'Data shares'!$C:$FB,58)</f>
        <v>39622500</v>
      </c>
      <c r="K52" s="49">
        <f>VLOOKUP($A52,'Data shares'!$C:$FB,59)</f>
        <v>51065100</v>
      </c>
      <c r="L52" s="50">
        <f>VLOOKUP($A52,'Data shares'!$C:$FB,61)*100</f>
        <v>-22.41</v>
      </c>
      <c r="M52" s="49">
        <f>VLOOKUP($A52,'Data shares'!$C:$FB,62)</f>
        <v>14791950</v>
      </c>
      <c r="N52" s="49">
        <f>VLOOKUP($A52,'Data shares'!$C:$FB,63)</f>
        <v>23326650</v>
      </c>
      <c r="O52" s="140">
        <f>VLOOKUP($A52,'Data shares'!$C:$FB,65)*100</f>
        <v>-36.590000000000003</v>
      </c>
    </row>
    <row r="53" spans="1:15" x14ac:dyDescent="0.25">
      <c r="A53" s="101" t="str">
        <f>'Data Vlaue (Cr)'!C48</f>
        <v>COCHINSHIP</v>
      </c>
      <c r="B53" s="50">
        <f>VLOOKUP($A53,'Data shares'!$C:$FB,7)</f>
        <v>1423.9</v>
      </c>
      <c r="C53" s="50">
        <f>VLOOKUP($A53,'Data shares'!$C:$FB,10)*100</f>
        <v>3.2</v>
      </c>
      <c r="D53" s="49">
        <f>VLOOKUP($A53,'Data shares'!$C:$FB,66)</f>
        <v>9204800</v>
      </c>
      <c r="E53" s="49">
        <f>VLOOKUP($A53,'Data shares'!$C:$FB,67)</f>
        <v>1428400</v>
      </c>
      <c r="F53" s="50">
        <f>VLOOKUP($A53,'Data shares'!$C:$FB,69)*100</f>
        <v>544.41</v>
      </c>
      <c r="G53" s="49">
        <f>VLOOKUP($A53,'Data shares'!$C:$FB,42)</f>
        <v>1437600</v>
      </c>
      <c r="H53" s="49">
        <f>VLOOKUP($A53,'Data shares'!$C:$FB,43)</f>
        <v>416800</v>
      </c>
      <c r="I53" s="50">
        <f>VLOOKUP($A53,'Data shares'!$C:$FB,45)*100</f>
        <v>244.91</v>
      </c>
      <c r="J53" s="49">
        <f>VLOOKUP($A53,'Data shares'!$C:$FB,58)</f>
        <v>6078000</v>
      </c>
      <c r="K53" s="49">
        <f>VLOOKUP($A53,'Data shares'!$C:$FB,59)</f>
        <v>737600</v>
      </c>
      <c r="L53" s="50">
        <f>VLOOKUP($A53,'Data shares'!$C:$FB,61)*100</f>
        <v>724.02</v>
      </c>
      <c r="M53" s="49">
        <f>VLOOKUP($A53,'Data shares'!$C:$FB,62)</f>
        <v>1689200</v>
      </c>
      <c r="N53" s="49">
        <f>VLOOKUP($A53,'Data shares'!$C:$FB,63)</f>
        <v>274000</v>
      </c>
      <c r="O53" s="140">
        <f>VLOOKUP($A53,'Data shares'!$C:$FB,65)*100</f>
        <v>516.5</v>
      </c>
    </row>
    <row r="54" spans="1:15" x14ac:dyDescent="0.25">
      <c r="A54" s="101" t="str">
        <f>'Data Vlaue (Cr)'!C49</f>
        <v>COFORGE</v>
      </c>
      <c r="B54" s="50">
        <f>VLOOKUP($A54,'Data shares'!$C:$FB,7)</f>
        <v>1264.9000000000001</v>
      </c>
      <c r="C54" s="50">
        <f>VLOOKUP($A54,'Data shares'!$C:$FB,10)*100</f>
        <v>-0.43</v>
      </c>
      <c r="D54" s="49">
        <f>VLOOKUP($A54,'Data shares'!$C:$FB,66)</f>
        <v>17227875</v>
      </c>
      <c r="E54" s="49">
        <f>VLOOKUP($A54,'Data shares'!$C:$FB,67)</f>
        <v>20738625</v>
      </c>
      <c r="F54" s="50">
        <f>VLOOKUP($A54,'Data shares'!$C:$FB,69)*100</f>
        <v>-16.93</v>
      </c>
      <c r="G54" s="49">
        <f>VLOOKUP($A54,'Data shares'!$C:$FB,42)</f>
        <v>3252000</v>
      </c>
      <c r="H54" s="49">
        <f>VLOOKUP($A54,'Data shares'!$C:$FB,43)</f>
        <v>3887625</v>
      </c>
      <c r="I54" s="50">
        <f>VLOOKUP($A54,'Data shares'!$C:$FB,45)*100</f>
        <v>-16.350000000000001</v>
      </c>
      <c r="J54" s="49">
        <f>VLOOKUP($A54,'Data shares'!$C:$FB,58)</f>
        <v>9360375</v>
      </c>
      <c r="K54" s="49">
        <f>VLOOKUP($A54,'Data shares'!$C:$FB,59)</f>
        <v>12170625</v>
      </c>
      <c r="L54" s="50">
        <f>VLOOKUP($A54,'Data shares'!$C:$FB,61)*100</f>
        <v>-23.09</v>
      </c>
      <c r="M54" s="49">
        <f>VLOOKUP($A54,'Data shares'!$C:$FB,62)</f>
        <v>4615500</v>
      </c>
      <c r="N54" s="49">
        <f>VLOOKUP($A54,'Data shares'!$C:$FB,63)</f>
        <v>4680375</v>
      </c>
      <c r="O54" s="140">
        <f>VLOOKUP($A54,'Data shares'!$C:$FB,65)*100</f>
        <v>-1.39</v>
      </c>
    </row>
    <row r="55" spans="1:15" x14ac:dyDescent="0.25">
      <c r="A55" s="101" t="str">
        <f>'Data Vlaue (Cr)'!C50</f>
        <v>COLPAL</v>
      </c>
      <c r="B55" s="50">
        <f>VLOOKUP($A55,'Data shares'!$C:$FB,7)</f>
        <v>1906.7</v>
      </c>
      <c r="C55" s="50">
        <f>VLOOKUP($A55,'Data shares'!$C:$FB,10)*100</f>
        <v>-0.02</v>
      </c>
      <c r="D55" s="49">
        <f>VLOOKUP($A55,'Data shares'!$C:$FB,66)</f>
        <v>3577050</v>
      </c>
      <c r="E55" s="49">
        <f>VLOOKUP($A55,'Data shares'!$C:$FB,67)</f>
        <v>5148450</v>
      </c>
      <c r="F55" s="50">
        <f>VLOOKUP($A55,'Data shares'!$C:$FB,69)*100</f>
        <v>-30.520000000000003</v>
      </c>
      <c r="G55" s="49">
        <f>VLOOKUP($A55,'Data shares'!$C:$FB,42)</f>
        <v>695475</v>
      </c>
      <c r="H55" s="49">
        <f>VLOOKUP($A55,'Data shares'!$C:$FB,43)</f>
        <v>791550</v>
      </c>
      <c r="I55" s="50">
        <f>VLOOKUP($A55,'Data shares'!$C:$FB,45)*100</f>
        <v>-12.139999999999999</v>
      </c>
      <c r="J55" s="49">
        <f>VLOOKUP($A55,'Data shares'!$C:$FB,58)</f>
        <v>2198250</v>
      </c>
      <c r="K55" s="49">
        <f>VLOOKUP($A55,'Data shares'!$C:$FB,59)</f>
        <v>3376575</v>
      </c>
      <c r="L55" s="50">
        <f>VLOOKUP($A55,'Data shares'!$C:$FB,61)*100</f>
        <v>-34.9</v>
      </c>
      <c r="M55" s="49">
        <f>VLOOKUP($A55,'Data shares'!$C:$FB,62)</f>
        <v>683325</v>
      </c>
      <c r="N55" s="49">
        <f>VLOOKUP($A55,'Data shares'!$C:$FB,63)</f>
        <v>980325</v>
      </c>
      <c r="O55" s="140">
        <f>VLOOKUP($A55,'Data shares'!$C:$FB,65)*100</f>
        <v>-30.3</v>
      </c>
    </row>
    <row r="56" spans="1:15" x14ac:dyDescent="0.25">
      <c r="A56" s="101" t="str">
        <f>'Data Vlaue (Cr)'!C51</f>
        <v>CONCOR</v>
      </c>
      <c r="B56" s="50">
        <f>VLOOKUP($A56,'Data shares'!$C:$FB,7)</f>
        <v>482.25</v>
      </c>
      <c r="C56" s="50">
        <f>VLOOKUP($A56,'Data shares'!$C:$FB,10)*100</f>
        <v>1.7999999999999998</v>
      </c>
      <c r="D56" s="49">
        <f>VLOOKUP($A56,'Data shares'!$C:$FB,66)</f>
        <v>21362500</v>
      </c>
      <c r="E56" s="49">
        <f>VLOOKUP($A56,'Data shares'!$C:$FB,67)</f>
        <v>13302500</v>
      </c>
      <c r="F56" s="50">
        <f>VLOOKUP($A56,'Data shares'!$C:$FB,69)*100</f>
        <v>60.589999999999996</v>
      </c>
      <c r="G56" s="49">
        <f>VLOOKUP($A56,'Data shares'!$C:$FB,42)</f>
        <v>3981250</v>
      </c>
      <c r="H56" s="49">
        <f>VLOOKUP($A56,'Data shares'!$C:$FB,43)</f>
        <v>3148750</v>
      </c>
      <c r="I56" s="50">
        <f>VLOOKUP($A56,'Data shares'!$C:$FB,45)*100</f>
        <v>26.44</v>
      </c>
      <c r="J56" s="49">
        <f>VLOOKUP($A56,'Data shares'!$C:$FB,58)</f>
        <v>14355000</v>
      </c>
      <c r="K56" s="49">
        <f>VLOOKUP($A56,'Data shares'!$C:$FB,59)</f>
        <v>7882500</v>
      </c>
      <c r="L56" s="50">
        <f>VLOOKUP($A56,'Data shares'!$C:$FB,61)*100</f>
        <v>82.11</v>
      </c>
      <c r="M56" s="49">
        <f>VLOOKUP($A56,'Data shares'!$C:$FB,62)</f>
        <v>3026250</v>
      </c>
      <c r="N56" s="49">
        <f>VLOOKUP($A56,'Data shares'!$C:$FB,63)</f>
        <v>2271250</v>
      </c>
      <c r="O56" s="140">
        <f>VLOOKUP($A56,'Data shares'!$C:$FB,65)*100</f>
        <v>33.239999999999995</v>
      </c>
    </row>
    <row r="57" spans="1:15" x14ac:dyDescent="0.25">
      <c r="A57" s="101" t="str">
        <f>'Data Vlaue (Cr)'!C52</f>
        <v>CROMPTON</v>
      </c>
      <c r="B57" s="50">
        <f>VLOOKUP($A57,'Data shares'!$C:$FB,7)</f>
        <v>237.9</v>
      </c>
      <c r="C57" s="50">
        <f>VLOOKUP($A57,'Data shares'!$C:$FB,10)*100</f>
        <v>-3.3099999999999996</v>
      </c>
      <c r="D57" s="49">
        <f>VLOOKUP($A57,'Data shares'!$C:$FB,66)</f>
        <v>19227600</v>
      </c>
      <c r="E57" s="49">
        <f>VLOOKUP($A57,'Data shares'!$C:$FB,67)</f>
        <v>18948600</v>
      </c>
      <c r="F57" s="50">
        <f>VLOOKUP($A57,'Data shares'!$C:$FB,69)*100</f>
        <v>1.47</v>
      </c>
      <c r="G57" s="49">
        <f>VLOOKUP($A57,'Data shares'!$C:$FB,42)</f>
        <v>5691600</v>
      </c>
      <c r="H57" s="49">
        <f>VLOOKUP($A57,'Data shares'!$C:$FB,43)</f>
        <v>5256000</v>
      </c>
      <c r="I57" s="50">
        <f>VLOOKUP($A57,'Data shares'!$C:$FB,45)*100</f>
        <v>8.2900000000000009</v>
      </c>
      <c r="J57" s="49">
        <f>VLOOKUP($A57,'Data shares'!$C:$FB,58)</f>
        <v>8694000</v>
      </c>
      <c r="K57" s="49">
        <f>VLOOKUP($A57,'Data shares'!$C:$FB,59)</f>
        <v>9237600</v>
      </c>
      <c r="L57" s="50">
        <f>VLOOKUP($A57,'Data shares'!$C:$FB,61)*100</f>
        <v>-5.88</v>
      </c>
      <c r="M57" s="49">
        <f>VLOOKUP($A57,'Data shares'!$C:$FB,62)</f>
        <v>4842000</v>
      </c>
      <c r="N57" s="49">
        <f>VLOOKUP($A57,'Data shares'!$C:$FB,63)</f>
        <v>4455000</v>
      </c>
      <c r="O57" s="140">
        <f>VLOOKUP($A57,'Data shares'!$C:$FB,65)*100</f>
        <v>8.6900000000000013</v>
      </c>
    </row>
    <row r="58" spans="1:15" x14ac:dyDescent="0.25">
      <c r="A58" s="101" t="str">
        <f>'Data Vlaue (Cr)'!C53</f>
        <v>CUMMINSIND</v>
      </c>
      <c r="B58" s="50">
        <f>VLOOKUP($A58,'Data shares'!$C:$FB,7)</f>
        <v>4907.3999999999996</v>
      </c>
      <c r="C58" s="50">
        <f>VLOOKUP($A58,'Data shares'!$C:$FB,10)*100</f>
        <v>2.3199999999999998</v>
      </c>
      <c r="D58" s="49">
        <f>VLOOKUP($A58,'Data shares'!$C:$FB,66)</f>
        <v>4291600</v>
      </c>
      <c r="E58" s="49">
        <f>VLOOKUP($A58,'Data shares'!$C:$FB,67)</f>
        <v>4186200</v>
      </c>
      <c r="F58" s="50">
        <f>VLOOKUP($A58,'Data shares'!$C:$FB,69)*100</f>
        <v>2.52</v>
      </c>
      <c r="G58" s="49">
        <f>VLOOKUP($A58,'Data shares'!$C:$FB,42)</f>
        <v>864800</v>
      </c>
      <c r="H58" s="49">
        <f>VLOOKUP($A58,'Data shares'!$C:$FB,43)</f>
        <v>1034800</v>
      </c>
      <c r="I58" s="50">
        <f>VLOOKUP($A58,'Data shares'!$C:$FB,45)*100</f>
        <v>-16.43</v>
      </c>
      <c r="J58" s="49">
        <f>VLOOKUP($A58,'Data shares'!$C:$FB,58)</f>
        <v>2573200</v>
      </c>
      <c r="K58" s="49">
        <f>VLOOKUP($A58,'Data shares'!$C:$FB,59)</f>
        <v>2502600</v>
      </c>
      <c r="L58" s="50">
        <f>VLOOKUP($A58,'Data shares'!$C:$FB,61)*100</f>
        <v>2.82</v>
      </c>
      <c r="M58" s="49">
        <f>VLOOKUP($A58,'Data shares'!$C:$FB,62)</f>
        <v>853600</v>
      </c>
      <c r="N58" s="49">
        <f>VLOOKUP($A58,'Data shares'!$C:$FB,63)</f>
        <v>648800</v>
      </c>
      <c r="O58" s="140">
        <f>VLOOKUP($A58,'Data shares'!$C:$FB,65)*100</f>
        <v>31.569999999999997</v>
      </c>
    </row>
    <row r="59" spans="1:15" x14ac:dyDescent="0.25">
      <c r="A59" s="101" t="str">
        <f>'Data Vlaue (Cr)'!C54</f>
        <v>DABUR</v>
      </c>
      <c r="B59" s="50">
        <f>VLOOKUP($A59,'Data shares'!$C:$FB,7)</f>
        <v>429.4</v>
      </c>
      <c r="C59" s="50">
        <f>VLOOKUP($A59,'Data shares'!$C:$FB,10)*100</f>
        <v>0.5</v>
      </c>
      <c r="D59" s="49">
        <f>VLOOKUP($A59,'Data shares'!$C:$FB,66)</f>
        <v>13167500</v>
      </c>
      <c r="E59" s="49">
        <f>VLOOKUP($A59,'Data shares'!$C:$FB,67)</f>
        <v>25620000</v>
      </c>
      <c r="F59" s="50">
        <f>VLOOKUP($A59,'Data shares'!$C:$FB,69)*100</f>
        <v>-48.6</v>
      </c>
      <c r="G59" s="49">
        <f>VLOOKUP($A59,'Data shares'!$C:$FB,42)</f>
        <v>2771250</v>
      </c>
      <c r="H59" s="49">
        <f>VLOOKUP($A59,'Data shares'!$C:$FB,43)</f>
        <v>6188750</v>
      </c>
      <c r="I59" s="50">
        <f>VLOOKUP($A59,'Data shares'!$C:$FB,45)*100</f>
        <v>-55.22</v>
      </c>
      <c r="J59" s="49">
        <f>VLOOKUP($A59,'Data shares'!$C:$FB,58)</f>
        <v>8037500</v>
      </c>
      <c r="K59" s="49">
        <f>VLOOKUP($A59,'Data shares'!$C:$FB,59)</f>
        <v>14336250</v>
      </c>
      <c r="L59" s="50">
        <f>VLOOKUP($A59,'Data shares'!$C:$FB,61)*100</f>
        <v>-43.94</v>
      </c>
      <c r="M59" s="49">
        <f>VLOOKUP($A59,'Data shares'!$C:$FB,62)</f>
        <v>2358750</v>
      </c>
      <c r="N59" s="49">
        <f>VLOOKUP($A59,'Data shares'!$C:$FB,63)</f>
        <v>5095000</v>
      </c>
      <c r="O59" s="140">
        <f>VLOOKUP($A59,'Data shares'!$C:$FB,65)*100</f>
        <v>-53.7</v>
      </c>
    </row>
    <row r="60" spans="1:15" x14ac:dyDescent="0.25">
      <c r="A60" s="101" t="str">
        <f>'Data Vlaue (Cr)'!C55</f>
        <v>DALBHARAT</v>
      </c>
      <c r="B60" s="50">
        <f>VLOOKUP($A60,'Data shares'!$C:$FB,7)</f>
        <v>1910.6</v>
      </c>
      <c r="C60" s="50">
        <f>VLOOKUP($A60,'Data shares'!$C:$FB,10)*100</f>
        <v>-0.62</v>
      </c>
      <c r="D60" s="49">
        <f>VLOOKUP($A60,'Data shares'!$C:$FB,66)</f>
        <v>936975</v>
      </c>
      <c r="E60" s="49">
        <f>VLOOKUP($A60,'Data shares'!$C:$FB,67)</f>
        <v>4040075</v>
      </c>
      <c r="F60" s="50">
        <f>VLOOKUP($A60,'Data shares'!$C:$FB,69)*100</f>
        <v>-76.81</v>
      </c>
      <c r="G60" s="49">
        <f>VLOOKUP($A60,'Data shares'!$C:$FB,42)</f>
        <v>355225</v>
      </c>
      <c r="H60" s="49">
        <f>VLOOKUP($A60,'Data shares'!$C:$FB,43)</f>
        <v>927875</v>
      </c>
      <c r="I60" s="50">
        <f>VLOOKUP($A60,'Data shares'!$C:$FB,45)*100</f>
        <v>-61.72</v>
      </c>
      <c r="J60" s="49">
        <f>VLOOKUP($A60,'Data shares'!$C:$FB,58)</f>
        <v>354575</v>
      </c>
      <c r="K60" s="49">
        <f>VLOOKUP($A60,'Data shares'!$C:$FB,59)</f>
        <v>1276600</v>
      </c>
      <c r="L60" s="50">
        <f>VLOOKUP($A60,'Data shares'!$C:$FB,61)*100</f>
        <v>-72.23</v>
      </c>
      <c r="M60" s="49">
        <f>VLOOKUP($A60,'Data shares'!$C:$FB,62)</f>
        <v>227175</v>
      </c>
      <c r="N60" s="49">
        <f>VLOOKUP($A60,'Data shares'!$C:$FB,63)</f>
        <v>1835600</v>
      </c>
      <c r="O60" s="140">
        <f>VLOOKUP($A60,'Data shares'!$C:$FB,65)*100</f>
        <v>-87.62</v>
      </c>
    </row>
    <row r="61" spans="1:15" x14ac:dyDescent="0.25">
      <c r="A61" s="101" t="str">
        <f>'Data Vlaue (Cr)'!C56</f>
        <v>DELHIVERY</v>
      </c>
      <c r="B61" s="50">
        <f>VLOOKUP($A61,'Data shares'!$C:$FB,7)</f>
        <v>469.85</v>
      </c>
      <c r="C61" s="50">
        <f>VLOOKUP($A61,'Data shares'!$C:$FB,10)*100</f>
        <v>2.17</v>
      </c>
      <c r="D61" s="49">
        <f>VLOOKUP($A61,'Data shares'!$C:$FB,66)</f>
        <v>32959300</v>
      </c>
      <c r="E61" s="49">
        <f>VLOOKUP($A61,'Data shares'!$C:$FB,67)</f>
        <v>31762025</v>
      </c>
      <c r="F61" s="50">
        <f>VLOOKUP($A61,'Data shares'!$C:$FB,69)*100</f>
        <v>3.7699999999999996</v>
      </c>
      <c r="G61" s="49">
        <f>VLOOKUP($A61,'Data shares'!$C:$FB,42)</f>
        <v>8183800</v>
      </c>
      <c r="H61" s="49">
        <f>VLOOKUP($A61,'Data shares'!$C:$FB,43)</f>
        <v>9462000</v>
      </c>
      <c r="I61" s="50">
        <f>VLOOKUP($A61,'Data shares'!$C:$FB,45)*100</f>
        <v>-13.51</v>
      </c>
      <c r="J61" s="49">
        <f>VLOOKUP($A61,'Data shares'!$C:$FB,58)</f>
        <v>17697675</v>
      </c>
      <c r="K61" s="49">
        <f>VLOOKUP($A61,'Data shares'!$C:$FB,59)</f>
        <v>15622675</v>
      </c>
      <c r="L61" s="50">
        <f>VLOOKUP($A61,'Data shares'!$C:$FB,61)*100</f>
        <v>13.28</v>
      </c>
      <c r="M61" s="49">
        <f>VLOOKUP($A61,'Data shares'!$C:$FB,62)</f>
        <v>7077825</v>
      </c>
      <c r="N61" s="49">
        <f>VLOOKUP($A61,'Data shares'!$C:$FB,63)</f>
        <v>6677350</v>
      </c>
      <c r="O61" s="140">
        <f>VLOOKUP($A61,'Data shares'!$C:$FB,65)*100</f>
        <v>6</v>
      </c>
    </row>
    <row r="62" spans="1:15" x14ac:dyDescent="0.25">
      <c r="A62" s="101" t="str">
        <f>'Data Vlaue (Cr)'!C57</f>
        <v>DIVISLAB</v>
      </c>
      <c r="B62" s="50">
        <f>VLOOKUP($A62,'Data shares'!$C:$FB,7)</f>
        <v>5952.5</v>
      </c>
      <c r="C62" s="50">
        <f>VLOOKUP($A62,'Data shares'!$C:$FB,10)*100</f>
        <v>1.2</v>
      </c>
      <c r="D62" s="49">
        <f>VLOOKUP($A62,'Data shares'!$C:$FB,66)</f>
        <v>1548900</v>
      </c>
      <c r="E62" s="49">
        <f>VLOOKUP($A62,'Data shares'!$C:$FB,67)</f>
        <v>2038800</v>
      </c>
      <c r="F62" s="50">
        <f>VLOOKUP($A62,'Data shares'!$C:$FB,69)*100</f>
        <v>-24.03</v>
      </c>
      <c r="G62" s="49">
        <f>VLOOKUP($A62,'Data shares'!$C:$FB,42)</f>
        <v>298600</v>
      </c>
      <c r="H62" s="49">
        <f>VLOOKUP($A62,'Data shares'!$C:$FB,43)</f>
        <v>347700</v>
      </c>
      <c r="I62" s="50">
        <f>VLOOKUP($A62,'Data shares'!$C:$FB,45)*100</f>
        <v>-14.12</v>
      </c>
      <c r="J62" s="49">
        <f>VLOOKUP($A62,'Data shares'!$C:$FB,58)</f>
        <v>914300</v>
      </c>
      <c r="K62" s="49">
        <f>VLOOKUP($A62,'Data shares'!$C:$FB,59)</f>
        <v>1232000</v>
      </c>
      <c r="L62" s="50">
        <f>VLOOKUP($A62,'Data shares'!$C:$FB,61)*100</f>
        <v>-25.790000000000003</v>
      </c>
      <c r="M62" s="49">
        <f>VLOOKUP($A62,'Data shares'!$C:$FB,62)</f>
        <v>336000</v>
      </c>
      <c r="N62" s="49">
        <f>VLOOKUP($A62,'Data shares'!$C:$FB,63)</f>
        <v>459100</v>
      </c>
      <c r="O62" s="140">
        <f>VLOOKUP($A62,'Data shares'!$C:$FB,65)*100</f>
        <v>-26.810000000000002</v>
      </c>
    </row>
    <row r="63" spans="1:15" x14ac:dyDescent="0.25">
      <c r="A63" s="101" t="str">
        <f>'Data Vlaue (Cr)'!C58</f>
        <v>DIXON</v>
      </c>
      <c r="B63" s="50">
        <f>VLOOKUP($A63,'Data shares'!$C:$FB,7)</f>
        <v>10625.5</v>
      </c>
      <c r="C63" s="50">
        <f>VLOOKUP($A63,'Data shares'!$C:$FB,10)*100</f>
        <v>-0.1</v>
      </c>
      <c r="D63" s="49">
        <f>VLOOKUP($A63,'Data shares'!$C:$FB,66)</f>
        <v>3545600</v>
      </c>
      <c r="E63" s="49">
        <f>VLOOKUP($A63,'Data shares'!$C:$FB,67)</f>
        <v>6390800</v>
      </c>
      <c r="F63" s="50">
        <f>VLOOKUP($A63,'Data shares'!$C:$FB,69)*100</f>
        <v>-44.519999999999996</v>
      </c>
      <c r="G63" s="49">
        <f>VLOOKUP($A63,'Data shares'!$C:$FB,42)</f>
        <v>828750</v>
      </c>
      <c r="H63" s="49">
        <f>VLOOKUP($A63,'Data shares'!$C:$FB,43)</f>
        <v>1178600</v>
      </c>
      <c r="I63" s="50">
        <f>VLOOKUP($A63,'Data shares'!$C:$FB,45)*100</f>
        <v>-29.68</v>
      </c>
      <c r="J63" s="49">
        <f>VLOOKUP($A63,'Data shares'!$C:$FB,58)</f>
        <v>1783950</v>
      </c>
      <c r="K63" s="49">
        <f>VLOOKUP($A63,'Data shares'!$C:$FB,59)</f>
        <v>3564550</v>
      </c>
      <c r="L63" s="50">
        <f>VLOOKUP($A63,'Data shares'!$C:$FB,61)*100</f>
        <v>-49.95</v>
      </c>
      <c r="M63" s="49">
        <f>VLOOKUP($A63,'Data shares'!$C:$FB,62)</f>
        <v>932900</v>
      </c>
      <c r="N63" s="49">
        <f>VLOOKUP($A63,'Data shares'!$C:$FB,63)</f>
        <v>1647650</v>
      </c>
      <c r="O63" s="140">
        <f>VLOOKUP($A63,'Data shares'!$C:$FB,65)*100</f>
        <v>-43.38</v>
      </c>
    </row>
    <row r="64" spans="1:15" x14ac:dyDescent="0.25">
      <c r="A64" s="101" t="str">
        <f>'Data Vlaue (Cr)'!C59</f>
        <v>DLF</v>
      </c>
      <c r="B64" s="50">
        <f>VLOOKUP($A64,'Data shares'!$C:$FB,7)</f>
        <v>562.95000000000005</v>
      </c>
      <c r="C64" s="50">
        <f>VLOOKUP($A64,'Data shares'!$C:$FB,10)*100</f>
        <v>-1.73</v>
      </c>
      <c r="D64" s="49">
        <f>VLOOKUP($A64,'Data shares'!$C:$FB,66)</f>
        <v>21151350</v>
      </c>
      <c r="E64" s="49">
        <f>VLOOKUP($A64,'Data shares'!$C:$FB,67)</f>
        <v>46976325</v>
      </c>
      <c r="F64" s="50">
        <f>VLOOKUP($A64,'Data shares'!$C:$FB,69)*100</f>
        <v>-54.97</v>
      </c>
      <c r="G64" s="49">
        <f>VLOOKUP($A64,'Data shares'!$C:$FB,42)</f>
        <v>4797375</v>
      </c>
      <c r="H64" s="49">
        <f>VLOOKUP($A64,'Data shares'!$C:$FB,43)</f>
        <v>11085525</v>
      </c>
      <c r="I64" s="50">
        <f>VLOOKUP($A64,'Data shares'!$C:$FB,45)*100</f>
        <v>-56.720000000000006</v>
      </c>
      <c r="J64" s="49">
        <f>VLOOKUP($A64,'Data shares'!$C:$FB,58)</f>
        <v>10053450</v>
      </c>
      <c r="K64" s="49">
        <f>VLOOKUP($A64,'Data shares'!$C:$FB,59)</f>
        <v>22189200</v>
      </c>
      <c r="L64" s="50">
        <f>VLOOKUP($A64,'Data shares'!$C:$FB,61)*100</f>
        <v>-54.690000000000005</v>
      </c>
      <c r="M64" s="49">
        <f>VLOOKUP($A64,'Data shares'!$C:$FB,62)</f>
        <v>6300525</v>
      </c>
      <c r="N64" s="49">
        <f>VLOOKUP($A64,'Data shares'!$C:$FB,63)</f>
        <v>13701600</v>
      </c>
      <c r="O64" s="140">
        <f>VLOOKUP($A64,'Data shares'!$C:$FB,65)*100</f>
        <v>-54.02</v>
      </c>
    </row>
    <row r="65" spans="1:15" x14ac:dyDescent="0.25">
      <c r="A65" s="101" t="str">
        <f>'Data Vlaue (Cr)'!C60</f>
        <v>DMART</v>
      </c>
      <c r="B65" s="50">
        <f>VLOOKUP($A65,'Data shares'!$C:$FB,7)</f>
        <v>4415.6000000000004</v>
      </c>
      <c r="C65" s="50">
        <f>VLOOKUP($A65,'Data shares'!$C:$FB,10)*100</f>
        <v>1.0699999999999998</v>
      </c>
      <c r="D65" s="49">
        <f>VLOOKUP($A65,'Data shares'!$C:$FB,66)</f>
        <v>3765150</v>
      </c>
      <c r="E65" s="49">
        <f>VLOOKUP($A65,'Data shares'!$C:$FB,67)</f>
        <v>6830700</v>
      </c>
      <c r="F65" s="50">
        <f>VLOOKUP($A65,'Data shares'!$C:$FB,69)*100</f>
        <v>-44.879999999999995</v>
      </c>
      <c r="G65" s="49">
        <f>VLOOKUP($A65,'Data shares'!$C:$FB,42)</f>
        <v>690900</v>
      </c>
      <c r="H65" s="49">
        <f>VLOOKUP($A65,'Data shares'!$C:$FB,43)</f>
        <v>1401750</v>
      </c>
      <c r="I65" s="50">
        <f>VLOOKUP($A65,'Data shares'!$C:$FB,45)*100</f>
        <v>-50.71</v>
      </c>
      <c r="J65" s="49">
        <f>VLOOKUP($A65,'Data shares'!$C:$FB,58)</f>
        <v>1942050</v>
      </c>
      <c r="K65" s="49">
        <f>VLOOKUP($A65,'Data shares'!$C:$FB,59)</f>
        <v>3335250</v>
      </c>
      <c r="L65" s="50">
        <f>VLOOKUP($A65,'Data shares'!$C:$FB,61)*100</f>
        <v>-41.77</v>
      </c>
      <c r="M65" s="49">
        <f>VLOOKUP($A65,'Data shares'!$C:$FB,62)</f>
        <v>1132200</v>
      </c>
      <c r="N65" s="49">
        <f>VLOOKUP($A65,'Data shares'!$C:$FB,63)</f>
        <v>2093700</v>
      </c>
      <c r="O65" s="140">
        <f>VLOOKUP($A65,'Data shares'!$C:$FB,65)*100</f>
        <v>-45.92</v>
      </c>
    </row>
    <row r="66" spans="1:15" x14ac:dyDescent="0.25">
      <c r="A66" s="101" t="str">
        <f>'Data Vlaue (Cr)'!C61</f>
        <v>DRREDDY</v>
      </c>
      <c r="B66" s="50">
        <f>VLOOKUP($A66,'Data shares'!$C:$FB,7)</f>
        <v>1211.9000000000001</v>
      </c>
      <c r="C66" s="50">
        <f>VLOOKUP($A66,'Data shares'!$C:$FB,10)*100</f>
        <v>1.72</v>
      </c>
      <c r="D66" s="49">
        <f>VLOOKUP($A66,'Data shares'!$C:$FB,66)</f>
        <v>16678125</v>
      </c>
      <c r="E66" s="49">
        <f>VLOOKUP($A66,'Data shares'!$C:$FB,67)</f>
        <v>16675625</v>
      </c>
      <c r="F66" s="50">
        <f>VLOOKUP($A66,'Data shares'!$C:$FB,69)*100</f>
        <v>0.01</v>
      </c>
      <c r="G66" s="49">
        <f>VLOOKUP($A66,'Data shares'!$C:$FB,42)</f>
        <v>2705000</v>
      </c>
      <c r="H66" s="49">
        <f>VLOOKUP($A66,'Data shares'!$C:$FB,43)</f>
        <v>3396875</v>
      </c>
      <c r="I66" s="50">
        <f>VLOOKUP($A66,'Data shares'!$C:$FB,45)*100</f>
        <v>-20.369999999999997</v>
      </c>
      <c r="J66" s="49">
        <f>VLOOKUP($A66,'Data shares'!$C:$FB,58)</f>
        <v>8346250</v>
      </c>
      <c r="K66" s="49">
        <f>VLOOKUP($A66,'Data shares'!$C:$FB,59)</f>
        <v>8331875</v>
      </c>
      <c r="L66" s="50">
        <f>VLOOKUP($A66,'Data shares'!$C:$FB,61)*100</f>
        <v>0.16999999999999998</v>
      </c>
      <c r="M66" s="49">
        <f>VLOOKUP($A66,'Data shares'!$C:$FB,62)</f>
        <v>5626875</v>
      </c>
      <c r="N66" s="49">
        <f>VLOOKUP($A66,'Data shares'!$C:$FB,63)</f>
        <v>4946875</v>
      </c>
      <c r="O66" s="140">
        <f>VLOOKUP($A66,'Data shares'!$C:$FB,65)*100</f>
        <v>13.750000000000002</v>
      </c>
    </row>
    <row r="67" spans="1:15" x14ac:dyDescent="0.25">
      <c r="A67" s="101" t="str">
        <f>'Data Vlaue (Cr)'!C62</f>
        <v>EICHERMOT</v>
      </c>
      <c r="B67" s="50">
        <f>VLOOKUP($A67,'Data shares'!$C:$FB,7)</f>
        <v>7147.5</v>
      </c>
      <c r="C67" s="50">
        <f>VLOOKUP($A67,'Data shares'!$C:$FB,10)*100</f>
        <v>0.22999999999999998</v>
      </c>
      <c r="D67" s="49">
        <f>VLOOKUP($A67,'Data shares'!$C:$FB,66)</f>
        <v>4317000</v>
      </c>
      <c r="E67" s="49">
        <f>VLOOKUP($A67,'Data shares'!$C:$FB,67)</f>
        <v>7447700</v>
      </c>
      <c r="F67" s="50">
        <f>VLOOKUP($A67,'Data shares'!$C:$FB,69)*100</f>
        <v>-42.04</v>
      </c>
      <c r="G67" s="49">
        <f>VLOOKUP($A67,'Data shares'!$C:$FB,42)</f>
        <v>710400</v>
      </c>
      <c r="H67" s="49">
        <f>VLOOKUP($A67,'Data shares'!$C:$FB,43)</f>
        <v>1019900</v>
      </c>
      <c r="I67" s="50">
        <f>VLOOKUP($A67,'Data shares'!$C:$FB,45)*100</f>
        <v>-30.349999999999998</v>
      </c>
      <c r="J67" s="49">
        <f>VLOOKUP($A67,'Data shares'!$C:$FB,58)</f>
        <v>2019700</v>
      </c>
      <c r="K67" s="49">
        <f>VLOOKUP($A67,'Data shares'!$C:$FB,59)</f>
        <v>4462800</v>
      </c>
      <c r="L67" s="50">
        <f>VLOOKUP($A67,'Data shares'!$C:$FB,61)*100</f>
        <v>-54.74</v>
      </c>
      <c r="M67" s="49">
        <f>VLOOKUP($A67,'Data shares'!$C:$FB,62)</f>
        <v>1586900</v>
      </c>
      <c r="N67" s="49">
        <f>VLOOKUP($A67,'Data shares'!$C:$FB,63)</f>
        <v>1965000</v>
      </c>
      <c r="O67" s="140">
        <f>VLOOKUP($A67,'Data shares'!$C:$FB,65)*100</f>
        <v>-19.239999999999998</v>
      </c>
    </row>
    <row r="68" spans="1:15" x14ac:dyDescent="0.25">
      <c r="A68" s="101" t="str">
        <f>'Data Vlaue (Cr)'!C63</f>
        <v>ETERNAL</v>
      </c>
      <c r="B68" s="50">
        <f>VLOOKUP($A68,'Data shares'!$C:$FB,7)</f>
        <v>237.89</v>
      </c>
      <c r="C68" s="50">
        <f>VLOOKUP($A68,'Data shares'!$C:$FB,10)*100</f>
        <v>-2.35</v>
      </c>
      <c r="D68" s="49">
        <f>VLOOKUP($A68,'Data shares'!$C:$FB,66)</f>
        <v>103700275</v>
      </c>
      <c r="E68" s="49">
        <f>VLOOKUP($A68,'Data shares'!$C:$FB,67)</f>
        <v>141932825</v>
      </c>
      <c r="F68" s="50">
        <f>VLOOKUP($A68,'Data shares'!$C:$FB,69)*100</f>
        <v>-26.939999999999998</v>
      </c>
      <c r="G68" s="49">
        <f>VLOOKUP($A68,'Data shares'!$C:$FB,42)</f>
        <v>25050250</v>
      </c>
      <c r="H68" s="49">
        <f>VLOOKUP($A68,'Data shares'!$C:$FB,43)</f>
        <v>34364675</v>
      </c>
      <c r="I68" s="50">
        <f>VLOOKUP($A68,'Data shares'!$C:$FB,45)*100</f>
        <v>-27.1</v>
      </c>
      <c r="J68" s="49">
        <f>VLOOKUP($A68,'Data shares'!$C:$FB,58)</f>
        <v>52593400</v>
      </c>
      <c r="K68" s="49">
        <f>VLOOKUP($A68,'Data shares'!$C:$FB,59)</f>
        <v>73186500</v>
      </c>
      <c r="L68" s="50">
        <f>VLOOKUP($A68,'Data shares'!$C:$FB,61)*100</f>
        <v>-28.139999999999997</v>
      </c>
      <c r="M68" s="49">
        <f>VLOOKUP($A68,'Data shares'!$C:$FB,62)</f>
        <v>26056625</v>
      </c>
      <c r="N68" s="49">
        <f>VLOOKUP($A68,'Data shares'!$C:$FB,63)</f>
        <v>34381650</v>
      </c>
      <c r="O68" s="140">
        <f>VLOOKUP($A68,'Data shares'!$C:$FB,65)*100</f>
        <v>-24.21</v>
      </c>
    </row>
    <row r="69" spans="1:15" x14ac:dyDescent="0.25">
      <c r="A69" s="101" t="str">
        <f>'Data Vlaue (Cr)'!C64</f>
        <v>EXIDEIND</v>
      </c>
      <c r="B69" s="50">
        <f>VLOOKUP($A69,'Data shares'!$C:$FB,7)</f>
        <v>311.25</v>
      </c>
      <c r="C69" s="50">
        <f>VLOOKUP($A69,'Data shares'!$C:$FB,10)*100</f>
        <v>-0.91999999999999993</v>
      </c>
      <c r="D69" s="49">
        <f>VLOOKUP($A69,'Data shares'!$C:$FB,66)</f>
        <v>32313600</v>
      </c>
      <c r="E69" s="49">
        <f>VLOOKUP($A69,'Data shares'!$C:$FB,67)</f>
        <v>25284600</v>
      </c>
      <c r="F69" s="50">
        <f>VLOOKUP($A69,'Data shares'!$C:$FB,69)*100</f>
        <v>27.800000000000004</v>
      </c>
      <c r="G69" s="49">
        <f>VLOOKUP($A69,'Data shares'!$C:$FB,42)</f>
        <v>5931000</v>
      </c>
      <c r="H69" s="49">
        <f>VLOOKUP($A69,'Data shares'!$C:$FB,43)</f>
        <v>5457600</v>
      </c>
      <c r="I69" s="50">
        <f>VLOOKUP($A69,'Data shares'!$C:$FB,45)*100</f>
        <v>8.67</v>
      </c>
      <c r="J69" s="49">
        <f>VLOOKUP($A69,'Data shares'!$C:$FB,58)</f>
        <v>12202200</v>
      </c>
      <c r="K69" s="49">
        <f>VLOOKUP($A69,'Data shares'!$C:$FB,59)</f>
        <v>14022000</v>
      </c>
      <c r="L69" s="50">
        <f>VLOOKUP($A69,'Data shares'!$C:$FB,61)*100</f>
        <v>-12.98</v>
      </c>
      <c r="M69" s="49">
        <f>VLOOKUP($A69,'Data shares'!$C:$FB,62)</f>
        <v>14180400</v>
      </c>
      <c r="N69" s="49">
        <f>VLOOKUP($A69,'Data shares'!$C:$FB,63)</f>
        <v>5805000</v>
      </c>
      <c r="O69" s="140">
        <f>VLOOKUP($A69,'Data shares'!$C:$FB,65)*100</f>
        <v>144.28</v>
      </c>
    </row>
    <row r="70" spans="1:15" x14ac:dyDescent="0.25">
      <c r="A70" s="101" t="str">
        <f>'Data Vlaue (Cr)'!C65</f>
        <v>FEDERALBNK</v>
      </c>
      <c r="B70" s="50">
        <f>VLOOKUP($A70,'Data shares'!$C:$FB,7)</f>
        <v>283.3</v>
      </c>
      <c r="C70" s="50">
        <f>VLOOKUP($A70,'Data shares'!$C:$FB,10)*100</f>
        <v>-0.4</v>
      </c>
      <c r="D70" s="49">
        <f>VLOOKUP($A70,'Data shares'!$C:$FB,66)</f>
        <v>51985000</v>
      </c>
      <c r="E70" s="49">
        <f>VLOOKUP($A70,'Data shares'!$C:$FB,67)</f>
        <v>81010000</v>
      </c>
      <c r="F70" s="50">
        <f>VLOOKUP($A70,'Data shares'!$C:$FB,69)*100</f>
        <v>-35.83</v>
      </c>
      <c r="G70" s="49">
        <f>VLOOKUP($A70,'Data shares'!$C:$FB,42)</f>
        <v>12555000</v>
      </c>
      <c r="H70" s="49">
        <f>VLOOKUP($A70,'Data shares'!$C:$FB,43)</f>
        <v>20155000</v>
      </c>
      <c r="I70" s="50">
        <f>VLOOKUP($A70,'Data shares'!$C:$FB,45)*100</f>
        <v>-37.71</v>
      </c>
      <c r="J70" s="49">
        <f>VLOOKUP($A70,'Data shares'!$C:$FB,58)</f>
        <v>24745000</v>
      </c>
      <c r="K70" s="49">
        <f>VLOOKUP($A70,'Data shares'!$C:$FB,59)</f>
        <v>37125000</v>
      </c>
      <c r="L70" s="50">
        <f>VLOOKUP($A70,'Data shares'!$C:$FB,61)*100</f>
        <v>-33.35</v>
      </c>
      <c r="M70" s="49">
        <f>VLOOKUP($A70,'Data shares'!$C:$FB,62)</f>
        <v>14685000</v>
      </c>
      <c r="N70" s="49">
        <f>VLOOKUP($A70,'Data shares'!$C:$FB,63)</f>
        <v>23730000</v>
      </c>
      <c r="O70" s="140">
        <f>VLOOKUP($A70,'Data shares'!$C:$FB,65)*100</f>
        <v>-38.119999999999997</v>
      </c>
    </row>
    <row r="71" spans="1:15" x14ac:dyDescent="0.25">
      <c r="A71" s="101" t="str">
        <f>'Data Vlaue (Cr)'!C66</f>
        <v>FINNIFTY</v>
      </c>
      <c r="B71" s="50">
        <f>VLOOKUP($A71,'Data shares'!$C:$FB,7)</f>
        <v>25685.85</v>
      </c>
      <c r="C71" s="50">
        <f>VLOOKUP($A71,'Data shares'!$C:$FB,10)*100</f>
        <v>-1.41</v>
      </c>
      <c r="D71" s="49">
        <f>VLOOKUP($A71,'Data shares'!$C:$FB,66)</f>
        <v>411000</v>
      </c>
      <c r="E71" s="49">
        <f>VLOOKUP($A71,'Data shares'!$C:$FB,67)</f>
        <v>503700</v>
      </c>
      <c r="F71" s="50">
        <f>VLOOKUP($A71,'Data shares'!$C:$FB,69)*100</f>
        <v>-18.399999999999999</v>
      </c>
      <c r="G71" s="49">
        <f>VLOOKUP($A71,'Data shares'!$C:$FB,42)</f>
        <v>10020</v>
      </c>
      <c r="H71" s="49">
        <f>VLOOKUP($A71,'Data shares'!$C:$FB,43)</f>
        <v>17160</v>
      </c>
      <c r="I71" s="50">
        <f>VLOOKUP($A71,'Data shares'!$C:$FB,45)*100</f>
        <v>-41.61</v>
      </c>
      <c r="J71" s="49">
        <f>VLOOKUP($A71,'Data shares'!$C:$FB,58)</f>
        <v>209340</v>
      </c>
      <c r="K71" s="49">
        <f>VLOOKUP($A71,'Data shares'!$C:$FB,59)</f>
        <v>335460</v>
      </c>
      <c r="L71" s="50">
        <f>VLOOKUP($A71,'Data shares'!$C:$FB,61)*100</f>
        <v>-37.6</v>
      </c>
      <c r="M71" s="49">
        <f>VLOOKUP($A71,'Data shares'!$C:$FB,62)</f>
        <v>191640</v>
      </c>
      <c r="N71" s="49">
        <f>VLOOKUP($A71,'Data shares'!$C:$FB,63)</f>
        <v>151080</v>
      </c>
      <c r="O71" s="140">
        <f>VLOOKUP($A71,'Data shares'!$C:$FB,65)*100</f>
        <v>26.85</v>
      </c>
    </row>
    <row r="72" spans="1:15" x14ac:dyDescent="0.25">
      <c r="A72" s="101" t="str">
        <f>'Data Vlaue (Cr)'!C67</f>
        <v>FORCEMOT</v>
      </c>
      <c r="B72" s="50">
        <f>VLOOKUP($A72,'Data shares'!$C:$FB,7)</f>
        <v>22168</v>
      </c>
      <c r="C72" s="50">
        <f>VLOOKUP($A72,'Data shares'!$C:$FB,10)*100</f>
        <v>0.42</v>
      </c>
      <c r="D72" s="49">
        <f>VLOOKUP($A72,'Data shares'!$C:$FB,66)</f>
        <v>195450</v>
      </c>
      <c r="E72" s="49">
        <f>VLOOKUP($A72,'Data shares'!$C:$FB,67)</f>
        <v>550550</v>
      </c>
      <c r="F72" s="50">
        <f>VLOOKUP($A72,'Data shares'!$C:$FB,69)*100</f>
        <v>-64.5</v>
      </c>
      <c r="G72" s="49">
        <f>VLOOKUP($A72,'Data shares'!$C:$FB,42)</f>
        <v>56900</v>
      </c>
      <c r="H72" s="49">
        <f>VLOOKUP($A72,'Data shares'!$C:$FB,43)</f>
        <v>165150</v>
      </c>
      <c r="I72" s="50">
        <f>VLOOKUP($A72,'Data shares'!$C:$FB,45)*100</f>
        <v>-65.55</v>
      </c>
      <c r="J72" s="49">
        <f>VLOOKUP($A72,'Data shares'!$C:$FB,58)</f>
        <v>86000</v>
      </c>
      <c r="K72" s="49">
        <f>VLOOKUP($A72,'Data shares'!$C:$FB,59)</f>
        <v>301375</v>
      </c>
      <c r="L72" s="50">
        <f>VLOOKUP($A72,'Data shares'!$C:$FB,61)*100</f>
        <v>-71.460000000000008</v>
      </c>
      <c r="M72" s="49">
        <f>VLOOKUP($A72,'Data shares'!$C:$FB,62)</f>
        <v>52550</v>
      </c>
      <c r="N72" s="49">
        <f>VLOOKUP($A72,'Data shares'!$C:$FB,63)</f>
        <v>84025</v>
      </c>
      <c r="O72" s="140">
        <f>VLOOKUP($A72,'Data shares'!$C:$FB,65)*100</f>
        <v>-37.46</v>
      </c>
    </row>
    <row r="73" spans="1:15" x14ac:dyDescent="0.25">
      <c r="A73" s="101" t="str">
        <f>'Data Vlaue (Cr)'!C68</f>
        <v>FORTIS</v>
      </c>
      <c r="B73" s="50">
        <f>VLOOKUP($A73,'Data shares'!$C:$FB,7)</f>
        <v>850.05</v>
      </c>
      <c r="C73" s="50">
        <f>VLOOKUP($A73,'Data shares'!$C:$FB,10)*100</f>
        <v>1.1299999999999999</v>
      </c>
      <c r="D73" s="49">
        <f>VLOOKUP($A73,'Data shares'!$C:$FB,66)</f>
        <v>3712250</v>
      </c>
      <c r="E73" s="49">
        <f>VLOOKUP($A73,'Data shares'!$C:$FB,67)</f>
        <v>5902400</v>
      </c>
      <c r="F73" s="50">
        <f>VLOOKUP($A73,'Data shares'!$C:$FB,69)*100</f>
        <v>-37.11</v>
      </c>
      <c r="G73" s="49">
        <f>VLOOKUP($A73,'Data shares'!$C:$FB,42)</f>
        <v>1344625</v>
      </c>
      <c r="H73" s="49">
        <f>VLOOKUP($A73,'Data shares'!$C:$FB,43)</f>
        <v>2251375</v>
      </c>
      <c r="I73" s="50">
        <f>VLOOKUP($A73,'Data shares'!$C:$FB,45)*100</f>
        <v>-40.28</v>
      </c>
      <c r="J73" s="49">
        <f>VLOOKUP($A73,'Data shares'!$C:$FB,58)</f>
        <v>1865425</v>
      </c>
      <c r="K73" s="49">
        <f>VLOOKUP($A73,'Data shares'!$C:$FB,59)</f>
        <v>2478450</v>
      </c>
      <c r="L73" s="50">
        <f>VLOOKUP($A73,'Data shares'!$C:$FB,61)*100</f>
        <v>-24.73</v>
      </c>
      <c r="M73" s="49">
        <f>VLOOKUP($A73,'Data shares'!$C:$FB,62)</f>
        <v>502200</v>
      </c>
      <c r="N73" s="49">
        <f>VLOOKUP($A73,'Data shares'!$C:$FB,63)</f>
        <v>1172575</v>
      </c>
      <c r="O73" s="140">
        <f>VLOOKUP($A73,'Data shares'!$C:$FB,65)*100</f>
        <v>-57.17</v>
      </c>
    </row>
    <row r="74" spans="1:15" x14ac:dyDescent="0.25">
      <c r="A74" s="101" t="str">
        <f>'Data Vlaue (Cr)'!C69</f>
        <v>GAIL</v>
      </c>
      <c r="B74" s="50">
        <f>VLOOKUP($A74,'Data shares'!$C:$FB,7)</f>
        <v>152.22</v>
      </c>
      <c r="C74" s="50">
        <f>VLOOKUP($A74,'Data shares'!$C:$FB,10)*100</f>
        <v>-0.70000000000000007</v>
      </c>
      <c r="D74" s="49">
        <f>VLOOKUP($A74,'Data shares'!$C:$FB,66)</f>
        <v>28548450</v>
      </c>
      <c r="E74" s="49">
        <f>VLOOKUP($A74,'Data shares'!$C:$FB,67)</f>
        <v>91624050</v>
      </c>
      <c r="F74" s="50">
        <f>VLOOKUP($A74,'Data shares'!$C:$FB,69)*100</f>
        <v>-68.84</v>
      </c>
      <c r="G74" s="49">
        <f>VLOOKUP($A74,'Data shares'!$C:$FB,42)</f>
        <v>8064000</v>
      </c>
      <c r="H74" s="49">
        <f>VLOOKUP($A74,'Data shares'!$C:$FB,43)</f>
        <v>21772800</v>
      </c>
      <c r="I74" s="50">
        <f>VLOOKUP($A74,'Data shares'!$C:$FB,45)*100</f>
        <v>-62.960000000000008</v>
      </c>
      <c r="J74" s="49">
        <f>VLOOKUP($A74,'Data shares'!$C:$FB,58)</f>
        <v>12297600</v>
      </c>
      <c r="K74" s="49">
        <f>VLOOKUP($A74,'Data shares'!$C:$FB,59)</f>
        <v>40020750</v>
      </c>
      <c r="L74" s="50">
        <f>VLOOKUP($A74,'Data shares'!$C:$FB,61)*100</f>
        <v>-69.27</v>
      </c>
      <c r="M74" s="49">
        <f>VLOOKUP($A74,'Data shares'!$C:$FB,62)</f>
        <v>8186850</v>
      </c>
      <c r="N74" s="49">
        <f>VLOOKUP($A74,'Data shares'!$C:$FB,63)</f>
        <v>29830500</v>
      </c>
      <c r="O74" s="140">
        <f>VLOOKUP($A74,'Data shares'!$C:$FB,65)*100</f>
        <v>-72.56</v>
      </c>
    </row>
    <row r="75" spans="1:15" x14ac:dyDescent="0.25">
      <c r="A75" s="101" t="str">
        <f>'Data Vlaue (Cr)'!C70</f>
        <v>GLENMARK</v>
      </c>
      <c r="B75" s="50">
        <f>VLOOKUP($A75,'Data shares'!$C:$FB,7)</f>
        <v>2169.1</v>
      </c>
      <c r="C75" s="50">
        <f>VLOOKUP($A75,'Data shares'!$C:$FB,10)*100</f>
        <v>-0.2</v>
      </c>
      <c r="D75" s="49">
        <f>VLOOKUP($A75,'Data shares'!$C:$FB,66)</f>
        <v>3586125</v>
      </c>
      <c r="E75" s="49">
        <f>VLOOKUP($A75,'Data shares'!$C:$FB,67)</f>
        <v>4331625</v>
      </c>
      <c r="F75" s="50">
        <f>VLOOKUP($A75,'Data shares'!$C:$FB,69)*100</f>
        <v>-17.21</v>
      </c>
      <c r="G75" s="49">
        <f>VLOOKUP($A75,'Data shares'!$C:$FB,42)</f>
        <v>850125</v>
      </c>
      <c r="H75" s="49">
        <f>VLOOKUP($A75,'Data shares'!$C:$FB,43)</f>
        <v>1027125</v>
      </c>
      <c r="I75" s="50">
        <f>VLOOKUP($A75,'Data shares'!$C:$FB,45)*100</f>
        <v>-17.23</v>
      </c>
      <c r="J75" s="49">
        <f>VLOOKUP($A75,'Data shares'!$C:$FB,58)</f>
        <v>1550625</v>
      </c>
      <c r="K75" s="49">
        <f>VLOOKUP($A75,'Data shares'!$C:$FB,59)</f>
        <v>2265375</v>
      </c>
      <c r="L75" s="50">
        <f>VLOOKUP($A75,'Data shares'!$C:$FB,61)*100</f>
        <v>-31.55</v>
      </c>
      <c r="M75" s="49">
        <f>VLOOKUP($A75,'Data shares'!$C:$FB,62)</f>
        <v>1185375</v>
      </c>
      <c r="N75" s="49">
        <f>VLOOKUP($A75,'Data shares'!$C:$FB,63)</f>
        <v>1039125</v>
      </c>
      <c r="O75" s="140">
        <f>VLOOKUP($A75,'Data shares'!$C:$FB,65)*100</f>
        <v>14.069999999999999</v>
      </c>
    </row>
    <row r="76" spans="1:15" x14ac:dyDescent="0.25">
      <c r="A76" s="101" t="str">
        <f>'Data Vlaue (Cr)'!C71</f>
        <v>GMRAIRPORT</v>
      </c>
      <c r="B76" s="50">
        <f>VLOOKUP($A76,'Data shares'!$C:$FB,7)</f>
        <v>94.53</v>
      </c>
      <c r="C76" s="50">
        <f>VLOOKUP($A76,'Data shares'!$C:$FB,10)*100</f>
        <v>-1.35</v>
      </c>
      <c r="D76" s="49">
        <f>VLOOKUP($A76,'Data shares'!$C:$FB,66)</f>
        <v>61847325</v>
      </c>
      <c r="E76" s="49">
        <f>VLOOKUP($A76,'Data shares'!$C:$FB,67)</f>
        <v>84509100</v>
      </c>
      <c r="F76" s="50">
        <f>VLOOKUP($A76,'Data shares'!$C:$FB,69)*100</f>
        <v>-26.82</v>
      </c>
      <c r="G76" s="49">
        <f>VLOOKUP($A76,'Data shares'!$C:$FB,42)</f>
        <v>18916200</v>
      </c>
      <c r="H76" s="49">
        <f>VLOOKUP($A76,'Data shares'!$C:$FB,43)</f>
        <v>24084675</v>
      </c>
      <c r="I76" s="50">
        <f>VLOOKUP($A76,'Data shares'!$C:$FB,45)*100</f>
        <v>-21.46</v>
      </c>
      <c r="J76" s="49">
        <f>VLOOKUP($A76,'Data shares'!$C:$FB,58)</f>
        <v>28688175</v>
      </c>
      <c r="K76" s="49">
        <f>VLOOKUP($A76,'Data shares'!$C:$FB,59)</f>
        <v>37950975</v>
      </c>
      <c r="L76" s="50">
        <f>VLOOKUP($A76,'Data shares'!$C:$FB,61)*100</f>
        <v>-24.41</v>
      </c>
      <c r="M76" s="49">
        <f>VLOOKUP($A76,'Data shares'!$C:$FB,62)</f>
        <v>14242950</v>
      </c>
      <c r="N76" s="49">
        <f>VLOOKUP($A76,'Data shares'!$C:$FB,63)</f>
        <v>22473450</v>
      </c>
      <c r="O76" s="140">
        <f>VLOOKUP($A76,'Data shares'!$C:$FB,65)*100</f>
        <v>-36.620000000000005</v>
      </c>
    </row>
    <row r="77" spans="1:15" x14ac:dyDescent="0.25">
      <c r="A77" s="101" t="str">
        <f>'Data Vlaue (Cr)'!C72</f>
        <v>GODFRYPHLP</v>
      </c>
      <c r="B77" s="50">
        <f>VLOOKUP($A77,'Data shares'!$C:$FB,7)</f>
        <v>2034.8</v>
      </c>
      <c r="C77" s="50">
        <f>VLOOKUP($A77,'Data shares'!$C:$FB,10)*100</f>
        <v>1.46</v>
      </c>
      <c r="D77" s="49">
        <f>VLOOKUP($A77,'Data shares'!$C:$FB,66)</f>
        <v>1131075</v>
      </c>
      <c r="E77" s="49">
        <f>VLOOKUP($A77,'Data shares'!$C:$FB,67)</f>
        <v>440550</v>
      </c>
      <c r="F77" s="50">
        <f>VLOOKUP($A77,'Data shares'!$C:$FB,69)*100</f>
        <v>156.73999999999998</v>
      </c>
      <c r="G77" s="49">
        <f>VLOOKUP($A77,'Data shares'!$C:$FB,42)</f>
        <v>325325</v>
      </c>
      <c r="H77" s="49">
        <f>VLOOKUP($A77,'Data shares'!$C:$FB,43)</f>
        <v>198275</v>
      </c>
      <c r="I77" s="50">
        <f>VLOOKUP($A77,'Data shares'!$C:$FB,45)*100</f>
        <v>64.08</v>
      </c>
      <c r="J77" s="49">
        <f>VLOOKUP($A77,'Data shares'!$C:$FB,58)</f>
        <v>681725</v>
      </c>
      <c r="K77" s="49">
        <f>VLOOKUP($A77,'Data shares'!$C:$FB,59)</f>
        <v>170500</v>
      </c>
      <c r="L77" s="50">
        <f>VLOOKUP($A77,'Data shares'!$C:$FB,61)*100</f>
        <v>299.84000000000003</v>
      </c>
      <c r="M77" s="49">
        <f>VLOOKUP($A77,'Data shares'!$C:$FB,62)</f>
        <v>124025</v>
      </c>
      <c r="N77" s="49">
        <f>VLOOKUP($A77,'Data shares'!$C:$FB,63)</f>
        <v>71775</v>
      </c>
      <c r="O77" s="140">
        <f>VLOOKUP($A77,'Data shares'!$C:$FB,65)*100</f>
        <v>72.8</v>
      </c>
    </row>
    <row r="78" spans="1:15" x14ac:dyDescent="0.25">
      <c r="A78" s="101" t="str">
        <f>'Data Vlaue (Cr)'!C73</f>
        <v>GODREJCP</v>
      </c>
      <c r="B78" s="50">
        <f>VLOOKUP($A78,'Data shares'!$C:$FB,7)</f>
        <v>1063.3499999999999</v>
      </c>
      <c r="C78" s="50">
        <f>VLOOKUP($A78,'Data shares'!$C:$FB,10)*100</f>
        <v>-1.0999999999999999</v>
      </c>
      <c r="D78" s="49">
        <f>VLOOKUP($A78,'Data shares'!$C:$FB,66)</f>
        <v>2691500</v>
      </c>
      <c r="E78" s="49">
        <f>VLOOKUP($A78,'Data shares'!$C:$FB,67)</f>
        <v>7954500</v>
      </c>
      <c r="F78" s="50">
        <f>VLOOKUP($A78,'Data shares'!$C:$FB,69)*100</f>
        <v>-66.16</v>
      </c>
      <c r="G78" s="49">
        <f>VLOOKUP($A78,'Data shares'!$C:$FB,42)</f>
        <v>1332000</v>
      </c>
      <c r="H78" s="49">
        <f>VLOOKUP($A78,'Data shares'!$C:$FB,43)</f>
        <v>3478500</v>
      </c>
      <c r="I78" s="50">
        <f>VLOOKUP($A78,'Data shares'!$C:$FB,45)*100</f>
        <v>-61.71</v>
      </c>
      <c r="J78" s="49">
        <f>VLOOKUP($A78,'Data shares'!$C:$FB,58)</f>
        <v>819000</v>
      </c>
      <c r="K78" s="49">
        <f>VLOOKUP($A78,'Data shares'!$C:$FB,59)</f>
        <v>2893500</v>
      </c>
      <c r="L78" s="50">
        <f>VLOOKUP($A78,'Data shares'!$C:$FB,61)*100</f>
        <v>-71.7</v>
      </c>
      <c r="M78" s="49">
        <f>VLOOKUP($A78,'Data shares'!$C:$FB,62)</f>
        <v>540500</v>
      </c>
      <c r="N78" s="49">
        <f>VLOOKUP($A78,'Data shares'!$C:$FB,63)</f>
        <v>1582500</v>
      </c>
      <c r="O78" s="140">
        <f>VLOOKUP($A78,'Data shares'!$C:$FB,65)*100</f>
        <v>-65.849999999999994</v>
      </c>
    </row>
    <row r="79" spans="1:15" x14ac:dyDescent="0.25">
      <c r="A79" s="101" t="str">
        <f>'Data Vlaue (Cr)'!C74</f>
        <v>GODREJPROP</v>
      </c>
      <c r="B79" s="50">
        <f>VLOOKUP($A79,'Data shares'!$C:$FB,7)</f>
        <v>1695.5</v>
      </c>
      <c r="C79" s="50">
        <f>VLOOKUP($A79,'Data shares'!$C:$FB,10)*100</f>
        <v>-0.38999999999999996</v>
      </c>
      <c r="D79" s="49">
        <f>VLOOKUP($A79,'Data shares'!$C:$FB,66)</f>
        <v>3458400</v>
      </c>
      <c r="E79" s="49">
        <f>VLOOKUP($A79,'Data shares'!$C:$FB,67)</f>
        <v>6872250</v>
      </c>
      <c r="F79" s="50">
        <f>VLOOKUP($A79,'Data shares'!$C:$FB,69)*100</f>
        <v>-49.68</v>
      </c>
      <c r="G79" s="49">
        <f>VLOOKUP($A79,'Data shares'!$C:$FB,42)</f>
        <v>929775</v>
      </c>
      <c r="H79" s="49">
        <f>VLOOKUP($A79,'Data shares'!$C:$FB,43)</f>
        <v>1379675</v>
      </c>
      <c r="I79" s="50">
        <f>VLOOKUP($A79,'Data shares'!$C:$FB,45)*100</f>
        <v>-32.61</v>
      </c>
      <c r="J79" s="49">
        <f>VLOOKUP($A79,'Data shares'!$C:$FB,58)</f>
        <v>1310100</v>
      </c>
      <c r="K79" s="49">
        <f>VLOOKUP($A79,'Data shares'!$C:$FB,59)</f>
        <v>3469400</v>
      </c>
      <c r="L79" s="50">
        <f>VLOOKUP($A79,'Data shares'!$C:$FB,61)*100</f>
        <v>-62.239999999999995</v>
      </c>
      <c r="M79" s="49">
        <f>VLOOKUP($A79,'Data shares'!$C:$FB,62)</f>
        <v>1218525</v>
      </c>
      <c r="N79" s="49">
        <f>VLOOKUP($A79,'Data shares'!$C:$FB,63)</f>
        <v>2023175</v>
      </c>
      <c r="O79" s="140">
        <f>VLOOKUP($A79,'Data shares'!$C:$FB,65)*100</f>
        <v>-39.770000000000003</v>
      </c>
    </row>
    <row r="80" spans="1:15" x14ac:dyDescent="0.25">
      <c r="A80" s="101" t="str">
        <f>'Data Vlaue (Cr)'!C75</f>
        <v>GRASIM</v>
      </c>
      <c r="B80" s="50">
        <f>VLOOKUP($A80,'Data shares'!$C:$FB,7)</f>
        <v>2740.5</v>
      </c>
      <c r="C80" s="50">
        <f>VLOOKUP($A80,'Data shares'!$C:$FB,10)*100</f>
        <v>-0.57000000000000006</v>
      </c>
      <c r="D80" s="49">
        <f>VLOOKUP($A80,'Data shares'!$C:$FB,66)</f>
        <v>2077000</v>
      </c>
      <c r="E80" s="49">
        <f>VLOOKUP($A80,'Data shares'!$C:$FB,67)</f>
        <v>3783500</v>
      </c>
      <c r="F80" s="50">
        <f>VLOOKUP($A80,'Data shares'!$C:$FB,69)*100</f>
        <v>-45.1</v>
      </c>
      <c r="G80" s="49">
        <f>VLOOKUP($A80,'Data shares'!$C:$FB,42)</f>
        <v>777500</v>
      </c>
      <c r="H80" s="49">
        <f>VLOOKUP($A80,'Data shares'!$C:$FB,43)</f>
        <v>1109500</v>
      </c>
      <c r="I80" s="50">
        <f>VLOOKUP($A80,'Data shares'!$C:$FB,45)*100</f>
        <v>-29.92</v>
      </c>
      <c r="J80" s="49">
        <f>VLOOKUP($A80,'Data shares'!$C:$FB,58)</f>
        <v>738000</v>
      </c>
      <c r="K80" s="49">
        <f>VLOOKUP($A80,'Data shares'!$C:$FB,59)</f>
        <v>1599000</v>
      </c>
      <c r="L80" s="50">
        <f>VLOOKUP($A80,'Data shares'!$C:$FB,61)*100</f>
        <v>-53.849999999999994</v>
      </c>
      <c r="M80" s="49">
        <f>VLOOKUP($A80,'Data shares'!$C:$FB,62)</f>
        <v>561500</v>
      </c>
      <c r="N80" s="49">
        <f>VLOOKUP($A80,'Data shares'!$C:$FB,63)</f>
        <v>1075000</v>
      </c>
      <c r="O80" s="140">
        <f>VLOOKUP($A80,'Data shares'!$C:$FB,65)*100</f>
        <v>-47.77</v>
      </c>
    </row>
    <row r="81" spans="1:15" x14ac:dyDescent="0.25">
      <c r="A81" s="101" t="str">
        <f>'Data Vlaue (Cr)'!C76</f>
        <v>HAL</v>
      </c>
      <c r="B81" s="50">
        <f>VLOOKUP($A81,'Data shares'!$C:$FB,7)</f>
        <v>4032.9</v>
      </c>
      <c r="C81" s="50">
        <f>VLOOKUP($A81,'Data shares'!$C:$FB,10)*100</f>
        <v>3.2099999999999995</v>
      </c>
      <c r="D81" s="49">
        <f>VLOOKUP($A81,'Data shares'!$C:$FB,66)</f>
        <v>23809950</v>
      </c>
      <c r="E81" s="49">
        <f>VLOOKUP($A81,'Data shares'!$C:$FB,67)</f>
        <v>7060350</v>
      </c>
      <c r="F81" s="50">
        <f>VLOOKUP($A81,'Data shares'!$C:$FB,69)*100</f>
        <v>237.23000000000002</v>
      </c>
      <c r="G81" s="49">
        <f>VLOOKUP($A81,'Data shares'!$C:$FB,42)</f>
        <v>2257800</v>
      </c>
      <c r="H81" s="49">
        <f>VLOOKUP($A81,'Data shares'!$C:$FB,43)</f>
        <v>1186800</v>
      </c>
      <c r="I81" s="50">
        <f>VLOOKUP($A81,'Data shares'!$C:$FB,45)*100</f>
        <v>90.24</v>
      </c>
      <c r="J81" s="49">
        <f>VLOOKUP($A81,'Data shares'!$C:$FB,58)</f>
        <v>15709350</v>
      </c>
      <c r="K81" s="49">
        <f>VLOOKUP($A81,'Data shares'!$C:$FB,59)</f>
        <v>3928350</v>
      </c>
      <c r="L81" s="50">
        <f>VLOOKUP($A81,'Data shares'!$C:$FB,61)*100</f>
        <v>299.90000000000003</v>
      </c>
      <c r="M81" s="49">
        <f>VLOOKUP($A81,'Data shares'!$C:$FB,62)</f>
        <v>5842800</v>
      </c>
      <c r="N81" s="49">
        <f>VLOOKUP($A81,'Data shares'!$C:$FB,63)</f>
        <v>1945200</v>
      </c>
      <c r="O81" s="140">
        <f>VLOOKUP($A81,'Data shares'!$C:$FB,65)*100</f>
        <v>200.36999999999998</v>
      </c>
    </row>
    <row r="82" spans="1:15" x14ac:dyDescent="0.25">
      <c r="A82" s="101" t="str">
        <f>'Data Vlaue (Cr)'!C77</f>
        <v>HAVELLS</v>
      </c>
      <c r="B82" s="50">
        <f>VLOOKUP($A82,'Data shares'!$C:$FB,7)</f>
        <v>1257</v>
      </c>
      <c r="C82" s="50">
        <f>VLOOKUP($A82,'Data shares'!$C:$FB,10)*100</f>
        <v>0.85000000000000009</v>
      </c>
      <c r="D82" s="49">
        <f>VLOOKUP($A82,'Data shares'!$C:$FB,66)</f>
        <v>3327000</v>
      </c>
      <c r="E82" s="49">
        <f>VLOOKUP($A82,'Data shares'!$C:$FB,67)</f>
        <v>5341500</v>
      </c>
      <c r="F82" s="50">
        <f>VLOOKUP($A82,'Data shares'!$C:$FB,69)*100</f>
        <v>-37.71</v>
      </c>
      <c r="G82" s="49">
        <f>VLOOKUP($A82,'Data shares'!$C:$FB,42)</f>
        <v>1299500</v>
      </c>
      <c r="H82" s="49">
        <f>VLOOKUP($A82,'Data shares'!$C:$FB,43)</f>
        <v>1543000</v>
      </c>
      <c r="I82" s="50">
        <f>VLOOKUP($A82,'Data shares'!$C:$FB,45)*100</f>
        <v>-15.78</v>
      </c>
      <c r="J82" s="49">
        <f>VLOOKUP($A82,'Data shares'!$C:$FB,58)</f>
        <v>1392500</v>
      </c>
      <c r="K82" s="49">
        <f>VLOOKUP($A82,'Data shares'!$C:$FB,59)</f>
        <v>2413500</v>
      </c>
      <c r="L82" s="50">
        <f>VLOOKUP($A82,'Data shares'!$C:$FB,61)*100</f>
        <v>-42.3</v>
      </c>
      <c r="M82" s="49">
        <f>VLOOKUP($A82,'Data shares'!$C:$FB,62)</f>
        <v>635000</v>
      </c>
      <c r="N82" s="49">
        <f>VLOOKUP($A82,'Data shares'!$C:$FB,63)</f>
        <v>1385000</v>
      </c>
      <c r="O82" s="140">
        <f>VLOOKUP($A82,'Data shares'!$C:$FB,65)*100</f>
        <v>-54.15</v>
      </c>
    </row>
    <row r="83" spans="1:15" x14ac:dyDescent="0.25">
      <c r="A83" s="101" t="str">
        <f>'Data Vlaue (Cr)'!C78</f>
        <v>HCLTECH</v>
      </c>
      <c r="B83" s="50">
        <f>VLOOKUP($A83,'Data shares'!$C:$FB,7)</f>
        <v>1464.9</v>
      </c>
      <c r="C83" s="50">
        <f>VLOOKUP($A83,'Data shares'!$C:$FB,10)*100</f>
        <v>0.27</v>
      </c>
      <c r="D83" s="49">
        <f>VLOOKUP($A83,'Data shares'!$C:$FB,66)</f>
        <v>18855200</v>
      </c>
      <c r="E83" s="49">
        <f>VLOOKUP($A83,'Data shares'!$C:$FB,67)</f>
        <v>15789550</v>
      </c>
      <c r="F83" s="50">
        <f>VLOOKUP($A83,'Data shares'!$C:$FB,69)*100</f>
        <v>19.420000000000002</v>
      </c>
      <c r="G83" s="49">
        <f>VLOOKUP($A83,'Data shares'!$C:$FB,42)</f>
        <v>3706500</v>
      </c>
      <c r="H83" s="49">
        <f>VLOOKUP($A83,'Data shares'!$C:$FB,43)</f>
        <v>3941700</v>
      </c>
      <c r="I83" s="50">
        <f>VLOOKUP($A83,'Data shares'!$C:$FB,45)*100</f>
        <v>-5.9700000000000006</v>
      </c>
      <c r="J83" s="49">
        <f>VLOOKUP($A83,'Data shares'!$C:$FB,58)</f>
        <v>9136750</v>
      </c>
      <c r="K83" s="49">
        <f>VLOOKUP($A83,'Data shares'!$C:$FB,59)</f>
        <v>7868000</v>
      </c>
      <c r="L83" s="50">
        <f>VLOOKUP($A83,'Data shares'!$C:$FB,61)*100</f>
        <v>16.13</v>
      </c>
      <c r="M83" s="49">
        <f>VLOOKUP($A83,'Data shares'!$C:$FB,62)</f>
        <v>6011950</v>
      </c>
      <c r="N83" s="49">
        <f>VLOOKUP($A83,'Data shares'!$C:$FB,63)</f>
        <v>3979850</v>
      </c>
      <c r="O83" s="140">
        <f>VLOOKUP($A83,'Data shares'!$C:$FB,65)*100</f>
        <v>51.06</v>
      </c>
    </row>
    <row r="84" spans="1:15" x14ac:dyDescent="0.25">
      <c r="A84" s="101" t="str">
        <f>'Data Vlaue (Cr)'!C79</f>
        <v>HDFCAMC</v>
      </c>
      <c r="B84" s="50">
        <f>VLOOKUP($A84,'Data shares'!$C:$FB,7)</f>
        <v>2515</v>
      </c>
      <c r="C84" s="50">
        <f>VLOOKUP($A84,'Data shares'!$C:$FB,10)*100</f>
        <v>-0.96</v>
      </c>
      <c r="D84" s="49">
        <f>VLOOKUP($A84,'Data shares'!$C:$FB,66)</f>
        <v>2922600</v>
      </c>
      <c r="E84" s="49">
        <f>VLOOKUP($A84,'Data shares'!$C:$FB,67)</f>
        <v>6390900</v>
      </c>
      <c r="F84" s="50">
        <f>VLOOKUP($A84,'Data shares'!$C:$FB,69)*100</f>
        <v>-54.269999999999996</v>
      </c>
      <c r="G84" s="49">
        <f>VLOOKUP($A84,'Data shares'!$C:$FB,42)</f>
        <v>1098000</v>
      </c>
      <c r="H84" s="49">
        <f>VLOOKUP($A84,'Data shares'!$C:$FB,43)</f>
        <v>2341800</v>
      </c>
      <c r="I84" s="50">
        <f>VLOOKUP($A84,'Data shares'!$C:$FB,45)*100</f>
        <v>-53.11</v>
      </c>
      <c r="J84" s="49">
        <f>VLOOKUP($A84,'Data shares'!$C:$FB,58)</f>
        <v>1051800</v>
      </c>
      <c r="K84" s="49">
        <f>VLOOKUP($A84,'Data shares'!$C:$FB,59)</f>
        <v>2764200</v>
      </c>
      <c r="L84" s="50">
        <f>VLOOKUP($A84,'Data shares'!$C:$FB,61)*100</f>
        <v>-61.95</v>
      </c>
      <c r="M84" s="49">
        <f>VLOOKUP($A84,'Data shares'!$C:$FB,62)</f>
        <v>772800</v>
      </c>
      <c r="N84" s="49">
        <f>VLOOKUP($A84,'Data shares'!$C:$FB,63)</f>
        <v>1284900</v>
      </c>
      <c r="O84" s="140">
        <f>VLOOKUP($A84,'Data shares'!$C:$FB,65)*100</f>
        <v>-39.86</v>
      </c>
    </row>
    <row r="85" spans="1:15" x14ac:dyDescent="0.25">
      <c r="A85" s="101" t="str">
        <f>'Data Vlaue (Cr)'!C80</f>
        <v>HDFCBANK</v>
      </c>
      <c r="B85" s="50">
        <f>VLOOKUP($A85,'Data shares'!$C:$FB,7)</f>
        <v>797.7</v>
      </c>
      <c r="C85" s="50">
        <f>VLOOKUP($A85,'Data shares'!$C:$FB,10)*100</f>
        <v>-2.25</v>
      </c>
      <c r="D85" s="49">
        <f>VLOOKUP($A85,'Data shares'!$C:$FB,66)</f>
        <v>163791650</v>
      </c>
      <c r="E85" s="49">
        <f>VLOOKUP($A85,'Data shares'!$C:$FB,67)</f>
        <v>247811300</v>
      </c>
      <c r="F85" s="50">
        <f>VLOOKUP($A85,'Data shares'!$C:$FB,69)*100</f>
        <v>-33.900000000000006</v>
      </c>
      <c r="G85" s="49">
        <f>VLOOKUP($A85,'Data shares'!$C:$FB,42)</f>
        <v>49290450</v>
      </c>
      <c r="H85" s="49">
        <f>VLOOKUP($A85,'Data shares'!$C:$FB,43)</f>
        <v>49116650</v>
      </c>
      <c r="I85" s="50">
        <f>VLOOKUP($A85,'Data shares'!$C:$FB,45)*100</f>
        <v>0.35000000000000003</v>
      </c>
      <c r="J85" s="49">
        <f>VLOOKUP($A85,'Data shares'!$C:$FB,58)</f>
        <v>69197700</v>
      </c>
      <c r="K85" s="49">
        <f>VLOOKUP($A85,'Data shares'!$C:$FB,59)</f>
        <v>126590750</v>
      </c>
      <c r="L85" s="50">
        <f>VLOOKUP($A85,'Data shares'!$C:$FB,61)*100</f>
        <v>-45.34</v>
      </c>
      <c r="M85" s="49">
        <f>VLOOKUP($A85,'Data shares'!$C:$FB,62)</f>
        <v>45303500</v>
      </c>
      <c r="N85" s="49">
        <f>VLOOKUP($A85,'Data shares'!$C:$FB,63)</f>
        <v>72103900</v>
      </c>
      <c r="O85" s="140">
        <f>VLOOKUP($A85,'Data shares'!$C:$FB,65)*100</f>
        <v>-37.169999999999995</v>
      </c>
    </row>
    <row r="86" spans="1:15" x14ac:dyDescent="0.25">
      <c r="A86" s="101" t="str">
        <f>'Data Vlaue (Cr)'!C81</f>
        <v>HDFCLIFE</v>
      </c>
      <c r="B86" s="50">
        <f>VLOOKUP($A86,'Data shares'!$C:$FB,7)</f>
        <v>591.20000000000005</v>
      </c>
      <c r="C86" s="50">
        <f>VLOOKUP($A86,'Data shares'!$C:$FB,10)*100</f>
        <v>-1.1900000000000002</v>
      </c>
      <c r="D86" s="49">
        <f>VLOOKUP($A86,'Data shares'!$C:$FB,66)</f>
        <v>18136800</v>
      </c>
      <c r="E86" s="49">
        <f>VLOOKUP($A86,'Data shares'!$C:$FB,67)</f>
        <v>23888700</v>
      </c>
      <c r="F86" s="50">
        <f>VLOOKUP($A86,'Data shares'!$C:$FB,69)*100</f>
        <v>-24.08</v>
      </c>
      <c r="G86" s="49">
        <f>VLOOKUP($A86,'Data shares'!$C:$FB,42)</f>
        <v>3953400</v>
      </c>
      <c r="H86" s="49">
        <f>VLOOKUP($A86,'Data shares'!$C:$FB,43)</f>
        <v>5410900</v>
      </c>
      <c r="I86" s="50">
        <f>VLOOKUP($A86,'Data shares'!$C:$FB,45)*100</f>
        <v>-26.939999999999998</v>
      </c>
      <c r="J86" s="49">
        <f>VLOOKUP($A86,'Data shares'!$C:$FB,58)</f>
        <v>9662400</v>
      </c>
      <c r="K86" s="49">
        <f>VLOOKUP($A86,'Data shares'!$C:$FB,59)</f>
        <v>12741300</v>
      </c>
      <c r="L86" s="50">
        <f>VLOOKUP($A86,'Data shares'!$C:$FB,61)*100</f>
        <v>-24.16</v>
      </c>
      <c r="M86" s="49">
        <f>VLOOKUP($A86,'Data shares'!$C:$FB,62)</f>
        <v>4521000</v>
      </c>
      <c r="N86" s="49">
        <f>VLOOKUP($A86,'Data shares'!$C:$FB,63)</f>
        <v>5736500</v>
      </c>
      <c r="O86" s="140">
        <f>VLOOKUP($A86,'Data shares'!$C:$FB,65)*100</f>
        <v>-21.19</v>
      </c>
    </row>
    <row r="87" spans="1:15" x14ac:dyDescent="0.25">
      <c r="A87" s="101" t="str">
        <f>'Data Vlaue (Cr)'!C82</f>
        <v>HEROMOTOCO</v>
      </c>
      <c r="B87" s="50">
        <f>VLOOKUP($A87,'Data shares'!$C:$FB,7)</f>
        <v>5284</v>
      </c>
      <c r="C87" s="50">
        <f>VLOOKUP($A87,'Data shares'!$C:$FB,10)*100</f>
        <v>-6.9999999999999993E-2</v>
      </c>
      <c r="D87" s="49">
        <f>VLOOKUP($A87,'Data shares'!$C:$FB,66)</f>
        <v>3496050</v>
      </c>
      <c r="E87" s="49">
        <f>VLOOKUP($A87,'Data shares'!$C:$FB,67)</f>
        <v>4475100</v>
      </c>
      <c r="F87" s="50">
        <f>VLOOKUP($A87,'Data shares'!$C:$FB,69)*100</f>
        <v>-21.88</v>
      </c>
      <c r="G87" s="49">
        <f>VLOOKUP($A87,'Data shares'!$C:$FB,42)</f>
        <v>587400</v>
      </c>
      <c r="H87" s="49">
        <f>VLOOKUP($A87,'Data shares'!$C:$FB,43)</f>
        <v>780750</v>
      </c>
      <c r="I87" s="50">
        <f>VLOOKUP($A87,'Data shares'!$C:$FB,45)*100</f>
        <v>-24.759999999999998</v>
      </c>
      <c r="J87" s="49">
        <f>VLOOKUP($A87,'Data shares'!$C:$FB,58)</f>
        <v>1854300</v>
      </c>
      <c r="K87" s="49">
        <f>VLOOKUP($A87,'Data shares'!$C:$FB,59)</f>
        <v>2255400</v>
      </c>
      <c r="L87" s="50">
        <f>VLOOKUP($A87,'Data shares'!$C:$FB,61)*100</f>
        <v>-17.78</v>
      </c>
      <c r="M87" s="49">
        <f>VLOOKUP($A87,'Data shares'!$C:$FB,62)</f>
        <v>1054350</v>
      </c>
      <c r="N87" s="49">
        <f>VLOOKUP($A87,'Data shares'!$C:$FB,63)</f>
        <v>1438950</v>
      </c>
      <c r="O87" s="140">
        <f>VLOOKUP($A87,'Data shares'!$C:$FB,65)*100</f>
        <v>-26.729999999999997</v>
      </c>
    </row>
    <row r="88" spans="1:15" x14ac:dyDescent="0.25">
      <c r="A88" s="101" t="str">
        <f>'Data Vlaue (Cr)'!C83</f>
        <v>HINDALCO</v>
      </c>
      <c r="B88" s="50">
        <f>VLOOKUP($A88,'Data shares'!$C:$FB,7)</f>
        <v>985.65</v>
      </c>
      <c r="C88" s="50">
        <f>VLOOKUP($A88,'Data shares'!$C:$FB,10)*100</f>
        <v>3.56</v>
      </c>
      <c r="D88" s="49">
        <f>VLOOKUP($A88,'Data shares'!$C:$FB,66)</f>
        <v>73928400</v>
      </c>
      <c r="E88" s="49">
        <f>VLOOKUP($A88,'Data shares'!$C:$FB,67)</f>
        <v>48120800</v>
      </c>
      <c r="F88" s="50">
        <f>VLOOKUP($A88,'Data shares'!$C:$FB,69)*100</f>
        <v>53.63</v>
      </c>
      <c r="G88" s="49">
        <f>VLOOKUP($A88,'Data shares'!$C:$FB,42)</f>
        <v>10236100</v>
      </c>
      <c r="H88" s="49">
        <f>VLOOKUP($A88,'Data shares'!$C:$FB,43)</f>
        <v>10622500</v>
      </c>
      <c r="I88" s="50">
        <f>VLOOKUP($A88,'Data shares'!$C:$FB,45)*100</f>
        <v>-3.64</v>
      </c>
      <c r="J88" s="49">
        <f>VLOOKUP($A88,'Data shares'!$C:$FB,58)</f>
        <v>44505300</v>
      </c>
      <c r="K88" s="49">
        <f>VLOOKUP($A88,'Data shares'!$C:$FB,59)</f>
        <v>22401400</v>
      </c>
      <c r="L88" s="50">
        <f>VLOOKUP($A88,'Data shares'!$C:$FB,61)*100</f>
        <v>98.67</v>
      </c>
      <c r="M88" s="49">
        <f>VLOOKUP($A88,'Data shares'!$C:$FB,62)</f>
        <v>19187000</v>
      </c>
      <c r="N88" s="49">
        <f>VLOOKUP($A88,'Data shares'!$C:$FB,63)</f>
        <v>15096900</v>
      </c>
      <c r="O88" s="140">
        <f>VLOOKUP($A88,'Data shares'!$C:$FB,65)*100</f>
        <v>27.089999999999996</v>
      </c>
    </row>
    <row r="89" spans="1:15" x14ac:dyDescent="0.25">
      <c r="A89" s="101" t="str">
        <f>'Data Vlaue (Cr)'!C84</f>
        <v>HINDPETRO</v>
      </c>
      <c r="B89" s="50">
        <f>VLOOKUP($A89,'Data shares'!$C:$FB,7)</f>
        <v>358</v>
      </c>
      <c r="C89" s="50">
        <f>VLOOKUP($A89,'Data shares'!$C:$FB,10)*100</f>
        <v>-1.72</v>
      </c>
      <c r="D89" s="49">
        <f>VLOOKUP($A89,'Data shares'!$C:$FB,66)</f>
        <v>48336750</v>
      </c>
      <c r="E89" s="49">
        <f>VLOOKUP($A89,'Data shares'!$C:$FB,67)</f>
        <v>120963375</v>
      </c>
      <c r="F89" s="50">
        <f>VLOOKUP($A89,'Data shares'!$C:$FB,69)*100</f>
        <v>-60.040000000000006</v>
      </c>
      <c r="G89" s="49">
        <f>VLOOKUP($A89,'Data shares'!$C:$FB,42)</f>
        <v>12621825</v>
      </c>
      <c r="H89" s="49">
        <f>VLOOKUP($A89,'Data shares'!$C:$FB,43)</f>
        <v>28609200</v>
      </c>
      <c r="I89" s="50">
        <f>VLOOKUP($A89,'Data shares'!$C:$FB,45)*100</f>
        <v>-55.879999999999995</v>
      </c>
      <c r="J89" s="49">
        <f>VLOOKUP($A89,'Data shares'!$C:$FB,58)</f>
        <v>21465000</v>
      </c>
      <c r="K89" s="49">
        <f>VLOOKUP($A89,'Data shares'!$C:$FB,59)</f>
        <v>60907950</v>
      </c>
      <c r="L89" s="50">
        <f>VLOOKUP($A89,'Data shares'!$C:$FB,61)*100</f>
        <v>-64.759999999999991</v>
      </c>
      <c r="M89" s="49">
        <f>VLOOKUP($A89,'Data shares'!$C:$FB,62)</f>
        <v>14249925</v>
      </c>
      <c r="N89" s="49">
        <f>VLOOKUP($A89,'Data shares'!$C:$FB,63)</f>
        <v>31446225</v>
      </c>
      <c r="O89" s="140">
        <f>VLOOKUP($A89,'Data shares'!$C:$FB,65)*100</f>
        <v>-54.679999999999993</v>
      </c>
    </row>
    <row r="90" spans="1:15" x14ac:dyDescent="0.25">
      <c r="A90" s="101" t="str">
        <f>'Data Vlaue (Cr)'!C85</f>
        <v>HINDUNILVR</v>
      </c>
      <c r="B90" s="50">
        <f>VLOOKUP($A90,'Data shares'!$C:$FB,7)</f>
        <v>2133.1999999999998</v>
      </c>
      <c r="C90" s="50">
        <f>VLOOKUP($A90,'Data shares'!$C:$FB,10)*100</f>
        <v>-0.57999999999999996</v>
      </c>
      <c r="D90" s="49">
        <f>VLOOKUP($A90,'Data shares'!$C:$FB,66)</f>
        <v>9161100</v>
      </c>
      <c r="E90" s="49">
        <f>VLOOKUP($A90,'Data shares'!$C:$FB,67)</f>
        <v>19269000</v>
      </c>
      <c r="F90" s="50">
        <f>VLOOKUP($A90,'Data shares'!$C:$FB,69)*100</f>
        <v>-52.459999999999994</v>
      </c>
      <c r="G90" s="49">
        <f>VLOOKUP($A90,'Data shares'!$C:$FB,42)</f>
        <v>1525200</v>
      </c>
      <c r="H90" s="49">
        <f>VLOOKUP($A90,'Data shares'!$C:$FB,43)</f>
        <v>4302900</v>
      </c>
      <c r="I90" s="50">
        <f>VLOOKUP($A90,'Data shares'!$C:$FB,45)*100</f>
        <v>-64.55</v>
      </c>
      <c r="J90" s="49">
        <f>VLOOKUP($A90,'Data shares'!$C:$FB,58)</f>
        <v>5004000</v>
      </c>
      <c r="K90" s="49">
        <f>VLOOKUP($A90,'Data shares'!$C:$FB,59)</f>
        <v>8466600</v>
      </c>
      <c r="L90" s="50">
        <f>VLOOKUP($A90,'Data shares'!$C:$FB,61)*100</f>
        <v>-40.9</v>
      </c>
      <c r="M90" s="49">
        <f>VLOOKUP($A90,'Data shares'!$C:$FB,62)</f>
        <v>2631900</v>
      </c>
      <c r="N90" s="49">
        <f>VLOOKUP($A90,'Data shares'!$C:$FB,63)</f>
        <v>6499500</v>
      </c>
      <c r="O90" s="140">
        <f>VLOOKUP($A90,'Data shares'!$C:$FB,65)*100</f>
        <v>-59.51</v>
      </c>
    </row>
    <row r="91" spans="1:15" x14ac:dyDescent="0.25">
      <c r="A91" s="101" t="str">
        <f>'Data Vlaue (Cr)'!C86</f>
        <v>HINDZINC</v>
      </c>
      <c r="B91" s="50">
        <f>VLOOKUP($A91,'Data shares'!$C:$FB,7)</f>
        <v>558.5</v>
      </c>
      <c r="C91" s="50">
        <f>VLOOKUP($A91,'Data shares'!$C:$FB,10)*100</f>
        <v>-0.15</v>
      </c>
      <c r="D91" s="49">
        <f>VLOOKUP($A91,'Data shares'!$C:$FB,66)</f>
        <v>24304000</v>
      </c>
      <c r="E91" s="49">
        <f>VLOOKUP($A91,'Data shares'!$C:$FB,67)</f>
        <v>44951375</v>
      </c>
      <c r="F91" s="50">
        <f>VLOOKUP($A91,'Data shares'!$C:$FB,69)*100</f>
        <v>-45.93</v>
      </c>
      <c r="G91" s="49">
        <f>VLOOKUP($A91,'Data shares'!$C:$FB,42)</f>
        <v>3486350</v>
      </c>
      <c r="H91" s="49">
        <f>VLOOKUP($A91,'Data shares'!$C:$FB,43)</f>
        <v>7512925</v>
      </c>
      <c r="I91" s="50">
        <f>VLOOKUP($A91,'Data shares'!$C:$FB,45)*100</f>
        <v>-53.6</v>
      </c>
      <c r="J91" s="49">
        <f>VLOOKUP($A91,'Data shares'!$C:$FB,58)</f>
        <v>12503575</v>
      </c>
      <c r="K91" s="49">
        <f>VLOOKUP($A91,'Data shares'!$C:$FB,59)</f>
        <v>23695175</v>
      </c>
      <c r="L91" s="50">
        <f>VLOOKUP($A91,'Data shares'!$C:$FB,61)*100</f>
        <v>-47.23</v>
      </c>
      <c r="M91" s="49">
        <f>VLOOKUP($A91,'Data shares'!$C:$FB,62)</f>
        <v>8314075</v>
      </c>
      <c r="N91" s="49">
        <f>VLOOKUP($A91,'Data shares'!$C:$FB,63)</f>
        <v>13743275</v>
      </c>
      <c r="O91" s="140">
        <f>VLOOKUP($A91,'Data shares'!$C:$FB,65)*100</f>
        <v>-39.5</v>
      </c>
    </row>
    <row r="92" spans="1:15" x14ac:dyDescent="0.25">
      <c r="A92" s="101" t="str">
        <f>'Data Vlaue (Cr)'!C87</f>
        <v>HUDCO</v>
      </c>
      <c r="B92" s="50">
        <f>VLOOKUP($A92,'Data shares'!$C:$FB,7)</f>
        <v>181.93</v>
      </c>
      <c r="C92" s="50">
        <f>VLOOKUP($A92,'Data shares'!$C:$FB,10)*100</f>
        <v>-0.12</v>
      </c>
      <c r="D92" s="49">
        <f>VLOOKUP($A92,'Data shares'!$C:$FB,66)</f>
        <v>12312675</v>
      </c>
      <c r="E92" s="49">
        <f>VLOOKUP($A92,'Data shares'!$C:$FB,67)</f>
        <v>21495150</v>
      </c>
      <c r="F92" s="50">
        <f>VLOOKUP($A92,'Data shares'!$C:$FB,69)*100</f>
        <v>-42.72</v>
      </c>
      <c r="G92" s="49">
        <f>VLOOKUP($A92,'Data shares'!$C:$FB,42)</f>
        <v>2869350</v>
      </c>
      <c r="H92" s="49">
        <f>VLOOKUP($A92,'Data shares'!$C:$FB,43)</f>
        <v>4234650</v>
      </c>
      <c r="I92" s="50">
        <f>VLOOKUP($A92,'Data shares'!$C:$FB,45)*100</f>
        <v>-32.24</v>
      </c>
      <c r="J92" s="49">
        <f>VLOOKUP($A92,'Data shares'!$C:$FB,58)</f>
        <v>6426900</v>
      </c>
      <c r="K92" s="49">
        <f>VLOOKUP($A92,'Data shares'!$C:$FB,59)</f>
        <v>11283150</v>
      </c>
      <c r="L92" s="50">
        <f>VLOOKUP($A92,'Data shares'!$C:$FB,61)*100</f>
        <v>-43.04</v>
      </c>
      <c r="M92" s="49">
        <f>VLOOKUP($A92,'Data shares'!$C:$FB,62)</f>
        <v>3016425</v>
      </c>
      <c r="N92" s="49">
        <f>VLOOKUP($A92,'Data shares'!$C:$FB,63)</f>
        <v>5977350</v>
      </c>
      <c r="O92" s="140">
        <f>VLOOKUP($A92,'Data shares'!$C:$FB,65)*100</f>
        <v>-49.54</v>
      </c>
    </row>
    <row r="93" spans="1:15" x14ac:dyDescent="0.25">
      <c r="A93" s="101" t="str">
        <f>'Data Vlaue (Cr)'!C88</f>
        <v>HYUNDAI</v>
      </c>
      <c r="B93" s="50">
        <f>VLOOKUP($A93,'Data shares'!$C:$FB,7)</f>
        <v>1768.3</v>
      </c>
      <c r="C93" s="50">
        <f>VLOOKUP($A93,'Data shares'!$C:$FB,10)*100</f>
        <v>-0.6</v>
      </c>
      <c r="D93" s="49">
        <f>VLOOKUP($A93,'Data shares'!$C:$FB,66)</f>
        <v>4012250</v>
      </c>
      <c r="E93" s="49">
        <f>VLOOKUP($A93,'Data shares'!$C:$FB,67)</f>
        <v>4792975</v>
      </c>
      <c r="F93" s="50">
        <f>VLOOKUP($A93,'Data shares'!$C:$FB,69)*100</f>
        <v>-16.29</v>
      </c>
      <c r="G93" s="49">
        <f>VLOOKUP($A93,'Data shares'!$C:$FB,42)</f>
        <v>1702250</v>
      </c>
      <c r="H93" s="49">
        <f>VLOOKUP($A93,'Data shares'!$C:$FB,43)</f>
        <v>1682450</v>
      </c>
      <c r="I93" s="50">
        <f>VLOOKUP($A93,'Data shares'!$C:$FB,45)*100</f>
        <v>1.18</v>
      </c>
      <c r="J93" s="49">
        <f>VLOOKUP($A93,'Data shares'!$C:$FB,58)</f>
        <v>1619475</v>
      </c>
      <c r="K93" s="49">
        <f>VLOOKUP($A93,'Data shares'!$C:$FB,59)</f>
        <v>2452725</v>
      </c>
      <c r="L93" s="50">
        <f>VLOOKUP($A93,'Data shares'!$C:$FB,61)*100</f>
        <v>-33.97</v>
      </c>
      <c r="M93" s="49">
        <f>VLOOKUP($A93,'Data shares'!$C:$FB,62)</f>
        <v>690525</v>
      </c>
      <c r="N93" s="49">
        <f>VLOOKUP($A93,'Data shares'!$C:$FB,63)</f>
        <v>657800</v>
      </c>
      <c r="O93" s="140">
        <f>VLOOKUP($A93,'Data shares'!$C:$FB,65)*100</f>
        <v>4.97</v>
      </c>
    </row>
    <row r="94" spans="1:15" x14ac:dyDescent="0.25">
      <c r="A94" s="101" t="str">
        <f>'Data Vlaue (Cr)'!C89</f>
        <v>ICICIBANK</v>
      </c>
      <c r="B94" s="50">
        <f>VLOOKUP($A94,'Data shares'!$C:$FB,7)</f>
        <v>1281.3</v>
      </c>
      <c r="C94" s="50">
        <f>VLOOKUP($A94,'Data shares'!$C:$FB,10)*100</f>
        <v>-2.13</v>
      </c>
      <c r="D94" s="49">
        <f>VLOOKUP($A94,'Data shares'!$C:$FB,66)</f>
        <v>55633900</v>
      </c>
      <c r="E94" s="49">
        <f>VLOOKUP($A94,'Data shares'!$C:$FB,67)</f>
        <v>77391300</v>
      </c>
      <c r="F94" s="50">
        <f>VLOOKUP($A94,'Data shares'!$C:$FB,69)*100</f>
        <v>-28.110000000000003</v>
      </c>
      <c r="G94" s="49">
        <f>VLOOKUP($A94,'Data shares'!$C:$FB,42)</f>
        <v>12763800</v>
      </c>
      <c r="H94" s="49">
        <f>VLOOKUP($A94,'Data shares'!$C:$FB,43)</f>
        <v>19257700</v>
      </c>
      <c r="I94" s="50">
        <f>VLOOKUP($A94,'Data shares'!$C:$FB,45)*100</f>
        <v>-33.72</v>
      </c>
      <c r="J94" s="49">
        <f>VLOOKUP($A94,'Data shares'!$C:$FB,58)</f>
        <v>22350300</v>
      </c>
      <c r="K94" s="49">
        <f>VLOOKUP($A94,'Data shares'!$C:$FB,59)</f>
        <v>32914700</v>
      </c>
      <c r="L94" s="50">
        <f>VLOOKUP($A94,'Data shares'!$C:$FB,61)*100</f>
        <v>-32.1</v>
      </c>
      <c r="M94" s="49">
        <f>VLOOKUP($A94,'Data shares'!$C:$FB,62)</f>
        <v>20519800</v>
      </c>
      <c r="N94" s="49">
        <f>VLOOKUP($A94,'Data shares'!$C:$FB,63)</f>
        <v>25218900</v>
      </c>
      <c r="O94" s="140">
        <f>VLOOKUP($A94,'Data shares'!$C:$FB,65)*100</f>
        <v>-18.63</v>
      </c>
    </row>
    <row r="95" spans="1:15" x14ac:dyDescent="0.25">
      <c r="A95" s="101" t="str">
        <f>'Data Vlaue (Cr)'!C90</f>
        <v>ICICIGI</v>
      </c>
      <c r="B95" s="50">
        <f>VLOOKUP($A95,'Data shares'!$C:$FB,7)</f>
        <v>1768.6</v>
      </c>
      <c r="C95" s="50">
        <f>VLOOKUP($A95,'Data shares'!$C:$FB,10)*100</f>
        <v>1.03</v>
      </c>
      <c r="D95" s="49">
        <f>VLOOKUP($A95,'Data shares'!$C:$FB,66)</f>
        <v>4401150</v>
      </c>
      <c r="E95" s="49">
        <f>VLOOKUP($A95,'Data shares'!$C:$FB,67)</f>
        <v>2274350</v>
      </c>
      <c r="F95" s="50">
        <f>VLOOKUP($A95,'Data shares'!$C:$FB,69)*100</f>
        <v>93.51</v>
      </c>
      <c r="G95" s="49">
        <f>VLOOKUP($A95,'Data shares'!$C:$FB,42)</f>
        <v>971100</v>
      </c>
      <c r="H95" s="49">
        <f>VLOOKUP($A95,'Data shares'!$C:$FB,43)</f>
        <v>620750</v>
      </c>
      <c r="I95" s="50">
        <f>VLOOKUP($A95,'Data shares'!$C:$FB,45)*100</f>
        <v>56.44</v>
      </c>
      <c r="J95" s="49">
        <f>VLOOKUP($A95,'Data shares'!$C:$FB,58)</f>
        <v>1882725</v>
      </c>
      <c r="K95" s="49">
        <f>VLOOKUP($A95,'Data shares'!$C:$FB,59)</f>
        <v>939900</v>
      </c>
      <c r="L95" s="50">
        <f>VLOOKUP($A95,'Data shares'!$C:$FB,61)*100</f>
        <v>100.31000000000002</v>
      </c>
      <c r="M95" s="49">
        <f>VLOOKUP($A95,'Data shares'!$C:$FB,62)</f>
        <v>1547325</v>
      </c>
      <c r="N95" s="49">
        <f>VLOOKUP($A95,'Data shares'!$C:$FB,63)</f>
        <v>713700</v>
      </c>
      <c r="O95" s="140">
        <f>VLOOKUP($A95,'Data shares'!$C:$FB,65)*100</f>
        <v>116.8</v>
      </c>
    </row>
    <row r="96" spans="1:15" x14ac:dyDescent="0.25">
      <c r="A96" s="101" t="str">
        <f>'Data Vlaue (Cr)'!C91</f>
        <v>ICICIPRULI</v>
      </c>
      <c r="B96" s="50">
        <f>VLOOKUP($A96,'Data shares'!$C:$FB,7)</f>
        <v>541.95000000000005</v>
      </c>
      <c r="C96" s="50">
        <f>VLOOKUP($A96,'Data shares'!$C:$FB,10)*100</f>
        <v>0.06</v>
      </c>
      <c r="D96" s="49">
        <f>VLOOKUP($A96,'Data shares'!$C:$FB,66)</f>
        <v>6968025</v>
      </c>
      <c r="E96" s="49">
        <f>VLOOKUP($A96,'Data shares'!$C:$FB,67)</f>
        <v>3830425</v>
      </c>
      <c r="F96" s="50">
        <f>VLOOKUP($A96,'Data shares'!$C:$FB,69)*100</f>
        <v>81.910000000000011</v>
      </c>
      <c r="G96" s="49">
        <f>VLOOKUP($A96,'Data shares'!$C:$FB,42)</f>
        <v>2628850</v>
      </c>
      <c r="H96" s="49">
        <f>VLOOKUP($A96,'Data shares'!$C:$FB,43)</f>
        <v>1456875</v>
      </c>
      <c r="I96" s="50">
        <f>VLOOKUP($A96,'Data shares'!$C:$FB,45)*100</f>
        <v>80.44</v>
      </c>
      <c r="J96" s="49">
        <f>VLOOKUP($A96,'Data shares'!$C:$FB,58)</f>
        <v>3335550</v>
      </c>
      <c r="K96" s="49">
        <f>VLOOKUP($A96,'Data shares'!$C:$FB,59)</f>
        <v>1431900</v>
      </c>
      <c r="L96" s="50">
        <f>VLOOKUP($A96,'Data shares'!$C:$FB,61)*100</f>
        <v>132.94999999999999</v>
      </c>
      <c r="M96" s="49">
        <f>VLOOKUP($A96,'Data shares'!$C:$FB,62)</f>
        <v>1003625</v>
      </c>
      <c r="N96" s="49">
        <f>VLOOKUP($A96,'Data shares'!$C:$FB,63)</f>
        <v>941650</v>
      </c>
      <c r="O96" s="140">
        <f>VLOOKUP($A96,'Data shares'!$C:$FB,65)*100</f>
        <v>6.58</v>
      </c>
    </row>
    <row r="97" spans="1:15" x14ac:dyDescent="0.25">
      <c r="A97" s="101" t="str">
        <f>'Data Vlaue (Cr)'!C92</f>
        <v>IDEA</v>
      </c>
      <c r="B97" s="50">
        <f>VLOOKUP($A97,'Data shares'!$C:$FB,7)</f>
        <v>9.1199999999999992</v>
      </c>
      <c r="C97" s="50">
        <f>VLOOKUP($A97,'Data shares'!$C:$FB,10)*100</f>
        <v>-0.86999999999999988</v>
      </c>
      <c r="D97" s="49">
        <f>VLOOKUP($A97,'Data shares'!$C:$FB,66)</f>
        <v>1439435025</v>
      </c>
      <c r="E97" s="49">
        <f>VLOOKUP($A97,'Data shares'!$C:$FB,67)</f>
        <v>2676667275</v>
      </c>
      <c r="F97" s="50">
        <f>VLOOKUP($A97,'Data shares'!$C:$FB,69)*100</f>
        <v>-46.22</v>
      </c>
      <c r="G97" s="49">
        <f>VLOOKUP($A97,'Data shares'!$C:$FB,42)</f>
        <v>338219700</v>
      </c>
      <c r="H97" s="49">
        <f>VLOOKUP($A97,'Data shares'!$C:$FB,43)</f>
        <v>650065125</v>
      </c>
      <c r="I97" s="50">
        <f>VLOOKUP($A97,'Data shares'!$C:$FB,45)*100</f>
        <v>-47.97</v>
      </c>
      <c r="J97" s="49">
        <f>VLOOKUP($A97,'Data shares'!$C:$FB,58)</f>
        <v>833327025</v>
      </c>
      <c r="K97" s="49">
        <f>VLOOKUP($A97,'Data shares'!$C:$FB,59)</f>
        <v>1494899625</v>
      </c>
      <c r="L97" s="50">
        <f>VLOOKUP($A97,'Data shares'!$C:$FB,61)*100</f>
        <v>-44.26</v>
      </c>
      <c r="M97" s="49">
        <f>VLOOKUP($A97,'Data shares'!$C:$FB,62)</f>
        <v>267888300</v>
      </c>
      <c r="N97" s="49">
        <f>VLOOKUP($A97,'Data shares'!$C:$FB,63)</f>
        <v>531702525</v>
      </c>
      <c r="O97" s="140">
        <f>VLOOKUP($A97,'Data shares'!$C:$FB,65)*100</f>
        <v>-49.62</v>
      </c>
    </row>
    <row r="98" spans="1:15" x14ac:dyDescent="0.25">
      <c r="A98" s="101" t="str">
        <f>'Data Vlaue (Cr)'!C93</f>
        <v>IDFCFIRSTB</v>
      </c>
      <c r="B98" s="50">
        <f>VLOOKUP($A98,'Data shares'!$C:$FB,7)</f>
        <v>65.28</v>
      </c>
      <c r="C98" s="50">
        <f>VLOOKUP($A98,'Data shares'!$C:$FB,10)*100</f>
        <v>-0.89999999999999991</v>
      </c>
      <c r="D98" s="49">
        <f>VLOOKUP($A98,'Data shares'!$C:$FB,66)</f>
        <v>150755850</v>
      </c>
      <c r="E98" s="49">
        <f>VLOOKUP($A98,'Data shares'!$C:$FB,67)</f>
        <v>346912825</v>
      </c>
      <c r="F98" s="50">
        <f>VLOOKUP($A98,'Data shares'!$C:$FB,69)*100</f>
        <v>-56.54</v>
      </c>
      <c r="G98" s="49">
        <f>VLOOKUP($A98,'Data shares'!$C:$FB,42)</f>
        <v>43397725</v>
      </c>
      <c r="H98" s="49">
        <f>VLOOKUP($A98,'Data shares'!$C:$FB,43)</f>
        <v>108777200</v>
      </c>
      <c r="I98" s="50">
        <f>VLOOKUP($A98,'Data shares'!$C:$FB,45)*100</f>
        <v>-60.099999999999994</v>
      </c>
      <c r="J98" s="49">
        <f>VLOOKUP($A98,'Data shares'!$C:$FB,58)</f>
        <v>59360000</v>
      </c>
      <c r="K98" s="49">
        <f>VLOOKUP($A98,'Data shares'!$C:$FB,59)</f>
        <v>135368625</v>
      </c>
      <c r="L98" s="50">
        <f>VLOOKUP($A98,'Data shares'!$C:$FB,61)*100</f>
        <v>-56.15</v>
      </c>
      <c r="M98" s="49">
        <f>VLOOKUP($A98,'Data shares'!$C:$FB,62)</f>
        <v>47998125</v>
      </c>
      <c r="N98" s="49">
        <f>VLOOKUP($A98,'Data shares'!$C:$FB,63)</f>
        <v>102767000</v>
      </c>
      <c r="O98" s="140">
        <f>VLOOKUP($A98,'Data shares'!$C:$FB,65)*100</f>
        <v>-53.290000000000006</v>
      </c>
    </row>
    <row r="99" spans="1:15" x14ac:dyDescent="0.25">
      <c r="A99" s="101" t="str">
        <f>'Data Vlaue (Cr)'!C94</f>
        <v>IEX</v>
      </c>
      <c r="B99" s="50">
        <f>VLOOKUP($A99,'Data shares'!$C:$FB,7)</f>
        <v>129.69</v>
      </c>
      <c r="C99" s="50">
        <f>VLOOKUP($A99,'Data shares'!$C:$FB,10)*100</f>
        <v>0.19</v>
      </c>
      <c r="D99" s="49">
        <f>VLOOKUP($A99,'Data shares'!$C:$FB,66)</f>
        <v>42483750</v>
      </c>
      <c r="E99" s="49">
        <f>VLOOKUP($A99,'Data shares'!$C:$FB,67)</f>
        <v>82406250</v>
      </c>
      <c r="F99" s="50">
        <f>VLOOKUP($A99,'Data shares'!$C:$FB,69)*100</f>
        <v>-48.449999999999996</v>
      </c>
      <c r="G99" s="49">
        <f>VLOOKUP($A99,'Data shares'!$C:$FB,42)</f>
        <v>7207500</v>
      </c>
      <c r="H99" s="49">
        <f>VLOOKUP($A99,'Data shares'!$C:$FB,43)</f>
        <v>9855000</v>
      </c>
      <c r="I99" s="50">
        <f>VLOOKUP($A99,'Data shares'!$C:$FB,45)*100</f>
        <v>-26.86</v>
      </c>
      <c r="J99" s="49">
        <f>VLOOKUP($A99,'Data shares'!$C:$FB,58)</f>
        <v>25098750</v>
      </c>
      <c r="K99" s="49">
        <f>VLOOKUP($A99,'Data shares'!$C:$FB,59)</f>
        <v>42363750</v>
      </c>
      <c r="L99" s="50">
        <f>VLOOKUP($A99,'Data shares'!$C:$FB,61)*100</f>
        <v>-40.75</v>
      </c>
      <c r="M99" s="49">
        <f>VLOOKUP($A99,'Data shares'!$C:$FB,62)</f>
        <v>10177500</v>
      </c>
      <c r="N99" s="49">
        <f>VLOOKUP($A99,'Data shares'!$C:$FB,63)</f>
        <v>30187500</v>
      </c>
      <c r="O99" s="140">
        <f>VLOOKUP($A99,'Data shares'!$C:$FB,65)*100</f>
        <v>-66.290000000000006</v>
      </c>
    </row>
    <row r="100" spans="1:15" x14ac:dyDescent="0.25">
      <c r="A100" s="101" t="str">
        <f>'Data Vlaue (Cr)'!C95</f>
        <v>INDHOTEL</v>
      </c>
      <c r="B100" s="50">
        <f>VLOOKUP($A100,'Data shares'!$C:$FB,7)</f>
        <v>629.1</v>
      </c>
      <c r="C100" s="50">
        <f>VLOOKUP($A100,'Data shares'!$C:$FB,10)*100</f>
        <v>-1.1400000000000001</v>
      </c>
      <c r="D100" s="49">
        <f>VLOOKUP($A100,'Data shares'!$C:$FB,66)</f>
        <v>13478000</v>
      </c>
      <c r="E100" s="49">
        <f>VLOOKUP($A100,'Data shares'!$C:$FB,67)</f>
        <v>18286000</v>
      </c>
      <c r="F100" s="50">
        <f>VLOOKUP($A100,'Data shares'!$C:$FB,69)*100</f>
        <v>-26.290000000000003</v>
      </c>
      <c r="G100" s="49">
        <f>VLOOKUP($A100,'Data shares'!$C:$FB,42)</f>
        <v>4175000</v>
      </c>
      <c r="H100" s="49">
        <f>VLOOKUP($A100,'Data shares'!$C:$FB,43)</f>
        <v>5408000</v>
      </c>
      <c r="I100" s="50">
        <f>VLOOKUP($A100,'Data shares'!$C:$FB,45)*100</f>
        <v>-22.8</v>
      </c>
      <c r="J100" s="49">
        <f>VLOOKUP($A100,'Data shares'!$C:$FB,58)</f>
        <v>5046000</v>
      </c>
      <c r="K100" s="49">
        <f>VLOOKUP($A100,'Data shares'!$C:$FB,59)</f>
        <v>7584000</v>
      </c>
      <c r="L100" s="50">
        <f>VLOOKUP($A100,'Data shares'!$C:$FB,61)*100</f>
        <v>-33.47</v>
      </c>
      <c r="M100" s="49">
        <f>VLOOKUP($A100,'Data shares'!$C:$FB,62)</f>
        <v>4257000</v>
      </c>
      <c r="N100" s="49">
        <f>VLOOKUP($A100,'Data shares'!$C:$FB,63)</f>
        <v>5294000</v>
      </c>
      <c r="O100" s="140">
        <f>VLOOKUP($A100,'Data shares'!$C:$FB,65)*100</f>
        <v>-19.59</v>
      </c>
    </row>
    <row r="101" spans="1:15" x14ac:dyDescent="0.25">
      <c r="A101" s="101" t="str">
        <f>'Data Vlaue (Cr)'!C96</f>
        <v>INDIANB</v>
      </c>
      <c r="B101" s="50">
        <f>VLOOKUP($A101,'Data shares'!$C:$FB,7)</f>
        <v>941.85</v>
      </c>
      <c r="C101" s="50">
        <f>VLOOKUP($A101,'Data shares'!$C:$FB,10)*100</f>
        <v>-1.53</v>
      </c>
      <c r="D101" s="49">
        <f>VLOOKUP($A101,'Data shares'!$C:$FB,66)</f>
        <v>11502000</v>
      </c>
      <c r="E101" s="49">
        <f>VLOOKUP($A101,'Data shares'!$C:$FB,67)</f>
        <v>13375000</v>
      </c>
      <c r="F101" s="50">
        <f>VLOOKUP($A101,'Data shares'!$C:$FB,69)*100</f>
        <v>-14.000000000000002</v>
      </c>
      <c r="G101" s="49">
        <f>VLOOKUP($A101,'Data shares'!$C:$FB,42)</f>
        <v>3732000</v>
      </c>
      <c r="H101" s="49">
        <f>VLOOKUP($A101,'Data shares'!$C:$FB,43)</f>
        <v>3749000</v>
      </c>
      <c r="I101" s="50">
        <f>VLOOKUP($A101,'Data shares'!$C:$FB,45)*100</f>
        <v>-0.44999999999999996</v>
      </c>
      <c r="J101" s="49">
        <f>VLOOKUP($A101,'Data shares'!$C:$FB,58)</f>
        <v>4652000</v>
      </c>
      <c r="K101" s="49">
        <f>VLOOKUP($A101,'Data shares'!$C:$FB,59)</f>
        <v>6601000</v>
      </c>
      <c r="L101" s="50">
        <f>VLOOKUP($A101,'Data shares'!$C:$FB,61)*100</f>
        <v>-29.53</v>
      </c>
      <c r="M101" s="49">
        <f>VLOOKUP($A101,'Data shares'!$C:$FB,62)</f>
        <v>3118000</v>
      </c>
      <c r="N101" s="49">
        <f>VLOOKUP($A101,'Data shares'!$C:$FB,63)</f>
        <v>3025000</v>
      </c>
      <c r="O101" s="140">
        <f>VLOOKUP($A101,'Data shares'!$C:$FB,65)*100</f>
        <v>3.0700000000000003</v>
      </c>
    </row>
    <row r="102" spans="1:15" x14ac:dyDescent="0.25">
      <c r="A102" s="101" t="str">
        <f>'Data Vlaue (Cr)'!C97</f>
        <v>INDIAVIX</v>
      </c>
      <c r="B102" s="50">
        <f>VLOOKUP($A102,'Data shares'!$C:$FB,7)</f>
        <v>20.43</v>
      </c>
      <c r="C102" s="50">
        <f>VLOOKUP($A102,'Data shares'!$C:$FB,10)*100</f>
        <v>3.6900000000000004</v>
      </c>
      <c r="D102" s="49">
        <f>VLOOKUP($A102,'Data shares'!$C:$FB,66)</f>
        <v>0</v>
      </c>
      <c r="E102" s="49">
        <f>VLOOKUP($A102,'Data shares'!$C:$FB,67)</f>
        <v>0</v>
      </c>
      <c r="F102" s="50">
        <f>VLOOKUP($A102,'Data shares'!$C:$FB,69)*100</f>
        <v>0</v>
      </c>
      <c r="G102" s="49">
        <f>VLOOKUP($A102,'Data shares'!$C:$FB,42)</f>
        <v>0</v>
      </c>
      <c r="H102" s="49">
        <f>VLOOKUP($A102,'Data shares'!$C:$FB,43)</f>
        <v>0</v>
      </c>
      <c r="I102" s="50">
        <f>VLOOKUP($A102,'Data shares'!$C:$FB,45)*100</f>
        <v>0</v>
      </c>
      <c r="J102" s="49">
        <f>VLOOKUP($A102,'Data shares'!$C:$FB,58)</f>
        <v>0</v>
      </c>
      <c r="K102" s="49">
        <f>VLOOKUP($A102,'Data shares'!$C:$FB,59)</f>
        <v>0</v>
      </c>
      <c r="L102" s="50">
        <f>VLOOKUP($A102,'Data shares'!$C:$FB,61)*100</f>
        <v>0</v>
      </c>
      <c r="M102" s="49">
        <f>VLOOKUP($A102,'Data shares'!$C:$FB,62)</f>
        <v>0</v>
      </c>
      <c r="N102" s="49">
        <f>VLOOKUP($A102,'Data shares'!$C:$FB,63)</f>
        <v>0</v>
      </c>
      <c r="O102" s="140">
        <f>VLOOKUP($A102,'Data shares'!$C:$FB,65)*100</f>
        <v>0</v>
      </c>
    </row>
    <row r="103" spans="1:15" x14ac:dyDescent="0.25">
      <c r="A103" s="101" t="str">
        <f>'Data Vlaue (Cr)'!C98</f>
        <v>INDIGO</v>
      </c>
      <c r="B103" s="50">
        <f>VLOOKUP($A103,'Data shares'!$C:$FB,7)</f>
        <v>4449.1000000000004</v>
      </c>
      <c r="C103" s="50">
        <f>VLOOKUP($A103,'Data shares'!$C:$FB,10)*100</f>
        <v>-3.61</v>
      </c>
      <c r="D103" s="49">
        <f>VLOOKUP($A103,'Data shares'!$C:$FB,66)</f>
        <v>16862250</v>
      </c>
      <c r="E103" s="49">
        <f>VLOOKUP($A103,'Data shares'!$C:$FB,67)</f>
        <v>35386200</v>
      </c>
      <c r="F103" s="50">
        <f>VLOOKUP($A103,'Data shares'!$C:$FB,69)*100</f>
        <v>-52.349999999999994</v>
      </c>
      <c r="G103" s="49">
        <f>VLOOKUP($A103,'Data shares'!$C:$FB,42)</f>
        <v>1723350</v>
      </c>
      <c r="H103" s="49">
        <f>VLOOKUP($A103,'Data shares'!$C:$FB,43)</f>
        <v>4845150</v>
      </c>
      <c r="I103" s="50">
        <f>VLOOKUP($A103,'Data shares'!$C:$FB,45)*100</f>
        <v>-64.429999999999993</v>
      </c>
      <c r="J103" s="49">
        <f>VLOOKUP($A103,'Data shares'!$C:$FB,58)</f>
        <v>8722050</v>
      </c>
      <c r="K103" s="49">
        <f>VLOOKUP($A103,'Data shares'!$C:$FB,59)</f>
        <v>19748850</v>
      </c>
      <c r="L103" s="50">
        <f>VLOOKUP($A103,'Data shares'!$C:$FB,61)*100</f>
        <v>-55.84</v>
      </c>
      <c r="M103" s="49">
        <f>VLOOKUP($A103,'Data shares'!$C:$FB,62)</f>
        <v>6416850</v>
      </c>
      <c r="N103" s="49">
        <f>VLOOKUP($A103,'Data shares'!$C:$FB,63)</f>
        <v>10792200</v>
      </c>
      <c r="O103" s="140">
        <f>VLOOKUP($A103,'Data shares'!$C:$FB,65)*100</f>
        <v>-40.54</v>
      </c>
    </row>
    <row r="104" spans="1:15" x14ac:dyDescent="0.25">
      <c r="A104" s="101" t="str">
        <f>'Data Vlaue (Cr)'!C99</f>
        <v>INDUSINDBK</v>
      </c>
      <c r="B104" s="50">
        <f>VLOOKUP($A104,'Data shares'!$C:$FB,7)</f>
        <v>814.55</v>
      </c>
      <c r="C104" s="50">
        <f>VLOOKUP($A104,'Data shares'!$C:$FB,10)*100</f>
        <v>-2.56</v>
      </c>
      <c r="D104" s="49">
        <f>VLOOKUP($A104,'Data shares'!$C:$FB,66)</f>
        <v>17656100</v>
      </c>
      <c r="E104" s="49">
        <f>VLOOKUP($A104,'Data shares'!$C:$FB,67)</f>
        <v>23842000</v>
      </c>
      <c r="F104" s="50">
        <f>VLOOKUP($A104,'Data shares'!$C:$FB,69)*100</f>
        <v>-25.95</v>
      </c>
      <c r="G104" s="49">
        <f>VLOOKUP($A104,'Data shares'!$C:$FB,42)</f>
        <v>5892600</v>
      </c>
      <c r="H104" s="49">
        <f>VLOOKUP($A104,'Data shares'!$C:$FB,43)</f>
        <v>6698300</v>
      </c>
      <c r="I104" s="50">
        <f>VLOOKUP($A104,'Data shares'!$C:$FB,45)*100</f>
        <v>-12.030000000000001</v>
      </c>
      <c r="J104" s="49">
        <f>VLOOKUP($A104,'Data shares'!$C:$FB,58)</f>
        <v>6895000</v>
      </c>
      <c r="K104" s="49">
        <f>VLOOKUP($A104,'Data shares'!$C:$FB,59)</f>
        <v>9394700</v>
      </c>
      <c r="L104" s="50">
        <f>VLOOKUP($A104,'Data shares'!$C:$FB,61)*100</f>
        <v>-26.61</v>
      </c>
      <c r="M104" s="49">
        <f>VLOOKUP($A104,'Data shares'!$C:$FB,62)</f>
        <v>4868500</v>
      </c>
      <c r="N104" s="49">
        <f>VLOOKUP($A104,'Data shares'!$C:$FB,63)</f>
        <v>7749000</v>
      </c>
      <c r="O104" s="140">
        <f>VLOOKUP($A104,'Data shares'!$C:$FB,65)*100</f>
        <v>-37.169999999999995</v>
      </c>
    </row>
    <row r="105" spans="1:15" x14ac:dyDescent="0.25">
      <c r="A105" s="101" t="str">
        <f>'Data Vlaue (Cr)'!C100</f>
        <v>INDUSTOWER</v>
      </c>
      <c r="B105" s="50">
        <f>VLOOKUP($A105,'Data shares'!$C:$FB,7)</f>
        <v>438.45</v>
      </c>
      <c r="C105" s="50">
        <f>VLOOKUP($A105,'Data shares'!$C:$FB,10)*100</f>
        <v>-0.57000000000000006</v>
      </c>
      <c r="D105" s="49">
        <f>VLOOKUP($A105,'Data shares'!$C:$FB,66)</f>
        <v>35326000</v>
      </c>
      <c r="E105" s="49">
        <f>VLOOKUP($A105,'Data shares'!$C:$FB,67)</f>
        <v>51647700</v>
      </c>
      <c r="F105" s="50">
        <f>VLOOKUP($A105,'Data shares'!$C:$FB,69)*100</f>
        <v>-31.6</v>
      </c>
      <c r="G105" s="49">
        <f>VLOOKUP($A105,'Data shares'!$C:$FB,42)</f>
        <v>8576500</v>
      </c>
      <c r="H105" s="49">
        <f>VLOOKUP($A105,'Data shares'!$C:$FB,43)</f>
        <v>11417200</v>
      </c>
      <c r="I105" s="50">
        <f>VLOOKUP($A105,'Data shares'!$C:$FB,45)*100</f>
        <v>-24.88</v>
      </c>
      <c r="J105" s="49">
        <f>VLOOKUP($A105,'Data shares'!$C:$FB,58)</f>
        <v>19390200</v>
      </c>
      <c r="K105" s="49">
        <f>VLOOKUP($A105,'Data shares'!$C:$FB,59)</f>
        <v>27954800</v>
      </c>
      <c r="L105" s="50">
        <f>VLOOKUP($A105,'Data shares'!$C:$FB,61)*100</f>
        <v>-30.64</v>
      </c>
      <c r="M105" s="49">
        <f>VLOOKUP($A105,'Data shares'!$C:$FB,62)</f>
        <v>7359300</v>
      </c>
      <c r="N105" s="49">
        <f>VLOOKUP($A105,'Data shares'!$C:$FB,63)</f>
        <v>12275700</v>
      </c>
      <c r="O105" s="140">
        <f>VLOOKUP($A105,'Data shares'!$C:$FB,65)*100</f>
        <v>-40.050000000000004</v>
      </c>
    </row>
    <row r="106" spans="1:15" x14ac:dyDescent="0.25">
      <c r="A106" s="101" t="str">
        <f>'Data Vlaue (Cr)'!C101</f>
        <v>INFY</v>
      </c>
      <c r="B106" s="50">
        <f>VLOOKUP($A106,'Data shares'!$C:$FB,7)</f>
        <v>1331.6</v>
      </c>
      <c r="C106" s="50">
        <f>VLOOKUP($A106,'Data shares'!$C:$FB,10)*100</f>
        <v>-1.08</v>
      </c>
      <c r="D106" s="49">
        <f>VLOOKUP($A106,'Data shares'!$C:$FB,66)</f>
        <v>49219200</v>
      </c>
      <c r="E106" s="49">
        <f>VLOOKUP($A106,'Data shares'!$C:$FB,67)</f>
        <v>58544800</v>
      </c>
      <c r="F106" s="50">
        <f>VLOOKUP($A106,'Data shares'!$C:$FB,69)*100</f>
        <v>-15.93</v>
      </c>
      <c r="G106" s="49">
        <f>VLOOKUP($A106,'Data shares'!$C:$FB,42)</f>
        <v>11685200</v>
      </c>
      <c r="H106" s="49">
        <f>VLOOKUP($A106,'Data shares'!$C:$FB,43)</f>
        <v>13163600</v>
      </c>
      <c r="I106" s="50">
        <f>VLOOKUP($A106,'Data shares'!$C:$FB,45)*100</f>
        <v>-11.23</v>
      </c>
      <c r="J106" s="49">
        <f>VLOOKUP($A106,'Data shares'!$C:$FB,58)</f>
        <v>24494000</v>
      </c>
      <c r="K106" s="49">
        <f>VLOOKUP($A106,'Data shares'!$C:$FB,59)</f>
        <v>30969600</v>
      </c>
      <c r="L106" s="50">
        <f>VLOOKUP($A106,'Data shares'!$C:$FB,61)*100</f>
        <v>-20.91</v>
      </c>
      <c r="M106" s="49">
        <f>VLOOKUP($A106,'Data shares'!$C:$FB,62)</f>
        <v>13040000</v>
      </c>
      <c r="N106" s="49">
        <f>VLOOKUP($A106,'Data shares'!$C:$FB,63)</f>
        <v>14411600</v>
      </c>
      <c r="O106" s="140">
        <f>VLOOKUP($A106,'Data shares'!$C:$FB,65)*100</f>
        <v>-9.5200000000000014</v>
      </c>
    </row>
    <row r="107" spans="1:15" x14ac:dyDescent="0.25">
      <c r="A107" s="101" t="str">
        <f>'Data Vlaue (Cr)'!C102</f>
        <v>INOXWIND</v>
      </c>
      <c r="B107" s="50">
        <f>VLOOKUP($A107,'Data shares'!$C:$FB,7)</f>
        <v>85.39</v>
      </c>
      <c r="C107" s="50">
        <f>VLOOKUP($A107,'Data shares'!$C:$FB,10)*100</f>
        <v>-1.29</v>
      </c>
      <c r="D107" s="49">
        <f>VLOOKUP($A107,'Data shares'!$C:$FB,66)</f>
        <v>23959650</v>
      </c>
      <c r="E107" s="49">
        <f>VLOOKUP($A107,'Data shares'!$C:$FB,67)</f>
        <v>44748275</v>
      </c>
      <c r="F107" s="50">
        <f>VLOOKUP($A107,'Data shares'!$C:$FB,69)*100</f>
        <v>-46.46</v>
      </c>
      <c r="G107" s="49">
        <f>VLOOKUP($A107,'Data shares'!$C:$FB,42)</f>
        <v>9638200</v>
      </c>
      <c r="H107" s="49">
        <f>VLOOKUP($A107,'Data shares'!$C:$FB,43)</f>
        <v>12526800</v>
      </c>
      <c r="I107" s="50">
        <f>VLOOKUP($A107,'Data shares'!$C:$FB,45)*100</f>
        <v>-23.06</v>
      </c>
      <c r="J107" s="49">
        <f>VLOOKUP($A107,'Data shares'!$C:$FB,58)</f>
        <v>9684675</v>
      </c>
      <c r="K107" s="49">
        <f>VLOOKUP($A107,'Data shares'!$C:$FB,59)</f>
        <v>21542950</v>
      </c>
      <c r="L107" s="50">
        <f>VLOOKUP($A107,'Data shares'!$C:$FB,61)*100</f>
        <v>-55.04</v>
      </c>
      <c r="M107" s="49">
        <f>VLOOKUP($A107,'Data shares'!$C:$FB,62)</f>
        <v>4636775</v>
      </c>
      <c r="N107" s="49">
        <f>VLOOKUP($A107,'Data shares'!$C:$FB,63)</f>
        <v>10678525</v>
      </c>
      <c r="O107" s="140">
        <f>VLOOKUP($A107,'Data shares'!$C:$FB,65)*100</f>
        <v>-56.58</v>
      </c>
    </row>
    <row r="108" spans="1:15" x14ac:dyDescent="0.25">
      <c r="A108" s="101" t="str">
        <f>'Data Vlaue (Cr)'!C103</f>
        <v>IOC</v>
      </c>
      <c r="B108" s="50">
        <f>VLOOKUP($A108,'Data shares'!$C:$FB,7)</f>
        <v>141.66999999999999</v>
      </c>
      <c r="C108" s="50">
        <f>VLOOKUP($A108,'Data shares'!$C:$FB,10)*100</f>
        <v>-1.17</v>
      </c>
      <c r="D108" s="49">
        <f>VLOOKUP($A108,'Data shares'!$C:$FB,66)</f>
        <v>86355750</v>
      </c>
      <c r="E108" s="49">
        <f>VLOOKUP($A108,'Data shares'!$C:$FB,67)</f>
        <v>257448750</v>
      </c>
      <c r="F108" s="50">
        <f>VLOOKUP($A108,'Data shares'!$C:$FB,69)*100</f>
        <v>-66.459999999999994</v>
      </c>
      <c r="G108" s="49">
        <f>VLOOKUP($A108,'Data shares'!$C:$FB,42)</f>
        <v>17462250</v>
      </c>
      <c r="H108" s="49">
        <f>VLOOKUP($A108,'Data shares'!$C:$FB,43)</f>
        <v>46541625</v>
      </c>
      <c r="I108" s="50">
        <f>VLOOKUP($A108,'Data shares'!$C:$FB,45)*100</f>
        <v>-62.480000000000004</v>
      </c>
      <c r="J108" s="49">
        <f>VLOOKUP($A108,'Data shares'!$C:$FB,58)</f>
        <v>41525250</v>
      </c>
      <c r="K108" s="49">
        <f>VLOOKUP($A108,'Data shares'!$C:$FB,59)</f>
        <v>153708750</v>
      </c>
      <c r="L108" s="50">
        <f>VLOOKUP($A108,'Data shares'!$C:$FB,61)*100</f>
        <v>-72.98</v>
      </c>
      <c r="M108" s="49">
        <f>VLOOKUP($A108,'Data shares'!$C:$FB,62)</f>
        <v>27368250</v>
      </c>
      <c r="N108" s="49">
        <f>VLOOKUP($A108,'Data shares'!$C:$FB,63)</f>
        <v>57198375</v>
      </c>
      <c r="O108" s="140">
        <f>VLOOKUP($A108,'Data shares'!$C:$FB,65)*100</f>
        <v>-52.15</v>
      </c>
    </row>
    <row r="109" spans="1:15" x14ac:dyDescent="0.25">
      <c r="A109" s="101" t="str">
        <f>'Data Vlaue (Cr)'!C104</f>
        <v>IREDA</v>
      </c>
      <c r="B109" s="50">
        <f>VLOOKUP($A109,'Data shares'!$C:$FB,7)</f>
        <v>123.13</v>
      </c>
      <c r="C109" s="50">
        <f>VLOOKUP($A109,'Data shares'!$C:$FB,10)*100</f>
        <v>0.54999999999999993</v>
      </c>
      <c r="D109" s="49">
        <f>VLOOKUP($A109,'Data shares'!$C:$FB,66)</f>
        <v>31639950</v>
      </c>
      <c r="E109" s="49">
        <f>VLOOKUP($A109,'Data shares'!$C:$FB,67)</f>
        <v>52484850</v>
      </c>
      <c r="F109" s="50">
        <f>VLOOKUP($A109,'Data shares'!$C:$FB,69)*100</f>
        <v>-39.72</v>
      </c>
      <c r="G109" s="49">
        <f>VLOOKUP($A109,'Data shares'!$C:$FB,42)</f>
        <v>10267200</v>
      </c>
      <c r="H109" s="49">
        <f>VLOOKUP($A109,'Data shares'!$C:$FB,43)</f>
        <v>16580700</v>
      </c>
      <c r="I109" s="50">
        <f>VLOOKUP($A109,'Data shares'!$C:$FB,45)*100</f>
        <v>-38.080000000000005</v>
      </c>
      <c r="J109" s="49">
        <f>VLOOKUP($A109,'Data shares'!$C:$FB,58)</f>
        <v>14703900</v>
      </c>
      <c r="K109" s="49">
        <f>VLOOKUP($A109,'Data shares'!$C:$FB,59)</f>
        <v>25053900</v>
      </c>
      <c r="L109" s="50">
        <f>VLOOKUP($A109,'Data shares'!$C:$FB,61)*100</f>
        <v>-41.31</v>
      </c>
      <c r="M109" s="49">
        <f>VLOOKUP($A109,'Data shares'!$C:$FB,62)</f>
        <v>6668850</v>
      </c>
      <c r="N109" s="49">
        <f>VLOOKUP($A109,'Data shares'!$C:$FB,63)</f>
        <v>10850250</v>
      </c>
      <c r="O109" s="140">
        <f>VLOOKUP($A109,'Data shares'!$C:$FB,65)*100</f>
        <v>-38.54</v>
      </c>
    </row>
    <row r="110" spans="1:15" x14ac:dyDescent="0.25">
      <c r="A110" s="101" t="str">
        <f>'Data Vlaue (Cr)'!C105</f>
        <v>IRFC</v>
      </c>
      <c r="B110" s="50">
        <f>VLOOKUP($A110,'Data shares'!$C:$FB,7)</f>
        <v>98.49</v>
      </c>
      <c r="C110" s="50">
        <f>VLOOKUP($A110,'Data shares'!$C:$FB,10)*100</f>
        <v>-0.42</v>
      </c>
      <c r="D110" s="49">
        <f>VLOOKUP($A110,'Data shares'!$C:$FB,66)</f>
        <v>49844000</v>
      </c>
      <c r="E110" s="49">
        <f>VLOOKUP($A110,'Data shares'!$C:$FB,67)</f>
        <v>106160750</v>
      </c>
      <c r="F110" s="50">
        <f>VLOOKUP($A110,'Data shares'!$C:$FB,69)*100</f>
        <v>-53.05</v>
      </c>
      <c r="G110" s="49">
        <f>VLOOKUP($A110,'Data shares'!$C:$FB,42)</f>
        <v>8011250</v>
      </c>
      <c r="H110" s="49">
        <f>VLOOKUP($A110,'Data shares'!$C:$FB,43)</f>
        <v>16039500</v>
      </c>
      <c r="I110" s="50">
        <f>VLOOKUP($A110,'Data shares'!$C:$FB,45)*100</f>
        <v>-50.05</v>
      </c>
      <c r="J110" s="49">
        <f>VLOOKUP($A110,'Data shares'!$C:$FB,58)</f>
        <v>29835000</v>
      </c>
      <c r="K110" s="49">
        <f>VLOOKUP($A110,'Data shares'!$C:$FB,59)</f>
        <v>70465000</v>
      </c>
      <c r="L110" s="50">
        <f>VLOOKUP($A110,'Data shares'!$C:$FB,61)*100</f>
        <v>-57.66</v>
      </c>
      <c r="M110" s="49">
        <f>VLOOKUP($A110,'Data shares'!$C:$FB,62)</f>
        <v>11997750</v>
      </c>
      <c r="N110" s="49">
        <f>VLOOKUP($A110,'Data shares'!$C:$FB,63)</f>
        <v>19656250</v>
      </c>
      <c r="O110" s="140">
        <f>VLOOKUP($A110,'Data shares'!$C:$FB,65)*100</f>
        <v>-38.96</v>
      </c>
    </row>
    <row r="111" spans="1:15" x14ac:dyDescent="0.25">
      <c r="A111" s="101" t="str">
        <f>'Data Vlaue (Cr)'!C106</f>
        <v>ITC</v>
      </c>
      <c r="B111" s="50">
        <f>VLOOKUP($A111,'Data shares'!$C:$FB,7)</f>
        <v>303</v>
      </c>
      <c r="C111" s="50">
        <f>VLOOKUP($A111,'Data shares'!$C:$FB,10)*100</f>
        <v>0.18</v>
      </c>
      <c r="D111" s="49">
        <f>VLOOKUP($A111,'Data shares'!$C:$FB,66)</f>
        <v>106142400</v>
      </c>
      <c r="E111" s="49">
        <f>VLOOKUP($A111,'Data shares'!$C:$FB,67)</f>
        <v>143833600</v>
      </c>
      <c r="F111" s="50">
        <f>VLOOKUP($A111,'Data shares'!$C:$FB,69)*100</f>
        <v>-26.200000000000003</v>
      </c>
      <c r="G111" s="49">
        <f>VLOOKUP($A111,'Data shares'!$C:$FB,42)</f>
        <v>10537600</v>
      </c>
      <c r="H111" s="49">
        <f>VLOOKUP($A111,'Data shares'!$C:$FB,43)</f>
        <v>19593600</v>
      </c>
      <c r="I111" s="50">
        <f>VLOOKUP($A111,'Data shares'!$C:$FB,45)*100</f>
        <v>-46.22</v>
      </c>
      <c r="J111" s="49">
        <f>VLOOKUP($A111,'Data shares'!$C:$FB,58)</f>
        <v>69985600</v>
      </c>
      <c r="K111" s="49">
        <f>VLOOKUP($A111,'Data shares'!$C:$FB,59)</f>
        <v>82990400</v>
      </c>
      <c r="L111" s="50">
        <f>VLOOKUP($A111,'Data shares'!$C:$FB,61)*100</f>
        <v>-15.67</v>
      </c>
      <c r="M111" s="49">
        <f>VLOOKUP($A111,'Data shares'!$C:$FB,62)</f>
        <v>25619200</v>
      </c>
      <c r="N111" s="49">
        <f>VLOOKUP($A111,'Data shares'!$C:$FB,63)</f>
        <v>41249600</v>
      </c>
      <c r="O111" s="140">
        <f>VLOOKUP($A111,'Data shares'!$C:$FB,65)*100</f>
        <v>-37.89</v>
      </c>
    </row>
    <row r="112" spans="1:15" x14ac:dyDescent="0.25">
      <c r="A112" s="101" t="str">
        <f>'Data Vlaue (Cr)'!C107</f>
        <v>JINDALSTEL</v>
      </c>
      <c r="B112" s="50">
        <f>VLOOKUP($A112,'Data shares'!$C:$FB,7)</f>
        <v>1199.5999999999999</v>
      </c>
      <c r="C112" s="50">
        <f>VLOOKUP($A112,'Data shares'!$C:$FB,10)*100</f>
        <v>-1.1100000000000001</v>
      </c>
      <c r="D112" s="49">
        <f>VLOOKUP($A112,'Data shares'!$C:$FB,66)</f>
        <v>8274375</v>
      </c>
      <c r="E112" s="49">
        <f>VLOOKUP($A112,'Data shares'!$C:$FB,67)</f>
        <v>12269375</v>
      </c>
      <c r="F112" s="50">
        <f>VLOOKUP($A112,'Data shares'!$C:$FB,69)*100</f>
        <v>-32.56</v>
      </c>
      <c r="G112" s="49">
        <f>VLOOKUP($A112,'Data shares'!$C:$FB,42)</f>
        <v>2267500</v>
      </c>
      <c r="H112" s="49">
        <f>VLOOKUP($A112,'Data shares'!$C:$FB,43)</f>
        <v>3913125</v>
      </c>
      <c r="I112" s="50">
        <f>VLOOKUP($A112,'Data shares'!$C:$FB,45)*100</f>
        <v>-42.05</v>
      </c>
      <c r="J112" s="49">
        <f>VLOOKUP($A112,'Data shares'!$C:$FB,58)</f>
        <v>3070625</v>
      </c>
      <c r="K112" s="49">
        <f>VLOOKUP($A112,'Data shares'!$C:$FB,59)</f>
        <v>5179375</v>
      </c>
      <c r="L112" s="50">
        <f>VLOOKUP($A112,'Data shares'!$C:$FB,61)*100</f>
        <v>-40.71</v>
      </c>
      <c r="M112" s="49">
        <f>VLOOKUP($A112,'Data shares'!$C:$FB,62)</f>
        <v>2936250</v>
      </c>
      <c r="N112" s="49">
        <f>VLOOKUP($A112,'Data shares'!$C:$FB,63)</f>
        <v>3176875</v>
      </c>
      <c r="O112" s="140">
        <f>VLOOKUP($A112,'Data shares'!$C:$FB,65)*100</f>
        <v>-7.57</v>
      </c>
    </row>
    <row r="113" spans="1:15" x14ac:dyDescent="0.25">
      <c r="A113" s="101" t="str">
        <f>'Data Vlaue (Cr)'!C108</f>
        <v>JIOFIN</v>
      </c>
      <c r="B113" s="50">
        <f>VLOOKUP($A113,'Data shares'!$C:$FB,7)</f>
        <v>238.84</v>
      </c>
      <c r="C113" s="50">
        <f>VLOOKUP($A113,'Data shares'!$C:$FB,10)*100</f>
        <v>-3.25</v>
      </c>
      <c r="D113" s="49">
        <f>VLOOKUP($A113,'Data shares'!$C:$FB,66)</f>
        <v>75761650</v>
      </c>
      <c r="E113" s="49">
        <f>VLOOKUP($A113,'Data shares'!$C:$FB,67)</f>
        <v>90691200</v>
      </c>
      <c r="F113" s="50">
        <f>VLOOKUP($A113,'Data shares'!$C:$FB,69)*100</f>
        <v>-16.46</v>
      </c>
      <c r="G113" s="49">
        <f>VLOOKUP($A113,'Data shares'!$C:$FB,42)</f>
        <v>18374650</v>
      </c>
      <c r="H113" s="49">
        <f>VLOOKUP($A113,'Data shares'!$C:$FB,43)</f>
        <v>18788250</v>
      </c>
      <c r="I113" s="50">
        <f>VLOOKUP($A113,'Data shares'!$C:$FB,45)*100</f>
        <v>-2.1999999999999997</v>
      </c>
      <c r="J113" s="49">
        <f>VLOOKUP($A113,'Data shares'!$C:$FB,58)</f>
        <v>36831550</v>
      </c>
      <c r="K113" s="49">
        <f>VLOOKUP($A113,'Data shares'!$C:$FB,59)</f>
        <v>48337150</v>
      </c>
      <c r="L113" s="50">
        <f>VLOOKUP($A113,'Data shares'!$C:$FB,61)*100</f>
        <v>-23.799999999999997</v>
      </c>
      <c r="M113" s="49">
        <f>VLOOKUP($A113,'Data shares'!$C:$FB,62)</f>
        <v>20555450</v>
      </c>
      <c r="N113" s="49">
        <f>VLOOKUP($A113,'Data shares'!$C:$FB,63)</f>
        <v>23565800</v>
      </c>
      <c r="O113" s="140">
        <f>VLOOKUP($A113,'Data shares'!$C:$FB,65)*100</f>
        <v>-12.770000000000001</v>
      </c>
    </row>
    <row r="114" spans="1:15" x14ac:dyDescent="0.25">
      <c r="A114" s="101" t="str">
        <f>'Data Vlaue (Cr)'!C109</f>
        <v>JSWENERGY</v>
      </c>
      <c r="B114" s="50">
        <f>VLOOKUP($A114,'Data shares'!$C:$FB,7)</f>
        <v>489.15</v>
      </c>
      <c r="C114" s="50">
        <f>VLOOKUP($A114,'Data shares'!$C:$FB,10)*100</f>
        <v>-2.5700000000000003</v>
      </c>
      <c r="D114" s="49">
        <f>VLOOKUP($A114,'Data shares'!$C:$FB,66)</f>
        <v>15889000</v>
      </c>
      <c r="E114" s="49">
        <f>VLOOKUP($A114,'Data shares'!$C:$FB,67)</f>
        <v>11589000</v>
      </c>
      <c r="F114" s="50">
        <f>VLOOKUP($A114,'Data shares'!$C:$FB,69)*100</f>
        <v>37.1</v>
      </c>
      <c r="G114" s="49">
        <f>VLOOKUP($A114,'Data shares'!$C:$FB,42)</f>
        <v>3599000</v>
      </c>
      <c r="H114" s="49">
        <f>VLOOKUP($A114,'Data shares'!$C:$FB,43)</f>
        <v>2888000</v>
      </c>
      <c r="I114" s="50">
        <f>VLOOKUP($A114,'Data shares'!$C:$FB,45)*100</f>
        <v>24.62</v>
      </c>
      <c r="J114" s="49">
        <f>VLOOKUP($A114,'Data shares'!$C:$FB,58)</f>
        <v>9266000</v>
      </c>
      <c r="K114" s="49">
        <f>VLOOKUP($A114,'Data shares'!$C:$FB,59)</f>
        <v>6405000</v>
      </c>
      <c r="L114" s="50">
        <f>VLOOKUP($A114,'Data shares'!$C:$FB,61)*100</f>
        <v>44.67</v>
      </c>
      <c r="M114" s="49">
        <f>VLOOKUP($A114,'Data shares'!$C:$FB,62)</f>
        <v>3024000</v>
      </c>
      <c r="N114" s="49">
        <f>VLOOKUP($A114,'Data shares'!$C:$FB,63)</f>
        <v>2296000</v>
      </c>
      <c r="O114" s="140">
        <f>VLOOKUP($A114,'Data shares'!$C:$FB,65)*100</f>
        <v>31.71</v>
      </c>
    </row>
    <row r="115" spans="1:15" x14ac:dyDescent="0.25">
      <c r="A115" s="101" t="str">
        <f>'Data Vlaue (Cr)'!C110</f>
        <v>JSWSTEEL</v>
      </c>
      <c r="B115" s="50">
        <f>VLOOKUP($A115,'Data shares'!$C:$FB,7)</f>
        <v>1209.7</v>
      </c>
      <c r="C115" s="50">
        <f>VLOOKUP($A115,'Data shares'!$C:$FB,10)*100</f>
        <v>1.29</v>
      </c>
      <c r="D115" s="49">
        <f>VLOOKUP($A115,'Data shares'!$C:$FB,66)</f>
        <v>14635350</v>
      </c>
      <c r="E115" s="49">
        <f>VLOOKUP($A115,'Data shares'!$C:$FB,67)</f>
        <v>16347150</v>
      </c>
      <c r="F115" s="50">
        <f>VLOOKUP($A115,'Data shares'!$C:$FB,69)*100</f>
        <v>-10.47</v>
      </c>
      <c r="G115" s="49">
        <f>VLOOKUP($A115,'Data shares'!$C:$FB,42)</f>
        <v>3559950</v>
      </c>
      <c r="H115" s="49">
        <f>VLOOKUP($A115,'Data shares'!$C:$FB,43)</f>
        <v>3882600</v>
      </c>
      <c r="I115" s="50">
        <f>VLOOKUP($A115,'Data shares'!$C:$FB,45)*100</f>
        <v>-8.3099999999999987</v>
      </c>
      <c r="J115" s="49">
        <f>VLOOKUP($A115,'Data shares'!$C:$FB,58)</f>
        <v>6980850</v>
      </c>
      <c r="K115" s="49">
        <f>VLOOKUP($A115,'Data shares'!$C:$FB,59)</f>
        <v>6567750</v>
      </c>
      <c r="L115" s="50">
        <f>VLOOKUP($A115,'Data shares'!$C:$FB,61)*100</f>
        <v>6.29</v>
      </c>
      <c r="M115" s="49">
        <f>VLOOKUP($A115,'Data shares'!$C:$FB,62)</f>
        <v>4094550</v>
      </c>
      <c r="N115" s="49">
        <f>VLOOKUP($A115,'Data shares'!$C:$FB,63)</f>
        <v>5896800</v>
      </c>
      <c r="O115" s="140">
        <f>VLOOKUP($A115,'Data shares'!$C:$FB,65)*100</f>
        <v>-30.56</v>
      </c>
    </row>
    <row r="116" spans="1:15" x14ac:dyDescent="0.25">
      <c r="A116" s="101" t="str">
        <f>'Data Vlaue (Cr)'!C111</f>
        <v>JUBLFOOD</v>
      </c>
      <c r="B116" s="50">
        <f>VLOOKUP($A116,'Data shares'!$C:$FB,7)</f>
        <v>427.85</v>
      </c>
      <c r="C116" s="50">
        <f>VLOOKUP($A116,'Data shares'!$C:$FB,10)*100</f>
        <v>-1.81</v>
      </c>
      <c r="D116" s="49">
        <f>VLOOKUP($A116,'Data shares'!$C:$FB,66)</f>
        <v>26938750</v>
      </c>
      <c r="E116" s="49">
        <f>VLOOKUP($A116,'Data shares'!$C:$FB,67)</f>
        <v>81215000</v>
      </c>
      <c r="F116" s="50">
        <f>VLOOKUP($A116,'Data shares'!$C:$FB,69)*100</f>
        <v>-66.83</v>
      </c>
      <c r="G116" s="49">
        <f>VLOOKUP($A116,'Data shares'!$C:$FB,42)</f>
        <v>6851250</v>
      </c>
      <c r="H116" s="49">
        <f>VLOOKUP($A116,'Data shares'!$C:$FB,43)</f>
        <v>19241250</v>
      </c>
      <c r="I116" s="50">
        <f>VLOOKUP($A116,'Data shares'!$C:$FB,45)*100</f>
        <v>-64.39</v>
      </c>
      <c r="J116" s="49">
        <f>VLOOKUP($A116,'Data shares'!$C:$FB,58)</f>
        <v>13752500</v>
      </c>
      <c r="K116" s="49">
        <f>VLOOKUP($A116,'Data shares'!$C:$FB,59)</f>
        <v>39722500</v>
      </c>
      <c r="L116" s="50">
        <f>VLOOKUP($A116,'Data shares'!$C:$FB,61)*100</f>
        <v>-65.38000000000001</v>
      </c>
      <c r="M116" s="49">
        <f>VLOOKUP($A116,'Data shares'!$C:$FB,62)</f>
        <v>6335000</v>
      </c>
      <c r="N116" s="49">
        <f>VLOOKUP($A116,'Data shares'!$C:$FB,63)</f>
        <v>22251250</v>
      </c>
      <c r="O116" s="140">
        <f>VLOOKUP($A116,'Data shares'!$C:$FB,65)*100</f>
        <v>-71.53</v>
      </c>
    </row>
    <row r="117" spans="1:15" x14ac:dyDescent="0.25">
      <c r="A117" s="101" t="str">
        <f>'Data Vlaue (Cr)'!C112</f>
        <v>KALYANKJIL</v>
      </c>
      <c r="B117" s="50">
        <f>VLOOKUP($A117,'Data shares'!$C:$FB,7)</f>
        <v>446.1</v>
      </c>
      <c r="C117" s="50">
        <f>VLOOKUP($A117,'Data shares'!$C:$FB,10)*100</f>
        <v>0.12</v>
      </c>
      <c r="D117" s="49">
        <f>VLOOKUP($A117,'Data shares'!$C:$FB,66)</f>
        <v>17834150</v>
      </c>
      <c r="E117" s="49">
        <f>VLOOKUP($A117,'Data shares'!$C:$FB,67)</f>
        <v>42782925</v>
      </c>
      <c r="F117" s="50">
        <f>VLOOKUP($A117,'Data shares'!$C:$FB,69)*100</f>
        <v>-58.309999999999995</v>
      </c>
      <c r="G117" s="49">
        <f>VLOOKUP($A117,'Data shares'!$C:$FB,42)</f>
        <v>3208925</v>
      </c>
      <c r="H117" s="49">
        <f>VLOOKUP($A117,'Data shares'!$C:$FB,43)</f>
        <v>6858475</v>
      </c>
      <c r="I117" s="50">
        <f>VLOOKUP($A117,'Data shares'!$C:$FB,45)*100</f>
        <v>-53.21</v>
      </c>
      <c r="J117" s="49">
        <f>VLOOKUP($A117,'Data shares'!$C:$FB,58)</f>
        <v>9066300</v>
      </c>
      <c r="K117" s="49">
        <f>VLOOKUP($A117,'Data shares'!$C:$FB,59)</f>
        <v>26992100</v>
      </c>
      <c r="L117" s="50">
        <f>VLOOKUP($A117,'Data shares'!$C:$FB,61)*100</f>
        <v>-66.41</v>
      </c>
      <c r="M117" s="49">
        <f>VLOOKUP($A117,'Data shares'!$C:$FB,62)</f>
        <v>5558925</v>
      </c>
      <c r="N117" s="49">
        <f>VLOOKUP($A117,'Data shares'!$C:$FB,63)</f>
        <v>8932350</v>
      </c>
      <c r="O117" s="140">
        <f>VLOOKUP($A117,'Data shares'!$C:$FB,65)*100</f>
        <v>-37.769999999999996</v>
      </c>
    </row>
    <row r="118" spans="1:15" x14ac:dyDescent="0.25">
      <c r="A118" s="101" t="str">
        <f>'Data Vlaue (Cr)'!C113</f>
        <v>KAYNES</v>
      </c>
      <c r="B118" s="50">
        <f>VLOOKUP($A118,'Data shares'!$C:$FB,7)</f>
        <v>3851.5</v>
      </c>
      <c r="C118" s="50">
        <f>VLOOKUP($A118,'Data shares'!$C:$FB,10)*100</f>
        <v>-1.53</v>
      </c>
      <c r="D118" s="49">
        <f>VLOOKUP($A118,'Data shares'!$C:$FB,66)</f>
        <v>4856300</v>
      </c>
      <c r="E118" s="49">
        <f>VLOOKUP($A118,'Data shares'!$C:$FB,67)</f>
        <v>6022600</v>
      </c>
      <c r="F118" s="50">
        <f>VLOOKUP($A118,'Data shares'!$C:$FB,69)*100</f>
        <v>-19.37</v>
      </c>
      <c r="G118" s="49">
        <f>VLOOKUP($A118,'Data shares'!$C:$FB,42)</f>
        <v>1302900</v>
      </c>
      <c r="H118" s="49">
        <f>VLOOKUP($A118,'Data shares'!$C:$FB,43)</f>
        <v>1356400</v>
      </c>
      <c r="I118" s="50">
        <f>VLOOKUP($A118,'Data shares'!$C:$FB,45)*100</f>
        <v>-3.94</v>
      </c>
      <c r="J118" s="49">
        <f>VLOOKUP($A118,'Data shares'!$C:$FB,58)</f>
        <v>2488200</v>
      </c>
      <c r="K118" s="49">
        <f>VLOOKUP($A118,'Data shares'!$C:$FB,59)</f>
        <v>3366600</v>
      </c>
      <c r="L118" s="50">
        <f>VLOOKUP($A118,'Data shares'!$C:$FB,61)*100</f>
        <v>-26.090000000000003</v>
      </c>
      <c r="M118" s="49">
        <f>VLOOKUP($A118,'Data shares'!$C:$FB,62)</f>
        <v>1065200</v>
      </c>
      <c r="N118" s="49">
        <f>VLOOKUP($A118,'Data shares'!$C:$FB,63)</f>
        <v>1299600</v>
      </c>
      <c r="O118" s="140">
        <f>VLOOKUP($A118,'Data shares'!$C:$FB,65)*100</f>
        <v>-18.04</v>
      </c>
    </row>
    <row r="119" spans="1:15" x14ac:dyDescent="0.25">
      <c r="A119" s="101" t="str">
        <f>'Data Vlaue (Cr)'!C114</f>
        <v>KEI</v>
      </c>
      <c r="B119" s="50">
        <f>VLOOKUP($A119,'Data shares'!$C:$FB,7)</f>
        <v>4416.8999999999996</v>
      </c>
      <c r="C119" s="50">
        <f>VLOOKUP($A119,'Data shares'!$C:$FB,10)*100</f>
        <v>-2</v>
      </c>
      <c r="D119" s="49">
        <f>VLOOKUP($A119,'Data shares'!$C:$FB,66)</f>
        <v>1259825</v>
      </c>
      <c r="E119" s="49">
        <f>VLOOKUP($A119,'Data shares'!$C:$FB,67)</f>
        <v>2113300</v>
      </c>
      <c r="F119" s="50">
        <f>VLOOKUP($A119,'Data shares'!$C:$FB,69)*100</f>
        <v>-40.39</v>
      </c>
      <c r="G119" s="49">
        <f>VLOOKUP($A119,'Data shares'!$C:$FB,42)</f>
        <v>378525</v>
      </c>
      <c r="H119" s="49">
        <f>VLOOKUP($A119,'Data shares'!$C:$FB,43)</f>
        <v>753025</v>
      </c>
      <c r="I119" s="50">
        <f>VLOOKUP($A119,'Data shares'!$C:$FB,45)*100</f>
        <v>-49.730000000000004</v>
      </c>
      <c r="J119" s="49">
        <f>VLOOKUP($A119,'Data shares'!$C:$FB,58)</f>
        <v>609525</v>
      </c>
      <c r="K119" s="49">
        <f>VLOOKUP($A119,'Data shares'!$C:$FB,59)</f>
        <v>980175</v>
      </c>
      <c r="L119" s="50">
        <f>VLOOKUP($A119,'Data shares'!$C:$FB,61)*100</f>
        <v>-37.81</v>
      </c>
      <c r="M119" s="49">
        <f>VLOOKUP($A119,'Data shares'!$C:$FB,62)</f>
        <v>271775</v>
      </c>
      <c r="N119" s="49">
        <f>VLOOKUP($A119,'Data shares'!$C:$FB,63)</f>
        <v>380100</v>
      </c>
      <c r="O119" s="140">
        <f>VLOOKUP($A119,'Data shares'!$C:$FB,65)*100</f>
        <v>-28.499999999999996</v>
      </c>
    </row>
    <row r="120" spans="1:15" x14ac:dyDescent="0.25">
      <c r="A120" s="101" t="str">
        <f>'Data Vlaue (Cr)'!C115</f>
        <v>KFINTECH</v>
      </c>
      <c r="B120" s="50">
        <f>VLOOKUP($A120,'Data shares'!$C:$FB,7)</f>
        <v>892.25</v>
      </c>
      <c r="C120" s="50">
        <f>VLOOKUP($A120,'Data shares'!$C:$FB,10)*100</f>
        <v>-2.9499999999999997</v>
      </c>
      <c r="D120" s="49">
        <f>VLOOKUP($A120,'Data shares'!$C:$FB,66)</f>
        <v>4599000</v>
      </c>
      <c r="E120" s="49">
        <f>VLOOKUP($A120,'Data shares'!$C:$FB,67)</f>
        <v>5647000</v>
      </c>
      <c r="F120" s="50">
        <f>VLOOKUP($A120,'Data shares'!$C:$FB,69)*100</f>
        <v>-18.559999999999999</v>
      </c>
      <c r="G120" s="49">
        <f>VLOOKUP($A120,'Data shares'!$C:$FB,42)</f>
        <v>1678500</v>
      </c>
      <c r="H120" s="49">
        <f>VLOOKUP($A120,'Data shares'!$C:$FB,43)</f>
        <v>2414000</v>
      </c>
      <c r="I120" s="50">
        <f>VLOOKUP($A120,'Data shares'!$C:$FB,45)*100</f>
        <v>-30.470000000000002</v>
      </c>
      <c r="J120" s="49">
        <f>VLOOKUP($A120,'Data shares'!$C:$FB,58)</f>
        <v>2343500</v>
      </c>
      <c r="K120" s="49">
        <f>VLOOKUP($A120,'Data shares'!$C:$FB,59)</f>
        <v>2351000</v>
      </c>
      <c r="L120" s="50">
        <f>VLOOKUP($A120,'Data shares'!$C:$FB,61)*100</f>
        <v>-0.32</v>
      </c>
      <c r="M120" s="49">
        <f>VLOOKUP($A120,'Data shares'!$C:$FB,62)</f>
        <v>577000</v>
      </c>
      <c r="N120" s="49">
        <f>VLOOKUP($A120,'Data shares'!$C:$FB,63)</f>
        <v>882000</v>
      </c>
      <c r="O120" s="140">
        <f>VLOOKUP($A120,'Data shares'!$C:$FB,65)*100</f>
        <v>-34.58</v>
      </c>
    </row>
    <row r="121" spans="1:15" x14ac:dyDescent="0.25">
      <c r="A121" s="101" t="str">
        <f>'Data Vlaue (Cr)'!C116</f>
        <v>KOTAKBANK</v>
      </c>
      <c r="B121" s="50">
        <f>VLOOKUP($A121,'Data shares'!$C:$FB,7)</f>
        <v>371.9</v>
      </c>
      <c r="C121" s="50">
        <f>VLOOKUP($A121,'Data shares'!$C:$FB,10)*100</f>
        <v>-2.17</v>
      </c>
      <c r="D121" s="49">
        <f>VLOOKUP($A121,'Data shares'!$C:$FB,66)</f>
        <v>48634000</v>
      </c>
      <c r="E121" s="49">
        <f>VLOOKUP($A121,'Data shares'!$C:$FB,67)</f>
        <v>93896000</v>
      </c>
      <c r="F121" s="50">
        <f>VLOOKUP($A121,'Data shares'!$C:$FB,69)*100</f>
        <v>-48.199999999999996</v>
      </c>
      <c r="G121" s="49">
        <f>VLOOKUP($A121,'Data shares'!$C:$FB,42)</f>
        <v>13746000</v>
      </c>
      <c r="H121" s="49">
        <f>VLOOKUP($A121,'Data shares'!$C:$FB,43)</f>
        <v>30336000</v>
      </c>
      <c r="I121" s="50">
        <f>VLOOKUP($A121,'Data shares'!$C:$FB,45)*100</f>
        <v>-54.690000000000005</v>
      </c>
      <c r="J121" s="49">
        <f>VLOOKUP($A121,'Data shares'!$C:$FB,58)</f>
        <v>20696000</v>
      </c>
      <c r="K121" s="49">
        <f>VLOOKUP($A121,'Data shares'!$C:$FB,59)</f>
        <v>37538000</v>
      </c>
      <c r="L121" s="50">
        <f>VLOOKUP($A121,'Data shares'!$C:$FB,61)*100</f>
        <v>-44.87</v>
      </c>
      <c r="M121" s="49">
        <f>VLOOKUP($A121,'Data shares'!$C:$FB,62)</f>
        <v>14192000</v>
      </c>
      <c r="N121" s="49">
        <f>VLOOKUP($A121,'Data shares'!$C:$FB,63)</f>
        <v>26022000</v>
      </c>
      <c r="O121" s="140">
        <f>VLOOKUP($A121,'Data shares'!$C:$FB,65)*100</f>
        <v>-45.46</v>
      </c>
    </row>
    <row r="122" spans="1:15" x14ac:dyDescent="0.25">
      <c r="A122" s="101" t="str">
        <f>'Data Vlaue (Cr)'!C117</f>
        <v>KPITTECH</v>
      </c>
      <c r="B122" s="50">
        <f>VLOOKUP($A122,'Data shares'!$C:$FB,7)</f>
        <v>716.05</v>
      </c>
      <c r="C122" s="50">
        <f>VLOOKUP($A122,'Data shares'!$C:$FB,10)*100</f>
        <v>-0.71000000000000008</v>
      </c>
      <c r="D122" s="49">
        <f>VLOOKUP($A122,'Data shares'!$C:$FB,66)</f>
        <v>5369450</v>
      </c>
      <c r="E122" s="49">
        <f>VLOOKUP($A122,'Data shares'!$C:$FB,67)</f>
        <v>8583725</v>
      </c>
      <c r="F122" s="50">
        <f>VLOOKUP($A122,'Data shares'!$C:$FB,69)*100</f>
        <v>-37.450000000000003</v>
      </c>
      <c r="G122" s="49">
        <f>VLOOKUP($A122,'Data shares'!$C:$FB,42)</f>
        <v>1425875</v>
      </c>
      <c r="H122" s="49">
        <f>VLOOKUP($A122,'Data shares'!$C:$FB,43)</f>
        <v>2045100</v>
      </c>
      <c r="I122" s="50">
        <f>VLOOKUP($A122,'Data shares'!$C:$FB,45)*100</f>
        <v>-30.28</v>
      </c>
      <c r="J122" s="49">
        <f>VLOOKUP($A122,'Data shares'!$C:$FB,58)</f>
        <v>2727650</v>
      </c>
      <c r="K122" s="49">
        <f>VLOOKUP($A122,'Data shares'!$C:$FB,59)</f>
        <v>4926600</v>
      </c>
      <c r="L122" s="50">
        <f>VLOOKUP($A122,'Data shares'!$C:$FB,61)*100</f>
        <v>-44.629999999999995</v>
      </c>
      <c r="M122" s="49">
        <f>VLOOKUP($A122,'Data shares'!$C:$FB,62)</f>
        <v>1215925</v>
      </c>
      <c r="N122" s="49">
        <f>VLOOKUP($A122,'Data shares'!$C:$FB,63)</f>
        <v>1612025</v>
      </c>
      <c r="O122" s="140">
        <f>VLOOKUP($A122,'Data shares'!$C:$FB,65)*100</f>
        <v>-24.57</v>
      </c>
    </row>
    <row r="123" spans="1:15" x14ac:dyDescent="0.25">
      <c r="A123" s="101" t="str">
        <f>'Data Vlaue (Cr)'!C118</f>
        <v>LAURUSLABS</v>
      </c>
      <c r="B123" s="50">
        <f>VLOOKUP($A123,'Data shares'!$C:$FB,7)</f>
        <v>1083.7</v>
      </c>
      <c r="C123" s="50">
        <f>VLOOKUP($A123,'Data shares'!$C:$FB,10)*100</f>
        <v>0.12</v>
      </c>
      <c r="D123" s="49">
        <f>VLOOKUP($A123,'Data shares'!$C:$FB,66)</f>
        <v>7419650</v>
      </c>
      <c r="E123" s="49">
        <f>VLOOKUP($A123,'Data shares'!$C:$FB,67)</f>
        <v>11337300</v>
      </c>
      <c r="F123" s="50">
        <f>VLOOKUP($A123,'Data shares'!$C:$FB,69)*100</f>
        <v>-34.56</v>
      </c>
      <c r="G123" s="49">
        <f>VLOOKUP($A123,'Data shares'!$C:$FB,42)</f>
        <v>1767150</v>
      </c>
      <c r="H123" s="49">
        <f>VLOOKUP($A123,'Data shares'!$C:$FB,43)</f>
        <v>3151800</v>
      </c>
      <c r="I123" s="50">
        <f>VLOOKUP($A123,'Data shares'!$C:$FB,45)*100</f>
        <v>-43.93</v>
      </c>
      <c r="J123" s="49">
        <f>VLOOKUP($A123,'Data shares'!$C:$FB,58)</f>
        <v>3473100</v>
      </c>
      <c r="K123" s="49">
        <f>VLOOKUP($A123,'Data shares'!$C:$FB,59)</f>
        <v>4817800</v>
      </c>
      <c r="L123" s="50">
        <f>VLOOKUP($A123,'Data shares'!$C:$FB,61)*100</f>
        <v>-27.91</v>
      </c>
      <c r="M123" s="49">
        <f>VLOOKUP($A123,'Data shares'!$C:$FB,62)</f>
        <v>2179400</v>
      </c>
      <c r="N123" s="49">
        <f>VLOOKUP($A123,'Data shares'!$C:$FB,63)</f>
        <v>3367700</v>
      </c>
      <c r="O123" s="140">
        <f>VLOOKUP($A123,'Data shares'!$C:$FB,65)*100</f>
        <v>-35.29</v>
      </c>
    </row>
    <row r="124" spans="1:15" x14ac:dyDescent="0.25">
      <c r="A124" s="101" t="str">
        <f>'Data Vlaue (Cr)'!C119</f>
        <v>LICHSGFIN</v>
      </c>
      <c r="B124" s="50">
        <f>VLOOKUP($A124,'Data shares'!$C:$FB,7)</f>
        <v>532.29999999999995</v>
      </c>
      <c r="C124" s="50">
        <f>VLOOKUP($A124,'Data shares'!$C:$FB,10)*100</f>
        <v>0.51</v>
      </c>
      <c r="D124" s="49">
        <f>VLOOKUP($A124,'Data shares'!$C:$FB,66)</f>
        <v>6524000</v>
      </c>
      <c r="E124" s="49">
        <f>VLOOKUP($A124,'Data shares'!$C:$FB,67)</f>
        <v>12872000</v>
      </c>
      <c r="F124" s="50">
        <f>VLOOKUP($A124,'Data shares'!$C:$FB,69)*100</f>
        <v>-49.32</v>
      </c>
      <c r="G124" s="49">
        <f>VLOOKUP($A124,'Data shares'!$C:$FB,42)</f>
        <v>1605000</v>
      </c>
      <c r="H124" s="49">
        <f>VLOOKUP($A124,'Data shares'!$C:$FB,43)</f>
        <v>3462000</v>
      </c>
      <c r="I124" s="50">
        <f>VLOOKUP($A124,'Data shares'!$C:$FB,45)*100</f>
        <v>-53.64</v>
      </c>
      <c r="J124" s="49">
        <f>VLOOKUP($A124,'Data shares'!$C:$FB,58)</f>
        <v>3275000</v>
      </c>
      <c r="K124" s="49">
        <f>VLOOKUP($A124,'Data shares'!$C:$FB,59)</f>
        <v>6632000</v>
      </c>
      <c r="L124" s="50">
        <f>VLOOKUP($A124,'Data shares'!$C:$FB,61)*100</f>
        <v>-50.62</v>
      </c>
      <c r="M124" s="49">
        <f>VLOOKUP($A124,'Data shares'!$C:$FB,62)</f>
        <v>1644000</v>
      </c>
      <c r="N124" s="49">
        <f>VLOOKUP($A124,'Data shares'!$C:$FB,63)</f>
        <v>2778000</v>
      </c>
      <c r="O124" s="140">
        <f>VLOOKUP($A124,'Data shares'!$C:$FB,65)*100</f>
        <v>-40.82</v>
      </c>
    </row>
    <row r="125" spans="1:15" x14ac:dyDescent="0.25">
      <c r="A125" s="101" t="str">
        <f>'Data Vlaue (Cr)'!C120</f>
        <v>LICI</v>
      </c>
      <c r="B125" s="50">
        <f>VLOOKUP($A125,'Data shares'!$C:$FB,7)</f>
        <v>793.4</v>
      </c>
      <c r="C125" s="50">
        <f>VLOOKUP($A125,'Data shares'!$C:$FB,10)*100</f>
        <v>-0.04</v>
      </c>
      <c r="D125" s="49">
        <f>VLOOKUP($A125,'Data shares'!$C:$FB,66)</f>
        <v>5873700</v>
      </c>
      <c r="E125" s="49">
        <f>VLOOKUP($A125,'Data shares'!$C:$FB,67)</f>
        <v>18019400</v>
      </c>
      <c r="F125" s="50">
        <f>VLOOKUP($A125,'Data shares'!$C:$FB,69)*100</f>
        <v>-67.400000000000006</v>
      </c>
      <c r="G125" s="49">
        <f>VLOOKUP($A125,'Data shares'!$C:$FB,42)</f>
        <v>1845200</v>
      </c>
      <c r="H125" s="49">
        <f>VLOOKUP($A125,'Data shares'!$C:$FB,43)</f>
        <v>3439800</v>
      </c>
      <c r="I125" s="50">
        <f>VLOOKUP($A125,'Data shares'!$C:$FB,45)*100</f>
        <v>-46.36</v>
      </c>
      <c r="J125" s="49">
        <f>VLOOKUP($A125,'Data shares'!$C:$FB,58)</f>
        <v>2974300</v>
      </c>
      <c r="K125" s="49">
        <f>VLOOKUP($A125,'Data shares'!$C:$FB,59)</f>
        <v>10795400</v>
      </c>
      <c r="L125" s="50">
        <f>VLOOKUP($A125,'Data shares'!$C:$FB,61)*100</f>
        <v>-72.45</v>
      </c>
      <c r="M125" s="49">
        <f>VLOOKUP($A125,'Data shares'!$C:$FB,62)</f>
        <v>1054200</v>
      </c>
      <c r="N125" s="49">
        <f>VLOOKUP($A125,'Data shares'!$C:$FB,63)</f>
        <v>3784200</v>
      </c>
      <c r="O125" s="140">
        <f>VLOOKUP($A125,'Data shares'!$C:$FB,65)*100</f>
        <v>-72.14</v>
      </c>
    </row>
    <row r="126" spans="1:15" x14ac:dyDescent="0.25">
      <c r="A126" s="101" t="str">
        <f>'Data Vlaue (Cr)'!C121</f>
        <v>LODHA</v>
      </c>
      <c r="B126" s="50">
        <f>VLOOKUP($A126,'Data shares'!$C:$FB,7)</f>
        <v>789.55</v>
      </c>
      <c r="C126" s="50">
        <f>VLOOKUP($A126,'Data shares'!$C:$FB,10)*100</f>
        <v>1.37</v>
      </c>
      <c r="D126" s="49">
        <f>VLOOKUP($A126,'Data shares'!$C:$FB,66)</f>
        <v>12150900</v>
      </c>
      <c r="E126" s="49">
        <f>VLOOKUP($A126,'Data shares'!$C:$FB,67)</f>
        <v>26887500</v>
      </c>
      <c r="F126" s="50">
        <f>VLOOKUP($A126,'Data shares'!$C:$FB,69)*100</f>
        <v>-54.81</v>
      </c>
      <c r="G126" s="49">
        <f>VLOOKUP($A126,'Data shares'!$C:$FB,42)</f>
        <v>3725550</v>
      </c>
      <c r="H126" s="49">
        <f>VLOOKUP($A126,'Data shares'!$C:$FB,43)</f>
        <v>6835500</v>
      </c>
      <c r="I126" s="50">
        <f>VLOOKUP($A126,'Data shares'!$C:$FB,45)*100</f>
        <v>-45.5</v>
      </c>
      <c r="J126" s="49">
        <f>VLOOKUP($A126,'Data shares'!$C:$FB,58)</f>
        <v>5516100</v>
      </c>
      <c r="K126" s="49">
        <f>VLOOKUP($A126,'Data shares'!$C:$FB,59)</f>
        <v>12346200</v>
      </c>
      <c r="L126" s="50">
        <f>VLOOKUP($A126,'Data shares'!$C:$FB,61)*100</f>
        <v>-55.32</v>
      </c>
      <c r="M126" s="49">
        <f>VLOOKUP($A126,'Data shares'!$C:$FB,62)</f>
        <v>2909250</v>
      </c>
      <c r="N126" s="49">
        <f>VLOOKUP($A126,'Data shares'!$C:$FB,63)</f>
        <v>7705800</v>
      </c>
      <c r="O126" s="140">
        <f>VLOOKUP($A126,'Data shares'!$C:$FB,65)*100</f>
        <v>-62.250000000000007</v>
      </c>
    </row>
    <row r="127" spans="1:15" x14ac:dyDescent="0.25">
      <c r="A127" s="101" t="str">
        <f>'Data Vlaue (Cr)'!C122</f>
        <v>LT</v>
      </c>
      <c r="B127" s="50">
        <f>VLOOKUP($A127,'Data shares'!$C:$FB,7)</f>
        <v>3896.2</v>
      </c>
      <c r="C127" s="50">
        <f>VLOOKUP($A127,'Data shares'!$C:$FB,10)*100</f>
        <v>-2.74</v>
      </c>
      <c r="D127" s="49">
        <f>VLOOKUP($A127,'Data shares'!$C:$FB,66)</f>
        <v>20488125</v>
      </c>
      <c r="E127" s="49">
        <f>VLOOKUP($A127,'Data shares'!$C:$FB,67)</f>
        <v>40191725</v>
      </c>
      <c r="F127" s="50">
        <f>VLOOKUP($A127,'Data shares'!$C:$FB,69)*100</f>
        <v>-49.02</v>
      </c>
      <c r="G127" s="49">
        <f>VLOOKUP($A127,'Data shares'!$C:$FB,42)</f>
        <v>3137050</v>
      </c>
      <c r="H127" s="49">
        <f>VLOOKUP($A127,'Data shares'!$C:$FB,43)</f>
        <v>6128850</v>
      </c>
      <c r="I127" s="50">
        <f>VLOOKUP($A127,'Data shares'!$C:$FB,45)*100</f>
        <v>-48.82</v>
      </c>
      <c r="J127" s="49">
        <f>VLOOKUP($A127,'Data shares'!$C:$FB,58)</f>
        <v>11724475</v>
      </c>
      <c r="K127" s="49">
        <f>VLOOKUP($A127,'Data shares'!$C:$FB,59)</f>
        <v>21673050</v>
      </c>
      <c r="L127" s="50">
        <f>VLOOKUP($A127,'Data shares'!$C:$FB,61)*100</f>
        <v>-45.9</v>
      </c>
      <c r="M127" s="49">
        <f>VLOOKUP($A127,'Data shares'!$C:$FB,62)</f>
        <v>5626600</v>
      </c>
      <c r="N127" s="49">
        <f>VLOOKUP($A127,'Data shares'!$C:$FB,63)</f>
        <v>12389825</v>
      </c>
      <c r="O127" s="140">
        <f>VLOOKUP($A127,'Data shares'!$C:$FB,65)*100</f>
        <v>-54.59</v>
      </c>
    </row>
    <row r="128" spans="1:15" x14ac:dyDescent="0.25">
      <c r="A128" s="101" t="str">
        <f>'Data Vlaue (Cr)'!C123</f>
        <v>LTF</v>
      </c>
      <c r="B128" s="50">
        <f>VLOOKUP($A128,'Data shares'!$C:$FB,7)</f>
        <v>272.18</v>
      </c>
      <c r="C128" s="50">
        <f>VLOOKUP($A128,'Data shares'!$C:$FB,10)*100</f>
        <v>-1.1900000000000002</v>
      </c>
      <c r="D128" s="49">
        <f>VLOOKUP($A128,'Data shares'!$C:$FB,66)</f>
        <v>30413250</v>
      </c>
      <c r="E128" s="49">
        <f>VLOOKUP($A128,'Data shares'!$C:$FB,67)</f>
        <v>81508500</v>
      </c>
      <c r="F128" s="50">
        <f>VLOOKUP($A128,'Data shares'!$C:$FB,69)*100</f>
        <v>-62.69</v>
      </c>
      <c r="G128" s="49">
        <f>VLOOKUP($A128,'Data shares'!$C:$FB,42)</f>
        <v>8633250</v>
      </c>
      <c r="H128" s="49">
        <f>VLOOKUP($A128,'Data shares'!$C:$FB,43)</f>
        <v>17181000</v>
      </c>
      <c r="I128" s="50">
        <f>VLOOKUP($A128,'Data shares'!$C:$FB,45)*100</f>
        <v>-49.75</v>
      </c>
      <c r="J128" s="49">
        <f>VLOOKUP($A128,'Data shares'!$C:$FB,58)</f>
        <v>13959000</v>
      </c>
      <c r="K128" s="49">
        <f>VLOOKUP($A128,'Data shares'!$C:$FB,59)</f>
        <v>45661500</v>
      </c>
      <c r="L128" s="50">
        <f>VLOOKUP($A128,'Data shares'!$C:$FB,61)*100</f>
        <v>-69.430000000000007</v>
      </c>
      <c r="M128" s="49">
        <f>VLOOKUP($A128,'Data shares'!$C:$FB,62)</f>
        <v>7821000</v>
      </c>
      <c r="N128" s="49">
        <f>VLOOKUP($A128,'Data shares'!$C:$FB,63)</f>
        <v>18666000</v>
      </c>
      <c r="O128" s="140">
        <f>VLOOKUP($A128,'Data shares'!$C:$FB,65)*100</f>
        <v>-58.099999999999994</v>
      </c>
    </row>
    <row r="129" spans="1:15" x14ac:dyDescent="0.25">
      <c r="A129" s="101" t="str">
        <f>'Data Vlaue (Cr)'!C124</f>
        <v>LTM</v>
      </c>
      <c r="B129" s="50">
        <f>VLOOKUP($A129,'Data shares'!$C:$FB,7)</f>
        <v>4572</v>
      </c>
      <c r="C129" s="50">
        <f>VLOOKUP($A129,'Data shares'!$C:$FB,10)*100</f>
        <v>1.08</v>
      </c>
      <c r="D129" s="49">
        <f>VLOOKUP($A129,'Data shares'!$C:$FB,66)</f>
        <v>2776500</v>
      </c>
      <c r="E129" s="49">
        <f>VLOOKUP($A129,'Data shares'!$C:$FB,67)</f>
        <v>2824050</v>
      </c>
      <c r="F129" s="50">
        <f>VLOOKUP($A129,'Data shares'!$C:$FB,69)*100</f>
        <v>-1.68</v>
      </c>
      <c r="G129" s="49">
        <f>VLOOKUP($A129,'Data shares'!$C:$FB,42)</f>
        <v>526050</v>
      </c>
      <c r="H129" s="49">
        <f>VLOOKUP($A129,'Data shares'!$C:$FB,43)</f>
        <v>866850</v>
      </c>
      <c r="I129" s="50">
        <f>VLOOKUP($A129,'Data shares'!$C:$FB,45)*100</f>
        <v>-39.31</v>
      </c>
      <c r="J129" s="49">
        <f>VLOOKUP($A129,'Data shares'!$C:$FB,58)</f>
        <v>1681650</v>
      </c>
      <c r="K129" s="49">
        <f>VLOOKUP($A129,'Data shares'!$C:$FB,59)</f>
        <v>1366050</v>
      </c>
      <c r="L129" s="50">
        <f>VLOOKUP($A129,'Data shares'!$C:$FB,61)*100</f>
        <v>23.1</v>
      </c>
      <c r="M129" s="49">
        <f>VLOOKUP($A129,'Data shares'!$C:$FB,62)</f>
        <v>568800</v>
      </c>
      <c r="N129" s="49">
        <f>VLOOKUP($A129,'Data shares'!$C:$FB,63)</f>
        <v>591150</v>
      </c>
      <c r="O129" s="140">
        <f>VLOOKUP($A129,'Data shares'!$C:$FB,65)*100</f>
        <v>-3.7800000000000002</v>
      </c>
    </row>
    <row r="130" spans="1:15" x14ac:dyDescent="0.25">
      <c r="A130" s="101" t="str">
        <f>'Data Vlaue (Cr)'!C125</f>
        <v>LUPIN</v>
      </c>
      <c r="B130" s="50">
        <f>VLOOKUP($A130,'Data shares'!$C:$FB,7)</f>
        <v>2295.1</v>
      </c>
      <c r="C130" s="50">
        <f>VLOOKUP($A130,'Data shares'!$C:$FB,10)*100</f>
        <v>0.04</v>
      </c>
      <c r="D130" s="49">
        <f>VLOOKUP($A130,'Data shares'!$C:$FB,66)</f>
        <v>6162500</v>
      </c>
      <c r="E130" s="49">
        <f>VLOOKUP($A130,'Data shares'!$C:$FB,67)</f>
        <v>7893950</v>
      </c>
      <c r="F130" s="50">
        <f>VLOOKUP($A130,'Data shares'!$C:$FB,69)*100</f>
        <v>-21.93</v>
      </c>
      <c r="G130" s="49">
        <f>VLOOKUP($A130,'Data shares'!$C:$FB,42)</f>
        <v>1442450</v>
      </c>
      <c r="H130" s="49">
        <f>VLOOKUP($A130,'Data shares'!$C:$FB,43)</f>
        <v>1429700</v>
      </c>
      <c r="I130" s="50">
        <f>VLOOKUP($A130,'Data shares'!$C:$FB,45)*100</f>
        <v>0.89</v>
      </c>
      <c r="J130" s="49">
        <f>VLOOKUP($A130,'Data shares'!$C:$FB,58)</f>
        <v>3165825</v>
      </c>
      <c r="K130" s="49">
        <f>VLOOKUP($A130,'Data shares'!$C:$FB,59)</f>
        <v>4322675</v>
      </c>
      <c r="L130" s="50">
        <f>VLOOKUP($A130,'Data shares'!$C:$FB,61)*100</f>
        <v>-26.76</v>
      </c>
      <c r="M130" s="49">
        <f>VLOOKUP($A130,'Data shares'!$C:$FB,62)</f>
        <v>1554225</v>
      </c>
      <c r="N130" s="49">
        <f>VLOOKUP($A130,'Data shares'!$C:$FB,63)</f>
        <v>2141575</v>
      </c>
      <c r="O130" s="140">
        <f>VLOOKUP($A130,'Data shares'!$C:$FB,65)*100</f>
        <v>-27.43</v>
      </c>
    </row>
    <row r="131" spans="1:15" x14ac:dyDescent="0.25">
      <c r="A131" s="101" t="str">
        <f>'Data Vlaue (Cr)'!C126</f>
        <v>M&amp;M</v>
      </c>
      <c r="B131" s="50">
        <f>VLOOKUP($A131,'Data shares'!$C:$FB,7)</f>
        <v>3166.8</v>
      </c>
      <c r="C131" s="50">
        <f>VLOOKUP($A131,'Data shares'!$C:$FB,10)*100</f>
        <v>-1.35</v>
      </c>
      <c r="D131" s="49">
        <f>VLOOKUP($A131,'Data shares'!$C:$FB,66)</f>
        <v>9769400</v>
      </c>
      <c r="E131" s="49">
        <f>VLOOKUP($A131,'Data shares'!$C:$FB,67)</f>
        <v>18564800</v>
      </c>
      <c r="F131" s="50">
        <f>VLOOKUP($A131,'Data shares'!$C:$FB,69)*100</f>
        <v>-47.38</v>
      </c>
      <c r="G131" s="49">
        <f>VLOOKUP($A131,'Data shares'!$C:$FB,42)</f>
        <v>1885000</v>
      </c>
      <c r="H131" s="49">
        <f>VLOOKUP($A131,'Data shares'!$C:$FB,43)</f>
        <v>3080800</v>
      </c>
      <c r="I131" s="50">
        <f>VLOOKUP($A131,'Data shares'!$C:$FB,45)*100</f>
        <v>-38.81</v>
      </c>
      <c r="J131" s="49">
        <f>VLOOKUP($A131,'Data shares'!$C:$FB,58)</f>
        <v>4941200</v>
      </c>
      <c r="K131" s="49">
        <f>VLOOKUP($A131,'Data shares'!$C:$FB,59)</f>
        <v>10560400</v>
      </c>
      <c r="L131" s="50">
        <f>VLOOKUP($A131,'Data shares'!$C:$FB,61)*100</f>
        <v>-53.21</v>
      </c>
      <c r="M131" s="49">
        <f>VLOOKUP($A131,'Data shares'!$C:$FB,62)</f>
        <v>2943200</v>
      </c>
      <c r="N131" s="49">
        <f>VLOOKUP($A131,'Data shares'!$C:$FB,63)</f>
        <v>4923600</v>
      </c>
      <c r="O131" s="140">
        <f>VLOOKUP($A131,'Data shares'!$C:$FB,65)*100</f>
        <v>-40.22</v>
      </c>
    </row>
    <row r="132" spans="1:15" x14ac:dyDescent="0.25">
      <c r="A132" s="101" t="str">
        <f>'Data Vlaue (Cr)'!C127</f>
        <v>MANAPPURAM</v>
      </c>
      <c r="B132" s="50">
        <f>VLOOKUP($A132,'Data shares'!$C:$FB,7)</f>
        <v>262.95</v>
      </c>
      <c r="C132" s="50">
        <f>VLOOKUP($A132,'Data shares'!$C:$FB,10)*100</f>
        <v>-2.4500000000000002</v>
      </c>
      <c r="D132" s="49">
        <f>VLOOKUP($A132,'Data shares'!$C:$FB,66)</f>
        <v>16026000</v>
      </c>
      <c r="E132" s="49">
        <f>VLOOKUP($A132,'Data shares'!$C:$FB,67)</f>
        <v>54174000</v>
      </c>
      <c r="F132" s="50">
        <f>VLOOKUP($A132,'Data shares'!$C:$FB,69)*100</f>
        <v>-70.42</v>
      </c>
      <c r="G132" s="49">
        <f>VLOOKUP($A132,'Data shares'!$C:$FB,42)</f>
        <v>5445000</v>
      </c>
      <c r="H132" s="49">
        <f>VLOOKUP($A132,'Data shares'!$C:$FB,43)</f>
        <v>14673000</v>
      </c>
      <c r="I132" s="50">
        <f>VLOOKUP($A132,'Data shares'!$C:$FB,45)*100</f>
        <v>-62.89</v>
      </c>
      <c r="J132" s="49">
        <f>VLOOKUP($A132,'Data shares'!$C:$FB,58)</f>
        <v>8259000</v>
      </c>
      <c r="K132" s="49">
        <f>VLOOKUP($A132,'Data shares'!$C:$FB,59)</f>
        <v>30156000</v>
      </c>
      <c r="L132" s="50">
        <f>VLOOKUP($A132,'Data shares'!$C:$FB,61)*100</f>
        <v>-72.61</v>
      </c>
      <c r="M132" s="49">
        <f>VLOOKUP($A132,'Data shares'!$C:$FB,62)</f>
        <v>2322000</v>
      </c>
      <c r="N132" s="49">
        <f>VLOOKUP($A132,'Data shares'!$C:$FB,63)</f>
        <v>9345000</v>
      </c>
      <c r="O132" s="140">
        <f>VLOOKUP($A132,'Data shares'!$C:$FB,65)*100</f>
        <v>-75.149999999999991</v>
      </c>
    </row>
    <row r="133" spans="1:15" x14ac:dyDescent="0.25">
      <c r="A133" s="101" t="str">
        <f>'Data Vlaue (Cr)'!C128</f>
        <v>MANKIND</v>
      </c>
      <c r="B133" s="50">
        <f>VLOOKUP($A133,'Data shares'!$C:$FB,7)</f>
        <v>2054.1999999999998</v>
      </c>
      <c r="C133" s="50">
        <f>VLOOKUP($A133,'Data shares'!$C:$FB,10)*100</f>
        <v>0.6</v>
      </c>
      <c r="D133" s="49">
        <f>VLOOKUP($A133,'Data shares'!$C:$FB,66)</f>
        <v>942300</v>
      </c>
      <c r="E133" s="49">
        <f>VLOOKUP($A133,'Data shares'!$C:$FB,67)</f>
        <v>1843425</v>
      </c>
      <c r="F133" s="50">
        <f>VLOOKUP($A133,'Data shares'!$C:$FB,69)*100</f>
        <v>-48.88</v>
      </c>
      <c r="G133" s="49">
        <f>VLOOKUP($A133,'Data shares'!$C:$FB,42)</f>
        <v>238500</v>
      </c>
      <c r="H133" s="49">
        <f>VLOOKUP($A133,'Data shares'!$C:$FB,43)</f>
        <v>350100</v>
      </c>
      <c r="I133" s="50">
        <f>VLOOKUP($A133,'Data shares'!$C:$FB,45)*100</f>
        <v>-31.879999999999995</v>
      </c>
      <c r="J133" s="49">
        <f>VLOOKUP($A133,'Data shares'!$C:$FB,58)</f>
        <v>536625</v>
      </c>
      <c r="K133" s="49">
        <f>VLOOKUP($A133,'Data shares'!$C:$FB,59)</f>
        <v>1044675</v>
      </c>
      <c r="L133" s="50">
        <f>VLOOKUP($A133,'Data shares'!$C:$FB,61)*100</f>
        <v>-48.63</v>
      </c>
      <c r="M133" s="49">
        <f>VLOOKUP($A133,'Data shares'!$C:$FB,62)</f>
        <v>167175</v>
      </c>
      <c r="N133" s="49">
        <f>VLOOKUP($A133,'Data shares'!$C:$FB,63)</f>
        <v>448650</v>
      </c>
      <c r="O133" s="140">
        <f>VLOOKUP($A133,'Data shares'!$C:$FB,65)*100</f>
        <v>-62.739999999999995</v>
      </c>
    </row>
    <row r="134" spans="1:15" x14ac:dyDescent="0.25">
      <c r="A134" s="101" t="str">
        <f>'Data Vlaue (Cr)'!C129</f>
        <v>MARICO</v>
      </c>
      <c r="B134" s="50">
        <f>VLOOKUP($A134,'Data shares'!$C:$FB,7)</f>
        <v>747.35</v>
      </c>
      <c r="C134" s="50">
        <f>VLOOKUP($A134,'Data shares'!$C:$FB,10)*100</f>
        <v>-0.01</v>
      </c>
      <c r="D134" s="49">
        <f>VLOOKUP($A134,'Data shares'!$C:$FB,66)</f>
        <v>6644400</v>
      </c>
      <c r="E134" s="49">
        <f>VLOOKUP($A134,'Data shares'!$C:$FB,67)</f>
        <v>21955200</v>
      </c>
      <c r="F134" s="50">
        <f>VLOOKUP($A134,'Data shares'!$C:$FB,69)*100</f>
        <v>-69.740000000000009</v>
      </c>
      <c r="G134" s="49">
        <f>VLOOKUP($A134,'Data shares'!$C:$FB,42)</f>
        <v>1650000</v>
      </c>
      <c r="H134" s="49">
        <f>VLOOKUP($A134,'Data shares'!$C:$FB,43)</f>
        <v>5498400</v>
      </c>
      <c r="I134" s="50">
        <f>VLOOKUP($A134,'Data shares'!$C:$FB,45)*100</f>
        <v>-69.989999999999995</v>
      </c>
      <c r="J134" s="49">
        <f>VLOOKUP($A134,'Data shares'!$C:$FB,58)</f>
        <v>3747600</v>
      </c>
      <c r="K134" s="49">
        <f>VLOOKUP($A134,'Data shares'!$C:$FB,59)</f>
        <v>10546800</v>
      </c>
      <c r="L134" s="50">
        <f>VLOOKUP($A134,'Data shares'!$C:$FB,61)*100</f>
        <v>-64.47</v>
      </c>
      <c r="M134" s="49">
        <f>VLOOKUP($A134,'Data shares'!$C:$FB,62)</f>
        <v>1246800</v>
      </c>
      <c r="N134" s="49">
        <f>VLOOKUP($A134,'Data shares'!$C:$FB,63)</f>
        <v>5910000</v>
      </c>
      <c r="O134" s="140">
        <f>VLOOKUP($A134,'Data shares'!$C:$FB,65)*100</f>
        <v>-78.900000000000006</v>
      </c>
    </row>
    <row r="135" spans="1:15" x14ac:dyDescent="0.25">
      <c r="A135" s="101" t="str">
        <f>'Data Vlaue (Cr)'!C130</f>
        <v>MARUTI</v>
      </c>
      <c r="B135" s="50">
        <f>VLOOKUP($A135,'Data shares'!$C:$FB,7)</f>
        <v>13589</v>
      </c>
      <c r="C135" s="50">
        <f>VLOOKUP($A135,'Data shares'!$C:$FB,10)*100</f>
        <v>-0.1</v>
      </c>
      <c r="D135" s="49">
        <f>VLOOKUP($A135,'Data shares'!$C:$FB,66)</f>
        <v>5992900</v>
      </c>
      <c r="E135" s="49">
        <f>VLOOKUP($A135,'Data shares'!$C:$FB,67)</f>
        <v>7886150</v>
      </c>
      <c r="F135" s="50">
        <f>VLOOKUP($A135,'Data shares'!$C:$FB,69)*100</f>
        <v>-24.01</v>
      </c>
      <c r="G135" s="49">
        <f>VLOOKUP($A135,'Data shares'!$C:$FB,42)</f>
        <v>767850</v>
      </c>
      <c r="H135" s="49">
        <f>VLOOKUP($A135,'Data shares'!$C:$FB,43)</f>
        <v>1052550</v>
      </c>
      <c r="I135" s="50">
        <f>VLOOKUP($A135,'Data shares'!$C:$FB,45)*100</f>
        <v>-27.05</v>
      </c>
      <c r="J135" s="49">
        <f>VLOOKUP($A135,'Data shares'!$C:$FB,58)</f>
        <v>3407650</v>
      </c>
      <c r="K135" s="49">
        <f>VLOOKUP($A135,'Data shares'!$C:$FB,59)</f>
        <v>4424050</v>
      </c>
      <c r="L135" s="50">
        <f>VLOOKUP($A135,'Data shares'!$C:$FB,61)*100</f>
        <v>-22.97</v>
      </c>
      <c r="M135" s="49">
        <f>VLOOKUP($A135,'Data shares'!$C:$FB,62)</f>
        <v>1817400</v>
      </c>
      <c r="N135" s="49">
        <f>VLOOKUP($A135,'Data shares'!$C:$FB,63)</f>
        <v>2409550</v>
      </c>
      <c r="O135" s="140">
        <f>VLOOKUP($A135,'Data shares'!$C:$FB,65)*100</f>
        <v>-24.58</v>
      </c>
    </row>
    <row r="136" spans="1:15" x14ac:dyDescent="0.25">
      <c r="A136" s="101" t="str">
        <f>'Data Vlaue (Cr)'!C131</f>
        <v>MAXHEALTH</v>
      </c>
      <c r="B136" s="50">
        <f>VLOOKUP($A136,'Data shares'!$C:$FB,7)</f>
        <v>954.95</v>
      </c>
      <c r="C136" s="50">
        <f>VLOOKUP($A136,'Data shares'!$C:$FB,10)*100</f>
        <v>1.47</v>
      </c>
      <c r="D136" s="49">
        <f>VLOOKUP($A136,'Data shares'!$C:$FB,66)</f>
        <v>10305225</v>
      </c>
      <c r="E136" s="49">
        <f>VLOOKUP($A136,'Data shares'!$C:$FB,67)</f>
        <v>8839950</v>
      </c>
      <c r="F136" s="50">
        <f>VLOOKUP($A136,'Data shares'!$C:$FB,69)*100</f>
        <v>16.580000000000002</v>
      </c>
      <c r="G136" s="49">
        <f>VLOOKUP($A136,'Data shares'!$C:$FB,42)</f>
        <v>2625000</v>
      </c>
      <c r="H136" s="49">
        <f>VLOOKUP($A136,'Data shares'!$C:$FB,43)</f>
        <v>2429700</v>
      </c>
      <c r="I136" s="50">
        <f>VLOOKUP($A136,'Data shares'!$C:$FB,45)*100</f>
        <v>8.0399999999999991</v>
      </c>
      <c r="J136" s="49">
        <f>VLOOKUP($A136,'Data shares'!$C:$FB,58)</f>
        <v>6087900</v>
      </c>
      <c r="K136" s="49">
        <f>VLOOKUP($A136,'Data shares'!$C:$FB,59)</f>
        <v>4285050</v>
      </c>
      <c r="L136" s="50">
        <f>VLOOKUP($A136,'Data shares'!$C:$FB,61)*100</f>
        <v>42.07</v>
      </c>
      <c r="M136" s="49">
        <f>VLOOKUP($A136,'Data shares'!$C:$FB,62)</f>
        <v>1592325</v>
      </c>
      <c r="N136" s="49">
        <f>VLOOKUP($A136,'Data shares'!$C:$FB,63)</f>
        <v>2125200</v>
      </c>
      <c r="O136" s="140">
        <f>VLOOKUP($A136,'Data shares'!$C:$FB,65)*100</f>
        <v>-25.069999999999997</v>
      </c>
    </row>
    <row r="137" spans="1:15" x14ac:dyDescent="0.25">
      <c r="A137" s="101" t="str">
        <f>'Data Vlaue (Cr)'!C132</f>
        <v>MAZDOCK</v>
      </c>
      <c r="B137" s="50">
        <f>VLOOKUP($A137,'Data shares'!$C:$FB,7)</f>
        <v>2435.5</v>
      </c>
      <c r="C137" s="50">
        <f>VLOOKUP($A137,'Data shares'!$C:$FB,10)*100</f>
        <v>1.69</v>
      </c>
      <c r="D137" s="49">
        <f>VLOOKUP($A137,'Data shares'!$C:$FB,66)</f>
        <v>13184000</v>
      </c>
      <c r="E137" s="49">
        <f>VLOOKUP($A137,'Data shares'!$C:$FB,67)</f>
        <v>5856000</v>
      </c>
      <c r="F137" s="50">
        <f>VLOOKUP($A137,'Data shares'!$C:$FB,69)*100</f>
        <v>125.14</v>
      </c>
      <c r="G137" s="49">
        <f>VLOOKUP($A137,'Data shares'!$C:$FB,42)</f>
        <v>1262800</v>
      </c>
      <c r="H137" s="49">
        <f>VLOOKUP($A137,'Data shares'!$C:$FB,43)</f>
        <v>849600</v>
      </c>
      <c r="I137" s="50">
        <f>VLOOKUP($A137,'Data shares'!$C:$FB,45)*100</f>
        <v>48.63</v>
      </c>
      <c r="J137" s="49">
        <f>VLOOKUP($A137,'Data shares'!$C:$FB,58)</f>
        <v>9019400</v>
      </c>
      <c r="K137" s="49">
        <f>VLOOKUP($A137,'Data shares'!$C:$FB,59)</f>
        <v>3534600</v>
      </c>
      <c r="L137" s="50">
        <f>VLOOKUP($A137,'Data shares'!$C:$FB,61)*100</f>
        <v>155.17000000000002</v>
      </c>
      <c r="M137" s="49">
        <f>VLOOKUP($A137,'Data shares'!$C:$FB,62)</f>
        <v>2901800</v>
      </c>
      <c r="N137" s="49">
        <f>VLOOKUP($A137,'Data shares'!$C:$FB,63)</f>
        <v>1471800</v>
      </c>
      <c r="O137" s="140">
        <f>VLOOKUP($A137,'Data shares'!$C:$FB,65)*100</f>
        <v>97.16</v>
      </c>
    </row>
    <row r="138" spans="1:15" x14ac:dyDescent="0.25">
      <c r="A138" s="101" t="str">
        <f>'Data Vlaue (Cr)'!C133</f>
        <v>MCX</v>
      </c>
      <c r="B138" s="50">
        <f>VLOOKUP($A138,'Data shares'!$C:$FB,7)</f>
        <v>2657.5</v>
      </c>
      <c r="C138" s="50">
        <f>VLOOKUP($A138,'Data shares'!$C:$FB,10)*100</f>
        <v>2.36</v>
      </c>
      <c r="D138" s="49">
        <f>VLOOKUP($A138,'Data shares'!$C:$FB,66)</f>
        <v>24997500</v>
      </c>
      <c r="E138" s="49">
        <f>VLOOKUP($A138,'Data shares'!$C:$FB,67)</f>
        <v>28677500</v>
      </c>
      <c r="F138" s="50">
        <f>VLOOKUP($A138,'Data shares'!$C:$FB,69)*100</f>
        <v>-12.83</v>
      </c>
      <c r="G138" s="49">
        <f>VLOOKUP($A138,'Data shares'!$C:$FB,42)</f>
        <v>3951875</v>
      </c>
      <c r="H138" s="49">
        <f>VLOOKUP($A138,'Data shares'!$C:$FB,43)</f>
        <v>4948750</v>
      </c>
      <c r="I138" s="50">
        <f>VLOOKUP($A138,'Data shares'!$C:$FB,45)*100</f>
        <v>-20.14</v>
      </c>
      <c r="J138" s="49">
        <f>VLOOKUP($A138,'Data shares'!$C:$FB,58)</f>
        <v>13364375</v>
      </c>
      <c r="K138" s="49">
        <f>VLOOKUP($A138,'Data shares'!$C:$FB,59)</f>
        <v>15757500</v>
      </c>
      <c r="L138" s="50">
        <f>VLOOKUP($A138,'Data shares'!$C:$FB,61)*100</f>
        <v>-15.190000000000001</v>
      </c>
      <c r="M138" s="49">
        <f>VLOOKUP($A138,'Data shares'!$C:$FB,62)</f>
        <v>7681250</v>
      </c>
      <c r="N138" s="49">
        <f>VLOOKUP($A138,'Data shares'!$C:$FB,63)</f>
        <v>7971250</v>
      </c>
      <c r="O138" s="140">
        <f>VLOOKUP($A138,'Data shares'!$C:$FB,65)*100</f>
        <v>-3.64</v>
      </c>
    </row>
    <row r="139" spans="1:15" x14ac:dyDescent="0.25">
      <c r="A139" s="101" t="str">
        <f>'Data Vlaue (Cr)'!C134</f>
        <v>MFSL</v>
      </c>
      <c r="B139" s="50">
        <f>VLOOKUP($A139,'Data shares'!$C:$FB,7)</f>
        <v>1607.4</v>
      </c>
      <c r="C139" s="50">
        <f>VLOOKUP($A139,'Data shares'!$C:$FB,10)*100</f>
        <v>1.3</v>
      </c>
      <c r="D139" s="49">
        <f>VLOOKUP($A139,'Data shares'!$C:$FB,66)</f>
        <v>1919200</v>
      </c>
      <c r="E139" s="49">
        <f>VLOOKUP($A139,'Data shares'!$C:$FB,67)</f>
        <v>4159200</v>
      </c>
      <c r="F139" s="50">
        <f>VLOOKUP($A139,'Data shares'!$C:$FB,69)*100</f>
        <v>-53.86</v>
      </c>
      <c r="G139" s="49">
        <f>VLOOKUP($A139,'Data shares'!$C:$FB,42)</f>
        <v>959600</v>
      </c>
      <c r="H139" s="49">
        <f>VLOOKUP($A139,'Data shares'!$C:$FB,43)</f>
        <v>1572400</v>
      </c>
      <c r="I139" s="50">
        <f>VLOOKUP($A139,'Data shares'!$C:$FB,45)*100</f>
        <v>-38.97</v>
      </c>
      <c r="J139" s="49">
        <f>VLOOKUP($A139,'Data shares'!$C:$FB,58)</f>
        <v>620400</v>
      </c>
      <c r="K139" s="49">
        <f>VLOOKUP($A139,'Data shares'!$C:$FB,59)</f>
        <v>1738400</v>
      </c>
      <c r="L139" s="50">
        <f>VLOOKUP($A139,'Data shares'!$C:$FB,61)*100</f>
        <v>-64.31</v>
      </c>
      <c r="M139" s="49">
        <f>VLOOKUP($A139,'Data shares'!$C:$FB,62)</f>
        <v>339200</v>
      </c>
      <c r="N139" s="49">
        <f>VLOOKUP($A139,'Data shares'!$C:$FB,63)</f>
        <v>848400</v>
      </c>
      <c r="O139" s="140">
        <f>VLOOKUP($A139,'Data shares'!$C:$FB,65)*100</f>
        <v>-60.019999999999996</v>
      </c>
    </row>
    <row r="140" spans="1:15" x14ac:dyDescent="0.25">
      <c r="A140" s="101" t="str">
        <f>'Data Vlaue (Cr)'!C135</f>
        <v>MIDCPNIFTY</v>
      </c>
      <c r="B140" s="50">
        <f>VLOOKUP($A140,'Data shares'!$C:$FB,7)</f>
        <v>13207.3</v>
      </c>
      <c r="C140" s="50">
        <f>VLOOKUP($A140,'Data shares'!$C:$FB,10)*100</f>
        <v>-0.1</v>
      </c>
      <c r="D140" s="49">
        <f>VLOOKUP($A140,'Data shares'!$C:$FB,66)</f>
        <v>22427880</v>
      </c>
      <c r="E140" s="49">
        <f>VLOOKUP($A140,'Data shares'!$C:$FB,67)</f>
        <v>21762960</v>
      </c>
      <c r="F140" s="50">
        <f>VLOOKUP($A140,'Data shares'!$C:$FB,69)*100</f>
        <v>3.06</v>
      </c>
      <c r="G140" s="49">
        <f>VLOOKUP($A140,'Data shares'!$C:$FB,42)</f>
        <v>729720</v>
      </c>
      <c r="H140" s="49">
        <f>VLOOKUP($A140,'Data shares'!$C:$FB,43)</f>
        <v>752160</v>
      </c>
      <c r="I140" s="50">
        <f>VLOOKUP($A140,'Data shares'!$C:$FB,45)*100</f>
        <v>-2.98</v>
      </c>
      <c r="J140" s="49">
        <f>VLOOKUP($A140,'Data shares'!$C:$FB,58)</f>
        <v>10582560</v>
      </c>
      <c r="K140" s="49">
        <f>VLOOKUP($A140,'Data shares'!$C:$FB,59)</f>
        <v>9847920</v>
      </c>
      <c r="L140" s="50">
        <f>VLOOKUP($A140,'Data shares'!$C:$FB,61)*100</f>
        <v>7.46</v>
      </c>
      <c r="M140" s="49">
        <f>VLOOKUP($A140,'Data shares'!$C:$FB,62)</f>
        <v>11115600</v>
      </c>
      <c r="N140" s="49">
        <f>VLOOKUP($A140,'Data shares'!$C:$FB,63)</f>
        <v>11162880</v>
      </c>
      <c r="O140" s="140">
        <f>VLOOKUP($A140,'Data shares'!$C:$FB,65)*100</f>
        <v>-0.42</v>
      </c>
    </row>
    <row r="141" spans="1:15" x14ac:dyDescent="0.25">
      <c r="A141" s="101" t="str">
        <f>'Data Vlaue (Cr)'!C136</f>
        <v>MOTHERSON</v>
      </c>
      <c r="B141" s="50">
        <f>VLOOKUP($A141,'Data shares'!$C:$FB,7)</f>
        <v>116.9</v>
      </c>
      <c r="C141" s="50">
        <f>VLOOKUP($A141,'Data shares'!$C:$FB,10)*100</f>
        <v>-1.02</v>
      </c>
      <c r="D141" s="49">
        <f>VLOOKUP($A141,'Data shares'!$C:$FB,66)</f>
        <v>56063400</v>
      </c>
      <c r="E141" s="49">
        <f>VLOOKUP($A141,'Data shares'!$C:$FB,67)</f>
        <v>176129850</v>
      </c>
      <c r="F141" s="50">
        <f>VLOOKUP($A141,'Data shares'!$C:$FB,69)*100</f>
        <v>-68.17</v>
      </c>
      <c r="G141" s="49">
        <f>VLOOKUP($A141,'Data shares'!$C:$FB,42)</f>
        <v>23634450</v>
      </c>
      <c r="H141" s="49">
        <f>VLOOKUP($A141,'Data shares'!$C:$FB,43)</f>
        <v>51758400</v>
      </c>
      <c r="I141" s="50">
        <f>VLOOKUP($A141,'Data shares'!$C:$FB,45)*100</f>
        <v>-54.339999999999996</v>
      </c>
      <c r="J141" s="49">
        <f>VLOOKUP($A141,'Data shares'!$C:$FB,58)</f>
        <v>19741500</v>
      </c>
      <c r="K141" s="49">
        <f>VLOOKUP($A141,'Data shares'!$C:$FB,59)</f>
        <v>80116050</v>
      </c>
      <c r="L141" s="50">
        <f>VLOOKUP($A141,'Data shares'!$C:$FB,61)*100</f>
        <v>-75.36</v>
      </c>
      <c r="M141" s="49">
        <f>VLOOKUP($A141,'Data shares'!$C:$FB,62)</f>
        <v>12687450</v>
      </c>
      <c r="N141" s="49">
        <f>VLOOKUP($A141,'Data shares'!$C:$FB,63)</f>
        <v>44255400</v>
      </c>
      <c r="O141" s="140">
        <f>VLOOKUP($A141,'Data shares'!$C:$FB,65)*100</f>
        <v>-71.33</v>
      </c>
    </row>
    <row r="142" spans="1:15" x14ac:dyDescent="0.25">
      <c r="A142" s="101" t="str">
        <f>'Data Vlaue (Cr)'!C137</f>
        <v>MOTILALOFS</v>
      </c>
      <c r="B142" s="50">
        <f>VLOOKUP($A142,'Data shares'!$C:$FB,7)</f>
        <v>761.15</v>
      </c>
      <c r="C142" s="50">
        <f>VLOOKUP($A142,'Data shares'!$C:$FB,10)*100</f>
        <v>0.5</v>
      </c>
      <c r="D142" s="49">
        <f>VLOOKUP($A142,'Data shares'!$C:$FB,66)</f>
        <v>5318050</v>
      </c>
      <c r="E142" s="49">
        <f>VLOOKUP($A142,'Data shares'!$C:$FB,67)</f>
        <v>3930025</v>
      </c>
      <c r="F142" s="50">
        <f>VLOOKUP($A142,'Data shares'!$C:$FB,69)*100</f>
        <v>35.32</v>
      </c>
      <c r="G142" s="49">
        <f>VLOOKUP($A142,'Data shares'!$C:$FB,42)</f>
        <v>690525</v>
      </c>
      <c r="H142" s="49">
        <f>VLOOKUP($A142,'Data shares'!$C:$FB,43)</f>
        <v>709900</v>
      </c>
      <c r="I142" s="50">
        <f>VLOOKUP($A142,'Data shares'!$C:$FB,45)*100</f>
        <v>-2.73</v>
      </c>
      <c r="J142" s="49">
        <f>VLOOKUP($A142,'Data shares'!$C:$FB,58)</f>
        <v>2337400</v>
      </c>
      <c r="K142" s="49">
        <f>VLOOKUP($A142,'Data shares'!$C:$FB,59)</f>
        <v>1275650</v>
      </c>
      <c r="L142" s="50">
        <f>VLOOKUP($A142,'Data shares'!$C:$FB,61)*100</f>
        <v>83.23</v>
      </c>
      <c r="M142" s="49">
        <f>VLOOKUP($A142,'Data shares'!$C:$FB,62)</f>
        <v>2290125</v>
      </c>
      <c r="N142" s="49">
        <f>VLOOKUP($A142,'Data shares'!$C:$FB,63)</f>
        <v>1944475</v>
      </c>
      <c r="O142" s="140">
        <f>VLOOKUP($A142,'Data shares'!$C:$FB,65)*100</f>
        <v>17.78</v>
      </c>
    </row>
    <row r="143" spans="1:15" x14ac:dyDescent="0.25">
      <c r="A143" s="101" t="str">
        <f>'Data Vlaue (Cr)'!C138</f>
        <v>MPHASIS</v>
      </c>
      <c r="B143" s="50">
        <f>VLOOKUP($A143,'Data shares'!$C:$FB,7)</f>
        <v>2385.3000000000002</v>
      </c>
      <c r="C143" s="50">
        <f>VLOOKUP($A143,'Data shares'!$C:$FB,10)*100</f>
        <v>1.47</v>
      </c>
      <c r="D143" s="49">
        <f>VLOOKUP($A143,'Data shares'!$C:$FB,66)</f>
        <v>4203375</v>
      </c>
      <c r="E143" s="49">
        <f>VLOOKUP($A143,'Data shares'!$C:$FB,67)</f>
        <v>4633475</v>
      </c>
      <c r="F143" s="50">
        <f>VLOOKUP($A143,'Data shares'!$C:$FB,69)*100</f>
        <v>-9.2799999999999994</v>
      </c>
      <c r="G143" s="49">
        <f>VLOOKUP($A143,'Data shares'!$C:$FB,42)</f>
        <v>1184975</v>
      </c>
      <c r="H143" s="49">
        <f>VLOOKUP($A143,'Data shares'!$C:$FB,43)</f>
        <v>1110450</v>
      </c>
      <c r="I143" s="50">
        <f>VLOOKUP($A143,'Data shares'!$C:$FB,45)*100</f>
        <v>6.7100000000000009</v>
      </c>
      <c r="J143" s="49">
        <f>VLOOKUP($A143,'Data shares'!$C:$FB,58)</f>
        <v>1753125</v>
      </c>
      <c r="K143" s="49">
        <f>VLOOKUP($A143,'Data shares'!$C:$FB,59)</f>
        <v>2284700</v>
      </c>
      <c r="L143" s="50">
        <f>VLOOKUP($A143,'Data shares'!$C:$FB,61)*100</f>
        <v>-23.27</v>
      </c>
      <c r="M143" s="49">
        <f>VLOOKUP($A143,'Data shares'!$C:$FB,62)</f>
        <v>1265275</v>
      </c>
      <c r="N143" s="49">
        <f>VLOOKUP($A143,'Data shares'!$C:$FB,63)</f>
        <v>1238325</v>
      </c>
      <c r="O143" s="140">
        <f>VLOOKUP($A143,'Data shares'!$C:$FB,65)*100</f>
        <v>2.1800000000000002</v>
      </c>
    </row>
    <row r="144" spans="1:15" x14ac:dyDescent="0.25">
      <c r="A144" s="101" t="str">
        <f>'Data Vlaue (Cr)'!C139</f>
        <v>MUTHOOTFIN</v>
      </c>
      <c r="B144" s="50">
        <f>VLOOKUP($A144,'Data shares'!$C:$FB,7)</f>
        <v>3475.2</v>
      </c>
      <c r="C144" s="50">
        <f>VLOOKUP($A144,'Data shares'!$C:$FB,10)*100</f>
        <v>-0.8</v>
      </c>
      <c r="D144" s="49">
        <f>VLOOKUP($A144,'Data shares'!$C:$FB,66)</f>
        <v>3826625</v>
      </c>
      <c r="E144" s="49">
        <f>VLOOKUP($A144,'Data shares'!$C:$FB,67)</f>
        <v>9161350</v>
      </c>
      <c r="F144" s="50">
        <f>VLOOKUP($A144,'Data shares'!$C:$FB,69)*100</f>
        <v>-58.230000000000004</v>
      </c>
      <c r="G144" s="49">
        <f>VLOOKUP($A144,'Data shares'!$C:$FB,42)</f>
        <v>755975</v>
      </c>
      <c r="H144" s="49">
        <f>VLOOKUP($A144,'Data shares'!$C:$FB,43)</f>
        <v>1638450</v>
      </c>
      <c r="I144" s="50">
        <f>VLOOKUP($A144,'Data shares'!$C:$FB,45)*100</f>
        <v>-53.86</v>
      </c>
      <c r="J144" s="49">
        <f>VLOOKUP($A144,'Data shares'!$C:$FB,58)</f>
        <v>2195600</v>
      </c>
      <c r="K144" s="49">
        <f>VLOOKUP($A144,'Data shares'!$C:$FB,59)</f>
        <v>5656750</v>
      </c>
      <c r="L144" s="50">
        <f>VLOOKUP($A144,'Data shares'!$C:$FB,61)*100</f>
        <v>-61.19</v>
      </c>
      <c r="M144" s="49">
        <f>VLOOKUP($A144,'Data shares'!$C:$FB,62)</f>
        <v>875050</v>
      </c>
      <c r="N144" s="49">
        <f>VLOOKUP($A144,'Data shares'!$C:$FB,63)</f>
        <v>1866150</v>
      </c>
      <c r="O144" s="140">
        <f>VLOOKUP($A144,'Data shares'!$C:$FB,65)*100</f>
        <v>-53.11</v>
      </c>
    </row>
    <row r="145" spans="1:15" x14ac:dyDescent="0.25">
      <c r="A145" s="101" t="str">
        <f>'Data Vlaue (Cr)'!C140</f>
        <v>NAM-INDIA</v>
      </c>
      <c r="B145" s="50">
        <f>VLOOKUP($A145,'Data shares'!$C:$FB,7)</f>
        <v>908.65</v>
      </c>
      <c r="C145" s="50">
        <f>VLOOKUP($A145,'Data shares'!$C:$FB,10)*100</f>
        <v>0.6</v>
      </c>
      <c r="D145" s="49">
        <f>VLOOKUP($A145,'Data shares'!$C:$FB,66)</f>
        <v>3278750</v>
      </c>
      <c r="E145" s="49">
        <f>VLOOKUP($A145,'Data shares'!$C:$FB,67)</f>
        <v>5198750</v>
      </c>
      <c r="F145" s="50">
        <f>VLOOKUP($A145,'Data shares'!$C:$FB,69)*100</f>
        <v>-36.93</v>
      </c>
      <c r="G145" s="49">
        <f>VLOOKUP($A145,'Data shares'!$C:$FB,42)</f>
        <v>1084375</v>
      </c>
      <c r="H145" s="49">
        <f>VLOOKUP($A145,'Data shares'!$C:$FB,43)</f>
        <v>1404375</v>
      </c>
      <c r="I145" s="50">
        <f>VLOOKUP($A145,'Data shares'!$C:$FB,45)*100</f>
        <v>-22.79</v>
      </c>
      <c r="J145" s="49">
        <f>VLOOKUP($A145,'Data shares'!$C:$FB,58)</f>
        <v>804375</v>
      </c>
      <c r="K145" s="49">
        <f>VLOOKUP($A145,'Data shares'!$C:$FB,59)</f>
        <v>2873125</v>
      </c>
      <c r="L145" s="50">
        <f>VLOOKUP($A145,'Data shares'!$C:$FB,61)*100</f>
        <v>-72</v>
      </c>
      <c r="M145" s="49">
        <f>VLOOKUP($A145,'Data shares'!$C:$FB,62)</f>
        <v>1390000</v>
      </c>
      <c r="N145" s="49">
        <f>VLOOKUP($A145,'Data shares'!$C:$FB,63)</f>
        <v>921250</v>
      </c>
      <c r="O145" s="140">
        <f>VLOOKUP($A145,'Data shares'!$C:$FB,65)*100</f>
        <v>50.88</v>
      </c>
    </row>
    <row r="146" spans="1:15" x14ac:dyDescent="0.25">
      <c r="A146" s="101" t="str">
        <f>'Data Vlaue (Cr)'!C141</f>
        <v>NATIONALUM</v>
      </c>
      <c r="B146" s="50">
        <f>VLOOKUP($A146,'Data shares'!$C:$FB,7)</f>
        <v>412.35</v>
      </c>
      <c r="C146" s="50">
        <f>VLOOKUP($A146,'Data shares'!$C:$FB,10)*100</f>
        <v>3.05</v>
      </c>
      <c r="D146" s="49">
        <f>VLOOKUP($A146,'Data shares'!$C:$FB,66)</f>
        <v>135622500</v>
      </c>
      <c r="E146" s="49">
        <f>VLOOKUP($A146,'Data shares'!$C:$FB,67)</f>
        <v>99982500</v>
      </c>
      <c r="F146" s="50">
        <f>VLOOKUP($A146,'Data shares'!$C:$FB,69)*100</f>
        <v>35.65</v>
      </c>
      <c r="G146" s="49">
        <f>VLOOKUP($A146,'Data shares'!$C:$FB,42)</f>
        <v>21960000</v>
      </c>
      <c r="H146" s="49">
        <f>VLOOKUP($A146,'Data shares'!$C:$FB,43)</f>
        <v>25635000</v>
      </c>
      <c r="I146" s="50">
        <f>VLOOKUP($A146,'Data shares'!$C:$FB,45)*100</f>
        <v>-14.34</v>
      </c>
      <c r="J146" s="49">
        <f>VLOOKUP($A146,'Data shares'!$C:$FB,58)</f>
        <v>86730000</v>
      </c>
      <c r="K146" s="49">
        <f>VLOOKUP($A146,'Data shares'!$C:$FB,59)</f>
        <v>46920000</v>
      </c>
      <c r="L146" s="50">
        <f>VLOOKUP($A146,'Data shares'!$C:$FB,61)*100</f>
        <v>84.850000000000009</v>
      </c>
      <c r="M146" s="49">
        <f>VLOOKUP($A146,'Data shares'!$C:$FB,62)</f>
        <v>26932500</v>
      </c>
      <c r="N146" s="49">
        <f>VLOOKUP($A146,'Data shares'!$C:$FB,63)</f>
        <v>27427500</v>
      </c>
      <c r="O146" s="140">
        <f>VLOOKUP($A146,'Data shares'!$C:$FB,65)*100</f>
        <v>-1.7999999999999998</v>
      </c>
    </row>
    <row r="147" spans="1:15" x14ac:dyDescent="0.25">
      <c r="A147" s="101" t="str">
        <f>'Data Vlaue (Cr)'!C142</f>
        <v>NAUKRI</v>
      </c>
      <c r="B147" s="50">
        <f>VLOOKUP($A147,'Data shares'!$C:$FB,7)</f>
        <v>1002.4</v>
      </c>
      <c r="C147" s="50">
        <f>VLOOKUP($A147,'Data shares'!$C:$FB,10)*100</f>
        <v>-2.93</v>
      </c>
      <c r="D147" s="49">
        <f>VLOOKUP($A147,'Data shares'!$C:$FB,66)</f>
        <v>12907875</v>
      </c>
      <c r="E147" s="49">
        <f>VLOOKUP($A147,'Data shares'!$C:$FB,67)</f>
        <v>3685875</v>
      </c>
      <c r="F147" s="50">
        <f>VLOOKUP($A147,'Data shares'!$C:$FB,69)*100</f>
        <v>250.2</v>
      </c>
      <c r="G147" s="49">
        <f>VLOOKUP($A147,'Data shares'!$C:$FB,42)</f>
        <v>3078375</v>
      </c>
      <c r="H147" s="49">
        <f>VLOOKUP($A147,'Data shares'!$C:$FB,43)</f>
        <v>1035375</v>
      </c>
      <c r="I147" s="50">
        <f>VLOOKUP($A147,'Data shares'!$C:$FB,45)*100</f>
        <v>197.32</v>
      </c>
      <c r="J147" s="49">
        <f>VLOOKUP($A147,'Data shares'!$C:$FB,58)</f>
        <v>5500125</v>
      </c>
      <c r="K147" s="49">
        <f>VLOOKUP($A147,'Data shares'!$C:$FB,59)</f>
        <v>1884375</v>
      </c>
      <c r="L147" s="50">
        <f>VLOOKUP($A147,'Data shares'!$C:$FB,61)*100</f>
        <v>191.88</v>
      </c>
      <c r="M147" s="49">
        <f>VLOOKUP($A147,'Data shares'!$C:$FB,62)</f>
        <v>4329375</v>
      </c>
      <c r="N147" s="49">
        <f>VLOOKUP($A147,'Data shares'!$C:$FB,63)</f>
        <v>766125</v>
      </c>
      <c r="O147" s="140">
        <f>VLOOKUP($A147,'Data shares'!$C:$FB,65)*100</f>
        <v>465.09999999999997</v>
      </c>
    </row>
    <row r="148" spans="1:15" x14ac:dyDescent="0.25">
      <c r="A148" s="101" t="str">
        <f>'Data Vlaue (Cr)'!C143</f>
        <v>NBCC</v>
      </c>
      <c r="B148" s="50">
        <f>VLOOKUP($A148,'Data shares'!$C:$FB,7)</f>
        <v>87.83</v>
      </c>
      <c r="C148" s="50">
        <f>VLOOKUP($A148,'Data shares'!$C:$FB,10)*100</f>
        <v>-1.01</v>
      </c>
      <c r="D148" s="49">
        <f>VLOOKUP($A148,'Data shares'!$C:$FB,66)</f>
        <v>26136500</v>
      </c>
      <c r="E148" s="49">
        <f>VLOOKUP($A148,'Data shares'!$C:$FB,67)</f>
        <v>44746000</v>
      </c>
      <c r="F148" s="50">
        <f>VLOOKUP($A148,'Data shares'!$C:$FB,69)*100</f>
        <v>-41.589999999999996</v>
      </c>
      <c r="G148" s="49">
        <f>VLOOKUP($A148,'Data shares'!$C:$FB,42)</f>
        <v>9529000</v>
      </c>
      <c r="H148" s="49">
        <f>VLOOKUP($A148,'Data shares'!$C:$FB,43)</f>
        <v>14014000</v>
      </c>
      <c r="I148" s="50">
        <f>VLOOKUP($A148,'Data shares'!$C:$FB,45)*100</f>
        <v>-32</v>
      </c>
      <c r="J148" s="49">
        <f>VLOOKUP($A148,'Data shares'!$C:$FB,58)</f>
        <v>11388000</v>
      </c>
      <c r="K148" s="49">
        <f>VLOOKUP($A148,'Data shares'!$C:$FB,59)</f>
        <v>21242000</v>
      </c>
      <c r="L148" s="50">
        <f>VLOOKUP($A148,'Data shares'!$C:$FB,61)*100</f>
        <v>-46.39</v>
      </c>
      <c r="M148" s="49">
        <f>VLOOKUP($A148,'Data shares'!$C:$FB,62)</f>
        <v>5219500</v>
      </c>
      <c r="N148" s="49">
        <f>VLOOKUP($A148,'Data shares'!$C:$FB,63)</f>
        <v>9490000</v>
      </c>
      <c r="O148" s="140">
        <f>VLOOKUP($A148,'Data shares'!$C:$FB,65)*100</f>
        <v>-45</v>
      </c>
    </row>
    <row r="149" spans="1:15" x14ac:dyDescent="0.25">
      <c r="A149" s="101" t="str">
        <f>'Data Vlaue (Cr)'!C144</f>
        <v>NESTLEIND</v>
      </c>
      <c r="B149" s="50">
        <f>VLOOKUP($A149,'Data shares'!$C:$FB,7)</f>
        <v>1228.7</v>
      </c>
      <c r="C149" s="50">
        <f>VLOOKUP($A149,'Data shares'!$C:$FB,10)*100</f>
        <v>1.24</v>
      </c>
      <c r="D149" s="49">
        <f>VLOOKUP($A149,'Data shares'!$C:$FB,66)</f>
        <v>4834000</v>
      </c>
      <c r="E149" s="49">
        <f>VLOOKUP($A149,'Data shares'!$C:$FB,67)</f>
        <v>7835000</v>
      </c>
      <c r="F149" s="50">
        <f>VLOOKUP($A149,'Data shares'!$C:$FB,69)*100</f>
        <v>-38.299999999999997</v>
      </c>
      <c r="G149" s="49">
        <f>VLOOKUP($A149,'Data shares'!$C:$FB,42)</f>
        <v>1544000</v>
      </c>
      <c r="H149" s="49">
        <f>VLOOKUP($A149,'Data shares'!$C:$FB,43)</f>
        <v>1998500</v>
      </c>
      <c r="I149" s="50">
        <f>VLOOKUP($A149,'Data shares'!$C:$FB,45)*100</f>
        <v>-22.74</v>
      </c>
      <c r="J149" s="49">
        <f>VLOOKUP($A149,'Data shares'!$C:$FB,58)</f>
        <v>2113500</v>
      </c>
      <c r="K149" s="49">
        <f>VLOOKUP($A149,'Data shares'!$C:$FB,59)</f>
        <v>3752000</v>
      </c>
      <c r="L149" s="50">
        <f>VLOOKUP($A149,'Data shares'!$C:$FB,61)*100</f>
        <v>-43.669999999999995</v>
      </c>
      <c r="M149" s="49">
        <f>VLOOKUP($A149,'Data shares'!$C:$FB,62)</f>
        <v>1176500</v>
      </c>
      <c r="N149" s="49">
        <f>VLOOKUP($A149,'Data shares'!$C:$FB,63)</f>
        <v>2084500</v>
      </c>
      <c r="O149" s="140">
        <f>VLOOKUP($A149,'Data shares'!$C:$FB,65)*100</f>
        <v>-43.56</v>
      </c>
    </row>
    <row r="150" spans="1:15" x14ac:dyDescent="0.25">
      <c r="A150" s="101" t="str">
        <f>'Data Vlaue (Cr)'!C145</f>
        <v>NHPC</v>
      </c>
      <c r="B150" s="50">
        <f>VLOOKUP($A150,'Data shares'!$C:$FB,7)</f>
        <v>77.11</v>
      </c>
      <c r="C150" s="50">
        <f>VLOOKUP($A150,'Data shares'!$C:$FB,10)*100</f>
        <v>0.53</v>
      </c>
      <c r="D150" s="49">
        <f>VLOOKUP($A150,'Data shares'!$C:$FB,66)</f>
        <v>106118400</v>
      </c>
      <c r="E150" s="49">
        <f>VLOOKUP($A150,'Data shares'!$C:$FB,67)</f>
        <v>52032000</v>
      </c>
      <c r="F150" s="50">
        <f>VLOOKUP($A150,'Data shares'!$C:$FB,69)*100</f>
        <v>103.95</v>
      </c>
      <c r="G150" s="49">
        <f>VLOOKUP($A150,'Data shares'!$C:$FB,42)</f>
        <v>22188800</v>
      </c>
      <c r="H150" s="49">
        <f>VLOOKUP($A150,'Data shares'!$C:$FB,43)</f>
        <v>12307200</v>
      </c>
      <c r="I150" s="50">
        <f>VLOOKUP($A150,'Data shares'!$C:$FB,45)*100</f>
        <v>80.289999999999992</v>
      </c>
      <c r="J150" s="49">
        <f>VLOOKUP($A150,'Data shares'!$C:$FB,58)</f>
        <v>66201600</v>
      </c>
      <c r="K150" s="49">
        <f>VLOOKUP($A150,'Data shares'!$C:$FB,59)</f>
        <v>27475200</v>
      </c>
      <c r="L150" s="50">
        <f>VLOOKUP($A150,'Data shares'!$C:$FB,61)*100</f>
        <v>140.94999999999999</v>
      </c>
      <c r="M150" s="49">
        <f>VLOOKUP($A150,'Data shares'!$C:$FB,62)</f>
        <v>17728000</v>
      </c>
      <c r="N150" s="49">
        <f>VLOOKUP($A150,'Data shares'!$C:$FB,63)</f>
        <v>12249600</v>
      </c>
      <c r="O150" s="140">
        <f>VLOOKUP($A150,'Data shares'!$C:$FB,65)*100</f>
        <v>44.72</v>
      </c>
    </row>
    <row r="151" spans="1:15" x14ac:dyDescent="0.25">
      <c r="A151" s="101" t="str">
        <f>'Data Vlaue (Cr)'!C146</f>
        <v>NIFTY</v>
      </c>
      <c r="B151" s="50">
        <f>VLOOKUP($A151,'Data shares'!$C:$FB,7)</f>
        <v>23775.1</v>
      </c>
      <c r="C151" s="50">
        <f>VLOOKUP($A151,'Data shares'!$C:$FB,10)*100</f>
        <v>-0.92999999999999994</v>
      </c>
      <c r="D151" s="49">
        <f>VLOOKUP($A151,'Data shares'!$C:$FB,66)</f>
        <v>3160507610</v>
      </c>
      <c r="E151" s="49">
        <f>VLOOKUP($A151,'Data shares'!$C:$FB,67)</f>
        <v>3109985190</v>
      </c>
      <c r="F151" s="50">
        <f>VLOOKUP($A151,'Data shares'!$C:$FB,69)*100</f>
        <v>1.6199999999999999</v>
      </c>
      <c r="G151" s="49">
        <f>VLOOKUP($A151,'Data shares'!$C:$FB,42)</f>
        <v>6556810</v>
      </c>
      <c r="H151" s="49">
        <f>VLOOKUP($A151,'Data shares'!$C:$FB,43)</f>
        <v>9191780</v>
      </c>
      <c r="I151" s="50">
        <f>VLOOKUP($A151,'Data shares'!$C:$FB,45)*100</f>
        <v>-28.67</v>
      </c>
      <c r="J151" s="49">
        <f>VLOOKUP($A151,'Data shares'!$C:$FB,58)</f>
        <v>1548235260</v>
      </c>
      <c r="K151" s="49">
        <f>VLOOKUP($A151,'Data shares'!$C:$FB,59)</f>
        <v>1628380650</v>
      </c>
      <c r="L151" s="50">
        <f>VLOOKUP($A151,'Data shares'!$C:$FB,61)*100</f>
        <v>-4.92</v>
      </c>
      <c r="M151" s="49">
        <f>VLOOKUP($A151,'Data shares'!$C:$FB,62)</f>
        <v>1605715540</v>
      </c>
      <c r="N151" s="49">
        <f>VLOOKUP($A151,'Data shares'!$C:$FB,63)</f>
        <v>1472412760</v>
      </c>
      <c r="O151" s="140">
        <f>VLOOKUP($A151,'Data shares'!$C:$FB,65)*100</f>
        <v>9.0499999999999989</v>
      </c>
    </row>
    <row r="152" spans="1:15" x14ac:dyDescent="0.25">
      <c r="A152" s="101" t="str">
        <f>'Data Vlaue (Cr)'!C147</f>
        <v>NIFTYNXT50</v>
      </c>
      <c r="B152" s="50">
        <f>VLOOKUP($A152,'Data shares'!$C:$FB,7)</f>
        <v>66268.649999999994</v>
      </c>
      <c r="C152" s="50">
        <f>VLOOKUP($A152,'Data shares'!$C:$FB,10)*100</f>
        <v>0.19</v>
      </c>
      <c r="D152" s="49">
        <f>VLOOKUP($A152,'Data shares'!$C:$FB,66)</f>
        <v>12425</v>
      </c>
      <c r="E152" s="49">
        <f>VLOOKUP($A152,'Data shares'!$C:$FB,67)</f>
        <v>12025</v>
      </c>
      <c r="F152" s="50">
        <f>VLOOKUP($A152,'Data shares'!$C:$FB,69)*100</f>
        <v>3.3300000000000005</v>
      </c>
      <c r="G152" s="49">
        <f>VLOOKUP($A152,'Data shares'!$C:$FB,42)</f>
        <v>9400</v>
      </c>
      <c r="H152" s="49">
        <f>VLOOKUP($A152,'Data shares'!$C:$FB,43)</f>
        <v>8975</v>
      </c>
      <c r="I152" s="50">
        <f>VLOOKUP($A152,'Data shares'!$C:$FB,45)*100</f>
        <v>4.74</v>
      </c>
      <c r="J152" s="49">
        <f>VLOOKUP($A152,'Data shares'!$C:$FB,58)</f>
        <v>1725</v>
      </c>
      <c r="K152" s="49">
        <f>VLOOKUP($A152,'Data shares'!$C:$FB,59)</f>
        <v>1725</v>
      </c>
      <c r="L152" s="50">
        <f>VLOOKUP($A152,'Data shares'!$C:$FB,61)*100</f>
        <v>0</v>
      </c>
      <c r="M152" s="49">
        <f>VLOOKUP($A152,'Data shares'!$C:$FB,62)</f>
        <v>1300</v>
      </c>
      <c r="N152" s="49">
        <f>VLOOKUP($A152,'Data shares'!$C:$FB,63)</f>
        <v>1325</v>
      </c>
      <c r="O152" s="140">
        <f>VLOOKUP($A152,'Data shares'!$C:$FB,65)*100</f>
        <v>-1.8900000000000001</v>
      </c>
    </row>
    <row r="153" spans="1:15" x14ac:dyDescent="0.25">
      <c r="A153" s="101" t="str">
        <f>'Data Vlaue (Cr)'!C148</f>
        <v>NMDC</v>
      </c>
      <c r="B153" s="50">
        <f>VLOOKUP($A153,'Data shares'!$C:$FB,7)</f>
        <v>84.44</v>
      </c>
      <c r="C153" s="50">
        <f>VLOOKUP($A153,'Data shares'!$C:$FB,10)*100</f>
        <v>1.8499999999999999</v>
      </c>
      <c r="D153" s="49">
        <f>VLOOKUP($A153,'Data shares'!$C:$FB,66)</f>
        <v>168284250</v>
      </c>
      <c r="E153" s="49">
        <f>VLOOKUP($A153,'Data shares'!$C:$FB,67)</f>
        <v>123855750</v>
      </c>
      <c r="F153" s="50">
        <f>VLOOKUP($A153,'Data shares'!$C:$FB,69)*100</f>
        <v>35.870000000000005</v>
      </c>
      <c r="G153" s="49">
        <f>VLOOKUP($A153,'Data shares'!$C:$FB,42)</f>
        <v>30948750</v>
      </c>
      <c r="H153" s="49">
        <f>VLOOKUP($A153,'Data shares'!$C:$FB,43)</f>
        <v>31671000</v>
      </c>
      <c r="I153" s="50">
        <f>VLOOKUP($A153,'Data shares'!$C:$FB,45)*100</f>
        <v>-2.2800000000000002</v>
      </c>
      <c r="J153" s="49">
        <f>VLOOKUP($A153,'Data shares'!$C:$FB,58)</f>
        <v>100595250</v>
      </c>
      <c r="K153" s="49">
        <f>VLOOKUP($A153,'Data shares'!$C:$FB,59)</f>
        <v>62268750</v>
      </c>
      <c r="L153" s="50">
        <f>VLOOKUP($A153,'Data shares'!$C:$FB,61)*100</f>
        <v>61.550000000000004</v>
      </c>
      <c r="M153" s="49">
        <f>VLOOKUP($A153,'Data shares'!$C:$FB,62)</f>
        <v>36740250</v>
      </c>
      <c r="N153" s="49">
        <f>VLOOKUP($A153,'Data shares'!$C:$FB,63)</f>
        <v>29916000</v>
      </c>
      <c r="O153" s="140">
        <f>VLOOKUP($A153,'Data shares'!$C:$FB,65)*100</f>
        <v>22.81</v>
      </c>
    </row>
    <row r="154" spans="1:15" x14ac:dyDescent="0.25">
      <c r="A154" s="101" t="str">
        <f>'Data Vlaue (Cr)'!C149</f>
        <v>NTPC</v>
      </c>
      <c r="B154" s="50">
        <f>VLOOKUP($A154,'Data shares'!$C:$FB,7)</f>
        <v>378.65</v>
      </c>
      <c r="C154" s="50">
        <f>VLOOKUP($A154,'Data shares'!$C:$FB,10)*100</f>
        <v>1.2</v>
      </c>
      <c r="D154" s="49">
        <f>VLOOKUP($A154,'Data shares'!$C:$FB,66)</f>
        <v>147732000</v>
      </c>
      <c r="E154" s="49">
        <f>VLOOKUP($A154,'Data shares'!$C:$FB,67)</f>
        <v>82828500</v>
      </c>
      <c r="F154" s="50">
        <f>VLOOKUP($A154,'Data shares'!$C:$FB,69)*100</f>
        <v>78.36</v>
      </c>
      <c r="G154" s="49">
        <f>VLOOKUP($A154,'Data shares'!$C:$FB,42)</f>
        <v>11985000</v>
      </c>
      <c r="H154" s="49">
        <f>VLOOKUP($A154,'Data shares'!$C:$FB,43)</f>
        <v>14688000</v>
      </c>
      <c r="I154" s="50">
        <f>VLOOKUP($A154,'Data shares'!$C:$FB,45)*100</f>
        <v>-18.399999999999999</v>
      </c>
      <c r="J154" s="49">
        <f>VLOOKUP($A154,'Data shares'!$C:$FB,58)</f>
        <v>103302000</v>
      </c>
      <c r="K154" s="49">
        <f>VLOOKUP($A154,'Data shares'!$C:$FB,59)</f>
        <v>50262000</v>
      </c>
      <c r="L154" s="50">
        <f>VLOOKUP($A154,'Data shares'!$C:$FB,61)*100</f>
        <v>105.52999999999999</v>
      </c>
      <c r="M154" s="49">
        <f>VLOOKUP($A154,'Data shares'!$C:$FB,62)</f>
        <v>32445000</v>
      </c>
      <c r="N154" s="49">
        <f>VLOOKUP($A154,'Data shares'!$C:$FB,63)</f>
        <v>17878500</v>
      </c>
      <c r="O154" s="140">
        <f>VLOOKUP($A154,'Data shares'!$C:$FB,65)*100</f>
        <v>81.47</v>
      </c>
    </row>
    <row r="155" spans="1:15" x14ac:dyDescent="0.25">
      <c r="A155" s="101" t="str">
        <f>'Data Vlaue (Cr)'!C150</f>
        <v>NUVAMA</v>
      </c>
      <c r="B155" s="50">
        <f>VLOOKUP($A155,'Data shares'!$C:$FB,7)</f>
        <v>1294.8</v>
      </c>
      <c r="C155" s="50">
        <f>VLOOKUP($A155,'Data shares'!$C:$FB,10)*100</f>
        <v>1.08</v>
      </c>
      <c r="D155" s="49">
        <f>VLOOKUP($A155,'Data shares'!$C:$FB,66)</f>
        <v>1999500</v>
      </c>
      <c r="E155" s="49">
        <f>VLOOKUP($A155,'Data shares'!$C:$FB,67)</f>
        <v>3166500</v>
      </c>
      <c r="F155" s="50">
        <f>VLOOKUP($A155,'Data shares'!$C:$FB,69)*100</f>
        <v>-36.85</v>
      </c>
      <c r="G155" s="49">
        <f>VLOOKUP($A155,'Data shares'!$C:$FB,42)</f>
        <v>444500</v>
      </c>
      <c r="H155" s="49">
        <f>VLOOKUP($A155,'Data shares'!$C:$FB,43)</f>
        <v>875500</v>
      </c>
      <c r="I155" s="50">
        <f>VLOOKUP($A155,'Data shares'!$C:$FB,45)*100</f>
        <v>-49.230000000000004</v>
      </c>
      <c r="J155" s="49">
        <f>VLOOKUP($A155,'Data shares'!$C:$FB,58)</f>
        <v>941000</v>
      </c>
      <c r="K155" s="49">
        <f>VLOOKUP($A155,'Data shares'!$C:$FB,59)</f>
        <v>1756500</v>
      </c>
      <c r="L155" s="50">
        <f>VLOOKUP($A155,'Data shares'!$C:$FB,61)*100</f>
        <v>-46.43</v>
      </c>
      <c r="M155" s="49">
        <f>VLOOKUP($A155,'Data shares'!$C:$FB,62)</f>
        <v>614000</v>
      </c>
      <c r="N155" s="49">
        <f>VLOOKUP($A155,'Data shares'!$C:$FB,63)</f>
        <v>534500</v>
      </c>
      <c r="O155" s="140">
        <f>VLOOKUP($A155,'Data shares'!$C:$FB,65)*100</f>
        <v>14.87</v>
      </c>
    </row>
    <row r="156" spans="1:15" x14ac:dyDescent="0.25">
      <c r="A156" s="101" t="str">
        <f>'Data Vlaue (Cr)'!C151</f>
        <v>NYKAA</v>
      </c>
      <c r="B156" s="50">
        <f>VLOOKUP($A156,'Data shares'!$C:$FB,7)</f>
        <v>254.93</v>
      </c>
      <c r="C156" s="50">
        <f>VLOOKUP($A156,'Data shares'!$C:$FB,10)*100</f>
        <v>0.33999999999999997</v>
      </c>
      <c r="D156" s="49">
        <f>VLOOKUP($A156,'Data shares'!$C:$FB,66)</f>
        <v>19553125</v>
      </c>
      <c r="E156" s="49">
        <f>VLOOKUP($A156,'Data shares'!$C:$FB,67)</f>
        <v>25034375</v>
      </c>
      <c r="F156" s="50">
        <f>VLOOKUP($A156,'Data shares'!$C:$FB,69)*100</f>
        <v>-21.89</v>
      </c>
      <c r="G156" s="49">
        <f>VLOOKUP($A156,'Data shares'!$C:$FB,42)</f>
        <v>5781250</v>
      </c>
      <c r="H156" s="49">
        <f>VLOOKUP($A156,'Data shares'!$C:$FB,43)</f>
        <v>7706250</v>
      </c>
      <c r="I156" s="50">
        <f>VLOOKUP($A156,'Data shares'!$C:$FB,45)*100</f>
        <v>-24.98</v>
      </c>
      <c r="J156" s="49">
        <f>VLOOKUP($A156,'Data shares'!$C:$FB,58)</f>
        <v>10150000</v>
      </c>
      <c r="K156" s="49">
        <f>VLOOKUP($A156,'Data shares'!$C:$FB,59)</f>
        <v>13125000</v>
      </c>
      <c r="L156" s="50">
        <f>VLOOKUP($A156,'Data shares'!$C:$FB,61)*100</f>
        <v>-22.67</v>
      </c>
      <c r="M156" s="49">
        <f>VLOOKUP($A156,'Data shares'!$C:$FB,62)</f>
        <v>3621875</v>
      </c>
      <c r="N156" s="49">
        <f>VLOOKUP($A156,'Data shares'!$C:$FB,63)</f>
        <v>4203125</v>
      </c>
      <c r="O156" s="140">
        <f>VLOOKUP($A156,'Data shares'!$C:$FB,65)*100</f>
        <v>-13.83</v>
      </c>
    </row>
    <row r="157" spans="1:15" x14ac:dyDescent="0.25">
      <c r="A157" s="101" t="str">
        <f>'Data Vlaue (Cr)'!C152</f>
        <v>OBEROIRLTY</v>
      </c>
      <c r="B157" s="50">
        <f>VLOOKUP($A157,'Data shares'!$C:$FB,7)</f>
        <v>1653.5</v>
      </c>
      <c r="C157" s="50">
        <f>VLOOKUP($A157,'Data shares'!$C:$FB,10)*100</f>
        <v>1.08</v>
      </c>
      <c r="D157" s="49">
        <f>VLOOKUP($A157,'Data shares'!$C:$FB,66)</f>
        <v>3052000</v>
      </c>
      <c r="E157" s="49">
        <f>VLOOKUP($A157,'Data shares'!$C:$FB,67)</f>
        <v>2888200</v>
      </c>
      <c r="F157" s="50">
        <f>VLOOKUP($A157,'Data shares'!$C:$FB,69)*100</f>
        <v>5.67</v>
      </c>
      <c r="G157" s="49">
        <f>VLOOKUP($A157,'Data shares'!$C:$FB,42)</f>
        <v>1622250</v>
      </c>
      <c r="H157" s="49">
        <f>VLOOKUP($A157,'Data shares'!$C:$FB,43)</f>
        <v>921200</v>
      </c>
      <c r="I157" s="50">
        <f>VLOOKUP($A157,'Data shares'!$C:$FB,45)*100</f>
        <v>76.099999999999994</v>
      </c>
      <c r="J157" s="49">
        <f>VLOOKUP($A157,'Data shares'!$C:$FB,58)</f>
        <v>823550</v>
      </c>
      <c r="K157" s="49">
        <f>VLOOKUP($A157,'Data shares'!$C:$FB,59)</f>
        <v>1380750</v>
      </c>
      <c r="L157" s="50">
        <f>VLOOKUP($A157,'Data shares'!$C:$FB,61)*100</f>
        <v>-40.35</v>
      </c>
      <c r="M157" s="49">
        <f>VLOOKUP($A157,'Data shares'!$C:$FB,62)</f>
        <v>606200</v>
      </c>
      <c r="N157" s="49">
        <f>VLOOKUP($A157,'Data shares'!$C:$FB,63)</f>
        <v>586250</v>
      </c>
      <c r="O157" s="140">
        <f>VLOOKUP($A157,'Data shares'!$C:$FB,65)*100</f>
        <v>3.4000000000000004</v>
      </c>
    </row>
    <row r="158" spans="1:15" x14ac:dyDescent="0.25">
      <c r="A158" s="101" t="str">
        <f>'Data Vlaue (Cr)'!C153</f>
        <v>OFSS</v>
      </c>
      <c r="B158" s="50">
        <f>VLOOKUP($A158,'Data shares'!$C:$FB,7)</f>
        <v>7217.5</v>
      </c>
      <c r="C158" s="50">
        <f>VLOOKUP($A158,'Data shares'!$C:$FB,10)*100</f>
        <v>0.52</v>
      </c>
      <c r="D158" s="49">
        <f>VLOOKUP($A158,'Data shares'!$C:$FB,66)</f>
        <v>1227300</v>
      </c>
      <c r="E158" s="49">
        <f>VLOOKUP($A158,'Data shares'!$C:$FB,67)</f>
        <v>1926600</v>
      </c>
      <c r="F158" s="50">
        <f>VLOOKUP($A158,'Data shares'!$C:$FB,69)*100</f>
        <v>-36.299999999999997</v>
      </c>
      <c r="G158" s="49">
        <f>VLOOKUP($A158,'Data shares'!$C:$FB,42)</f>
        <v>207600</v>
      </c>
      <c r="H158" s="49">
        <f>VLOOKUP($A158,'Data shares'!$C:$FB,43)</f>
        <v>329475</v>
      </c>
      <c r="I158" s="50">
        <f>VLOOKUP($A158,'Data shares'!$C:$FB,45)*100</f>
        <v>-36.99</v>
      </c>
      <c r="J158" s="49">
        <f>VLOOKUP($A158,'Data shares'!$C:$FB,58)</f>
        <v>580125</v>
      </c>
      <c r="K158" s="49">
        <f>VLOOKUP($A158,'Data shares'!$C:$FB,59)</f>
        <v>1013475</v>
      </c>
      <c r="L158" s="50">
        <f>VLOOKUP($A158,'Data shares'!$C:$FB,61)*100</f>
        <v>-42.76</v>
      </c>
      <c r="M158" s="49">
        <f>VLOOKUP($A158,'Data shares'!$C:$FB,62)</f>
        <v>439575</v>
      </c>
      <c r="N158" s="49">
        <f>VLOOKUP($A158,'Data shares'!$C:$FB,63)</f>
        <v>583650</v>
      </c>
      <c r="O158" s="140">
        <f>VLOOKUP($A158,'Data shares'!$C:$FB,65)*100</f>
        <v>-24.69</v>
      </c>
    </row>
    <row r="159" spans="1:15" x14ac:dyDescent="0.25">
      <c r="A159" s="101" t="str">
        <f>'Data Vlaue (Cr)'!C154</f>
        <v>OIL</v>
      </c>
      <c r="B159" s="50">
        <f>VLOOKUP($A159,'Data shares'!$C:$FB,7)</f>
        <v>470.75</v>
      </c>
      <c r="C159" s="50">
        <f>VLOOKUP($A159,'Data shares'!$C:$FB,10)*100</f>
        <v>2.5700000000000003</v>
      </c>
      <c r="D159" s="49">
        <f>VLOOKUP($A159,'Data shares'!$C:$FB,66)</f>
        <v>30727200</v>
      </c>
      <c r="E159" s="49">
        <f>VLOOKUP($A159,'Data shares'!$C:$FB,67)</f>
        <v>43022000</v>
      </c>
      <c r="F159" s="50">
        <f>VLOOKUP($A159,'Data shares'!$C:$FB,69)*100</f>
        <v>-28.58</v>
      </c>
      <c r="G159" s="49">
        <f>VLOOKUP($A159,'Data shares'!$C:$FB,42)</f>
        <v>7865200</v>
      </c>
      <c r="H159" s="49">
        <f>VLOOKUP($A159,'Data shares'!$C:$FB,43)</f>
        <v>9478000</v>
      </c>
      <c r="I159" s="50">
        <f>VLOOKUP($A159,'Data shares'!$C:$FB,45)*100</f>
        <v>-17.02</v>
      </c>
      <c r="J159" s="49">
        <f>VLOOKUP($A159,'Data shares'!$C:$FB,58)</f>
        <v>17823400</v>
      </c>
      <c r="K159" s="49">
        <f>VLOOKUP($A159,'Data shares'!$C:$FB,59)</f>
        <v>21103600</v>
      </c>
      <c r="L159" s="50">
        <f>VLOOKUP($A159,'Data shares'!$C:$FB,61)*100</f>
        <v>-15.540000000000001</v>
      </c>
      <c r="M159" s="49">
        <f>VLOOKUP($A159,'Data shares'!$C:$FB,62)</f>
        <v>5038600</v>
      </c>
      <c r="N159" s="49">
        <f>VLOOKUP($A159,'Data shares'!$C:$FB,63)</f>
        <v>12440400</v>
      </c>
      <c r="O159" s="140">
        <f>VLOOKUP($A159,'Data shares'!$C:$FB,65)*100</f>
        <v>-59.5</v>
      </c>
    </row>
    <row r="160" spans="1:15" x14ac:dyDescent="0.25">
      <c r="A160" s="101" t="str">
        <f>'Data Vlaue (Cr)'!C155</f>
        <v>ONGC</v>
      </c>
      <c r="B160" s="50">
        <f>VLOOKUP($A160,'Data shares'!$C:$FB,7)</f>
        <v>288.60000000000002</v>
      </c>
      <c r="C160" s="50">
        <f>VLOOKUP($A160,'Data shares'!$C:$FB,10)*100</f>
        <v>1.0900000000000001</v>
      </c>
      <c r="D160" s="49">
        <f>VLOOKUP($A160,'Data shares'!$C:$FB,66)</f>
        <v>100840500</v>
      </c>
      <c r="E160" s="49">
        <f>VLOOKUP($A160,'Data shares'!$C:$FB,67)</f>
        <v>231846750</v>
      </c>
      <c r="F160" s="50">
        <f>VLOOKUP($A160,'Data shares'!$C:$FB,69)*100</f>
        <v>-56.510000000000005</v>
      </c>
      <c r="G160" s="49">
        <f>VLOOKUP($A160,'Data shares'!$C:$FB,42)</f>
        <v>9940500</v>
      </c>
      <c r="H160" s="49">
        <f>VLOOKUP($A160,'Data shares'!$C:$FB,43)</f>
        <v>35718750</v>
      </c>
      <c r="I160" s="50">
        <f>VLOOKUP($A160,'Data shares'!$C:$FB,45)*100</f>
        <v>-72.17</v>
      </c>
      <c r="J160" s="49">
        <f>VLOOKUP($A160,'Data shares'!$C:$FB,58)</f>
        <v>66946500</v>
      </c>
      <c r="K160" s="49">
        <f>VLOOKUP($A160,'Data shares'!$C:$FB,59)</f>
        <v>120217500</v>
      </c>
      <c r="L160" s="50">
        <f>VLOOKUP($A160,'Data shares'!$C:$FB,61)*100</f>
        <v>-44.31</v>
      </c>
      <c r="M160" s="49">
        <f>VLOOKUP($A160,'Data shares'!$C:$FB,62)</f>
        <v>23953500</v>
      </c>
      <c r="N160" s="49">
        <f>VLOOKUP($A160,'Data shares'!$C:$FB,63)</f>
        <v>75910500</v>
      </c>
      <c r="O160" s="140">
        <f>VLOOKUP($A160,'Data shares'!$C:$FB,65)*100</f>
        <v>-68.45</v>
      </c>
    </row>
    <row r="161" spans="1:15" x14ac:dyDescent="0.25">
      <c r="A161" s="101" t="str">
        <f>'Data Vlaue (Cr)'!C156</f>
        <v>PAGEIND</v>
      </c>
      <c r="B161" s="50">
        <f>VLOOKUP($A161,'Data shares'!$C:$FB,7)</f>
        <v>35950</v>
      </c>
      <c r="C161" s="50">
        <f>VLOOKUP($A161,'Data shares'!$C:$FB,10)*100</f>
        <v>1.77</v>
      </c>
      <c r="D161" s="49">
        <f>VLOOKUP($A161,'Data shares'!$C:$FB,66)</f>
        <v>155730</v>
      </c>
      <c r="E161" s="49">
        <f>VLOOKUP($A161,'Data shares'!$C:$FB,67)</f>
        <v>128385</v>
      </c>
      <c r="F161" s="50">
        <f>VLOOKUP($A161,'Data shares'!$C:$FB,69)*100</f>
        <v>21.3</v>
      </c>
      <c r="G161" s="49">
        <f>VLOOKUP($A161,'Data shares'!$C:$FB,42)</f>
        <v>50985</v>
      </c>
      <c r="H161" s="49">
        <f>VLOOKUP($A161,'Data shares'!$C:$FB,43)</f>
        <v>27705</v>
      </c>
      <c r="I161" s="50">
        <f>VLOOKUP($A161,'Data shares'!$C:$FB,45)*100</f>
        <v>84.03</v>
      </c>
      <c r="J161" s="49">
        <f>VLOOKUP($A161,'Data shares'!$C:$FB,58)</f>
        <v>63795</v>
      </c>
      <c r="K161" s="49">
        <f>VLOOKUP($A161,'Data shares'!$C:$FB,59)</f>
        <v>64860</v>
      </c>
      <c r="L161" s="50">
        <f>VLOOKUP($A161,'Data shares'!$C:$FB,61)*100</f>
        <v>-1.6400000000000001</v>
      </c>
      <c r="M161" s="49">
        <f>VLOOKUP($A161,'Data shares'!$C:$FB,62)</f>
        <v>40950</v>
      </c>
      <c r="N161" s="49">
        <f>VLOOKUP($A161,'Data shares'!$C:$FB,63)</f>
        <v>35820</v>
      </c>
      <c r="O161" s="140">
        <f>VLOOKUP($A161,'Data shares'!$C:$FB,65)*100</f>
        <v>14.32</v>
      </c>
    </row>
    <row r="162" spans="1:15" x14ac:dyDescent="0.25">
      <c r="A162" s="101" t="str">
        <f>'Data Vlaue (Cr)'!C157</f>
        <v>PATANJALI</v>
      </c>
      <c r="B162" s="50">
        <f>VLOOKUP($A162,'Data shares'!$C:$FB,7)</f>
        <v>459.7</v>
      </c>
      <c r="C162" s="50">
        <f>VLOOKUP($A162,'Data shares'!$C:$FB,10)*100</f>
        <v>-1.8900000000000001</v>
      </c>
      <c r="D162" s="49">
        <f>VLOOKUP($A162,'Data shares'!$C:$FB,66)</f>
        <v>7526700</v>
      </c>
      <c r="E162" s="49">
        <f>VLOOKUP($A162,'Data shares'!$C:$FB,67)</f>
        <v>12959100</v>
      </c>
      <c r="F162" s="50">
        <f>VLOOKUP($A162,'Data shares'!$C:$FB,69)*100</f>
        <v>-41.92</v>
      </c>
      <c r="G162" s="49">
        <f>VLOOKUP($A162,'Data shares'!$C:$FB,42)</f>
        <v>2902500</v>
      </c>
      <c r="H162" s="49">
        <f>VLOOKUP($A162,'Data shares'!$C:$FB,43)</f>
        <v>6069600</v>
      </c>
      <c r="I162" s="50">
        <f>VLOOKUP($A162,'Data shares'!$C:$FB,45)*100</f>
        <v>-52.180000000000007</v>
      </c>
      <c r="J162" s="49">
        <f>VLOOKUP($A162,'Data shares'!$C:$FB,58)</f>
        <v>2817900</v>
      </c>
      <c r="K162" s="49">
        <f>VLOOKUP($A162,'Data shares'!$C:$FB,59)</f>
        <v>4527000</v>
      </c>
      <c r="L162" s="50">
        <f>VLOOKUP($A162,'Data shares'!$C:$FB,61)*100</f>
        <v>-37.75</v>
      </c>
      <c r="M162" s="49">
        <f>VLOOKUP($A162,'Data shares'!$C:$FB,62)</f>
        <v>1806300</v>
      </c>
      <c r="N162" s="49">
        <f>VLOOKUP($A162,'Data shares'!$C:$FB,63)</f>
        <v>2362500</v>
      </c>
      <c r="O162" s="140">
        <f>VLOOKUP($A162,'Data shares'!$C:$FB,65)*100</f>
        <v>-23.54</v>
      </c>
    </row>
    <row r="163" spans="1:15" x14ac:dyDescent="0.25">
      <c r="A163" s="101" t="str">
        <f>'Data Vlaue (Cr)'!C158</f>
        <v>PAYTM</v>
      </c>
      <c r="B163" s="50">
        <f>VLOOKUP($A163,'Data shares'!$C:$FB,7)</f>
        <v>1097.95</v>
      </c>
      <c r="C163" s="50">
        <f>VLOOKUP($A163,'Data shares'!$C:$FB,10)*100</f>
        <v>-1.35</v>
      </c>
      <c r="D163" s="49">
        <f>VLOOKUP($A163,'Data shares'!$C:$FB,66)</f>
        <v>22807775</v>
      </c>
      <c r="E163" s="49">
        <f>VLOOKUP($A163,'Data shares'!$C:$FB,67)</f>
        <v>26854725</v>
      </c>
      <c r="F163" s="50">
        <f>VLOOKUP($A163,'Data shares'!$C:$FB,69)*100</f>
        <v>-15.07</v>
      </c>
      <c r="G163" s="49">
        <f>VLOOKUP($A163,'Data shares'!$C:$FB,42)</f>
        <v>4274600</v>
      </c>
      <c r="H163" s="49">
        <f>VLOOKUP($A163,'Data shares'!$C:$FB,43)</f>
        <v>5114875</v>
      </c>
      <c r="I163" s="50">
        <f>VLOOKUP($A163,'Data shares'!$C:$FB,45)*100</f>
        <v>-16.43</v>
      </c>
      <c r="J163" s="49">
        <f>VLOOKUP($A163,'Data shares'!$C:$FB,58)</f>
        <v>11341900</v>
      </c>
      <c r="K163" s="49">
        <f>VLOOKUP($A163,'Data shares'!$C:$FB,59)</f>
        <v>14107050</v>
      </c>
      <c r="L163" s="50">
        <f>VLOOKUP($A163,'Data shares'!$C:$FB,61)*100</f>
        <v>-19.600000000000001</v>
      </c>
      <c r="M163" s="49">
        <f>VLOOKUP($A163,'Data shares'!$C:$FB,62)</f>
        <v>7191275</v>
      </c>
      <c r="N163" s="49">
        <f>VLOOKUP($A163,'Data shares'!$C:$FB,63)</f>
        <v>7632800</v>
      </c>
      <c r="O163" s="140">
        <f>VLOOKUP($A163,'Data shares'!$C:$FB,65)*100</f>
        <v>-5.7799999999999994</v>
      </c>
    </row>
    <row r="164" spans="1:15" x14ac:dyDescent="0.25">
      <c r="A164" s="101" t="str">
        <f>'Data Vlaue (Cr)'!C159</f>
        <v>PERSISTENT</v>
      </c>
      <c r="B164" s="50">
        <f>VLOOKUP($A164,'Data shares'!$C:$FB,7)</f>
        <v>5471.1</v>
      </c>
      <c r="C164" s="50">
        <f>VLOOKUP($A164,'Data shares'!$C:$FB,10)*100</f>
        <v>1.81</v>
      </c>
      <c r="D164" s="49">
        <f>VLOOKUP($A164,'Data shares'!$C:$FB,66)</f>
        <v>3461300</v>
      </c>
      <c r="E164" s="49">
        <f>VLOOKUP($A164,'Data shares'!$C:$FB,67)</f>
        <v>4064400</v>
      </c>
      <c r="F164" s="50">
        <f>VLOOKUP($A164,'Data shares'!$C:$FB,69)*100</f>
        <v>-14.84</v>
      </c>
      <c r="G164" s="49">
        <f>VLOOKUP($A164,'Data shares'!$C:$FB,42)</f>
        <v>1058900</v>
      </c>
      <c r="H164" s="49">
        <f>VLOOKUP($A164,'Data shares'!$C:$FB,43)</f>
        <v>1153300</v>
      </c>
      <c r="I164" s="50">
        <f>VLOOKUP($A164,'Data shares'!$C:$FB,45)*100</f>
        <v>-8.19</v>
      </c>
      <c r="J164" s="49">
        <f>VLOOKUP($A164,'Data shares'!$C:$FB,58)</f>
        <v>1499600</v>
      </c>
      <c r="K164" s="49">
        <f>VLOOKUP($A164,'Data shares'!$C:$FB,59)</f>
        <v>1969900</v>
      </c>
      <c r="L164" s="50">
        <f>VLOOKUP($A164,'Data shares'!$C:$FB,61)*100</f>
        <v>-23.87</v>
      </c>
      <c r="M164" s="49">
        <f>VLOOKUP($A164,'Data shares'!$C:$FB,62)</f>
        <v>902800</v>
      </c>
      <c r="N164" s="49">
        <f>VLOOKUP($A164,'Data shares'!$C:$FB,63)</f>
        <v>941200</v>
      </c>
      <c r="O164" s="140">
        <f>VLOOKUP($A164,'Data shares'!$C:$FB,65)*100</f>
        <v>-4.08</v>
      </c>
    </row>
    <row r="165" spans="1:15" x14ac:dyDescent="0.25">
      <c r="A165" s="101" t="str">
        <f>'Data Vlaue (Cr)'!C160</f>
        <v>PETRONET</v>
      </c>
      <c r="B165" s="50">
        <f>VLOOKUP($A165,'Data shares'!$C:$FB,7)</f>
        <v>271.37</v>
      </c>
      <c r="C165" s="50">
        <f>VLOOKUP($A165,'Data shares'!$C:$FB,10)*100</f>
        <v>0.36</v>
      </c>
      <c r="D165" s="49">
        <f>VLOOKUP($A165,'Data shares'!$C:$FB,66)</f>
        <v>48571600</v>
      </c>
      <c r="E165" s="49">
        <f>VLOOKUP($A165,'Data shares'!$C:$FB,67)</f>
        <v>38777100</v>
      </c>
      <c r="F165" s="50">
        <f>VLOOKUP($A165,'Data shares'!$C:$FB,69)*100</f>
        <v>25.259999999999998</v>
      </c>
      <c r="G165" s="49">
        <f>VLOOKUP($A165,'Data shares'!$C:$FB,42)</f>
        <v>9733700</v>
      </c>
      <c r="H165" s="49">
        <f>VLOOKUP($A165,'Data shares'!$C:$FB,43)</f>
        <v>12427900</v>
      </c>
      <c r="I165" s="50">
        <f>VLOOKUP($A165,'Data shares'!$C:$FB,45)*100</f>
        <v>-21.68</v>
      </c>
      <c r="J165" s="49">
        <f>VLOOKUP($A165,'Data shares'!$C:$FB,58)</f>
        <v>31190400</v>
      </c>
      <c r="K165" s="49">
        <f>VLOOKUP($A165,'Data shares'!$C:$FB,59)</f>
        <v>17107600</v>
      </c>
      <c r="L165" s="50">
        <f>VLOOKUP($A165,'Data shares'!$C:$FB,61)*100</f>
        <v>82.320000000000007</v>
      </c>
      <c r="M165" s="49">
        <f>VLOOKUP($A165,'Data shares'!$C:$FB,62)</f>
        <v>7647500</v>
      </c>
      <c r="N165" s="49">
        <f>VLOOKUP($A165,'Data shares'!$C:$FB,63)</f>
        <v>9241600</v>
      </c>
      <c r="O165" s="140">
        <f>VLOOKUP($A165,'Data shares'!$C:$FB,65)*100</f>
        <v>-17.25</v>
      </c>
    </row>
    <row r="166" spans="1:15" x14ac:dyDescent="0.25">
      <c r="A166" s="101" t="str">
        <f>'Data Vlaue (Cr)'!C161</f>
        <v>PFC</v>
      </c>
      <c r="B166" s="50">
        <f>VLOOKUP($A166,'Data shares'!$C:$FB,7)</f>
        <v>428.05</v>
      </c>
      <c r="C166" s="50">
        <f>VLOOKUP($A166,'Data shares'!$C:$FB,10)*100</f>
        <v>2.4899999999999998</v>
      </c>
      <c r="D166" s="49">
        <f>VLOOKUP($A166,'Data shares'!$C:$FB,66)</f>
        <v>90002900</v>
      </c>
      <c r="E166" s="49">
        <f>VLOOKUP($A166,'Data shares'!$C:$FB,67)</f>
        <v>53469000</v>
      </c>
      <c r="F166" s="50">
        <f>VLOOKUP($A166,'Data shares'!$C:$FB,69)*100</f>
        <v>68.33</v>
      </c>
      <c r="G166" s="49">
        <f>VLOOKUP($A166,'Data shares'!$C:$FB,42)</f>
        <v>15086500</v>
      </c>
      <c r="H166" s="49">
        <f>VLOOKUP($A166,'Data shares'!$C:$FB,43)</f>
        <v>13390000</v>
      </c>
      <c r="I166" s="50">
        <f>VLOOKUP($A166,'Data shares'!$C:$FB,45)*100</f>
        <v>12.67</v>
      </c>
      <c r="J166" s="49">
        <f>VLOOKUP($A166,'Data shares'!$C:$FB,58)</f>
        <v>50459500</v>
      </c>
      <c r="K166" s="49">
        <f>VLOOKUP($A166,'Data shares'!$C:$FB,59)</f>
        <v>25266800</v>
      </c>
      <c r="L166" s="50">
        <f>VLOOKUP($A166,'Data shares'!$C:$FB,61)*100</f>
        <v>99.71</v>
      </c>
      <c r="M166" s="49">
        <f>VLOOKUP($A166,'Data shares'!$C:$FB,62)</f>
        <v>24456900</v>
      </c>
      <c r="N166" s="49">
        <f>VLOOKUP($A166,'Data shares'!$C:$FB,63)</f>
        <v>14812200</v>
      </c>
      <c r="O166" s="140">
        <f>VLOOKUP($A166,'Data shares'!$C:$FB,65)*100</f>
        <v>65.11</v>
      </c>
    </row>
    <row r="167" spans="1:15" x14ac:dyDescent="0.25">
      <c r="A167" s="101" t="str">
        <f>'Data Vlaue (Cr)'!C162</f>
        <v>PGEL</v>
      </c>
      <c r="B167" s="50">
        <f>VLOOKUP($A167,'Data shares'!$C:$FB,7)</f>
        <v>479.8</v>
      </c>
      <c r="C167" s="50">
        <f>VLOOKUP($A167,'Data shares'!$C:$FB,10)*100</f>
        <v>-0.53</v>
      </c>
      <c r="D167" s="49">
        <f>VLOOKUP($A167,'Data shares'!$C:$FB,66)</f>
        <v>29019650</v>
      </c>
      <c r="E167" s="49">
        <f>VLOOKUP($A167,'Data shares'!$C:$FB,67)</f>
        <v>42906750</v>
      </c>
      <c r="F167" s="50">
        <f>VLOOKUP($A167,'Data shares'!$C:$FB,69)*100</f>
        <v>-32.369999999999997</v>
      </c>
      <c r="G167" s="49">
        <f>VLOOKUP($A167,'Data shares'!$C:$FB,42)</f>
        <v>6542650</v>
      </c>
      <c r="H167" s="49">
        <f>VLOOKUP($A167,'Data shares'!$C:$FB,43)</f>
        <v>9015500</v>
      </c>
      <c r="I167" s="50">
        <f>VLOOKUP($A167,'Data shares'!$C:$FB,45)*100</f>
        <v>-27.43</v>
      </c>
      <c r="J167" s="49">
        <f>VLOOKUP($A167,'Data shares'!$C:$FB,58)</f>
        <v>13943150</v>
      </c>
      <c r="K167" s="49">
        <f>VLOOKUP($A167,'Data shares'!$C:$FB,59)</f>
        <v>24864350</v>
      </c>
      <c r="L167" s="50">
        <f>VLOOKUP($A167,'Data shares'!$C:$FB,61)*100</f>
        <v>-43.919999999999995</v>
      </c>
      <c r="M167" s="49">
        <f>VLOOKUP($A167,'Data shares'!$C:$FB,62)</f>
        <v>8533850</v>
      </c>
      <c r="N167" s="49">
        <f>VLOOKUP($A167,'Data shares'!$C:$FB,63)</f>
        <v>9026900</v>
      </c>
      <c r="O167" s="140">
        <f>VLOOKUP($A167,'Data shares'!$C:$FB,65)*100</f>
        <v>-5.46</v>
      </c>
    </row>
    <row r="168" spans="1:15" x14ac:dyDescent="0.25">
      <c r="A168" s="101" t="str">
        <f>'Data Vlaue (Cr)'!C163</f>
        <v>PHOENIXLTD</v>
      </c>
      <c r="B168" s="50">
        <f>VLOOKUP($A168,'Data shares'!$C:$FB,7)</f>
        <v>1709.9</v>
      </c>
      <c r="C168" s="50">
        <f>VLOOKUP($A168,'Data shares'!$C:$FB,10)*100</f>
        <v>-0.19</v>
      </c>
      <c r="D168" s="49">
        <f>VLOOKUP($A168,'Data shares'!$C:$FB,66)</f>
        <v>1199100</v>
      </c>
      <c r="E168" s="49">
        <f>VLOOKUP($A168,'Data shares'!$C:$FB,67)</f>
        <v>3362450</v>
      </c>
      <c r="F168" s="50">
        <f>VLOOKUP($A168,'Data shares'!$C:$FB,69)*100</f>
        <v>-64.34</v>
      </c>
      <c r="G168" s="49">
        <f>VLOOKUP($A168,'Data shares'!$C:$FB,42)</f>
        <v>559650</v>
      </c>
      <c r="H168" s="49">
        <f>VLOOKUP($A168,'Data shares'!$C:$FB,43)</f>
        <v>1021650</v>
      </c>
      <c r="I168" s="50">
        <f>VLOOKUP($A168,'Data shares'!$C:$FB,45)*100</f>
        <v>-45.22</v>
      </c>
      <c r="J168" s="49">
        <f>VLOOKUP($A168,'Data shares'!$C:$FB,58)</f>
        <v>292950</v>
      </c>
      <c r="K168" s="49">
        <f>VLOOKUP($A168,'Data shares'!$C:$FB,59)</f>
        <v>1439900</v>
      </c>
      <c r="L168" s="50">
        <f>VLOOKUP($A168,'Data shares'!$C:$FB,61)*100</f>
        <v>-79.650000000000006</v>
      </c>
      <c r="M168" s="49">
        <f>VLOOKUP($A168,'Data shares'!$C:$FB,62)</f>
        <v>346500</v>
      </c>
      <c r="N168" s="49">
        <f>VLOOKUP($A168,'Data shares'!$C:$FB,63)</f>
        <v>900900</v>
      </c>
      <c r="O168" s="140">
        <f>VLOOKUP($A168,'Data shares'!$C:$FB,65)*100</f>
        <v>-61.539999999999992</v>
      </c>
    </row>
    <row r="169" spans="1:15" x14ac:dyDescent="0.25">
      <c r="A169" s="101" t="str">
        <f>'Data Vlaue (Cr)'!C164</f>
        <v>PIDILITIND</v>
      </c>
      <c r="B169" s="50">
        <f>VLOOKUP($A169,'Data shares'!$C:$FB,7)</f>
        <v>1347.4</v>
      </c>
      <c r="C169" s="50">
        <f>VLOOKUP($A169,'Data shares'!$C:$FB,10)*100</f>
        <v>-0.55999999999999994</v>
      </c>
      <c r="D169" s="49">
        <f>VLOOKUP($A169,'Data shares'!$C:$FB,66)</f>
        <v>2295000</v>
      </c>
      <c r="E169" s="49">
        <f>VLOOKUP($A169,'Data shares'!$C:$FB,67)</f>
        <v>4869500</v>
      </c>
      <c r="F169" s="50">
        <f>VLOOKUP($A169,'Data shares'!$C:$FB,69)*100</f>
        <v>-52.87</v>
      </c>
      <c r="G169" s="49">
        <f>VLOOKUP($A169,'Data shares'!$C:$FB,42)</f>
        <v>777500</v>
      </c>
      <c r="H169" s="49">
        <f>VLOOKUP($A169,'Data shares'!$C:$FB,43)</f>
        <v>1490000</v>
      </c>
      <c r="I169" s="50">
        <f>VLOOKUP($A169,'Data shares'!$C:$FB,45)*100</f>
        <v>-47.82</v>
      </c>
      <c r="J169" s="49">
        <f>VLOOKUP($A169,'Data shares'!$C:$FB,58)</f>
        <v>744500</v>
      </c>
      <c r="K169" s="49">
        <f>VLOOKUP($A169,'Data shares'!$C:$FB,59)</f>
        <v>2345500</v>
      </c>
      <c r="L169" s="50">
        <f>VLOOKUP($A169,'Data shares'!$C:$FB,61)*100</f>
        <v>-68.260000000000005</v>
      </c>
      <c r="M169" s="49">
        <f>VLOOKUP($A169,'Data shares'!$C:$FB,62)</f>
        <v>773000</v>
      </c>
      <c r="N169" s="49">
        <f>VLOOKUP($A169,'Data shares'!$C:$FB,63)</f>
        <v>1034000</v>
      </c>
      <c r="O169" s="140">
        <f>VLOOKUP($A169,'Data shares'!$C:$FB,65)*100</f>
        <v>-25.240000000000002</v>
      </c>
    </row>
    <row r="170" spans="1:15" x14ac:dyDescent="0.25">
      <c r="A170" s="101" t="str">
        <f>'Data Vlaue (Cr)'!C165</f>
        <v>PIIND</v>
      </c>
      <c r="B170" s="50">
        <f>VLOOKUP($A170,'Data shares'!$C:$FB,7)</f>
        <v>2880.7</v>
      </c>
      <c r="C170" s="50">
        <f>VLOOKUP($A170,'Data shares'!$C:$FB,10)*100</f>
        <v>0.13</v>
      </c>
      <c r="D170" s="49">
        <f>VLOOKUP($A170,'Data shares'!$C:$FB,66)</f>
        <v>1276275</v>
      </c>
      <c r="E170" s="49">
        <f>VLOOKUP($A170,'Data shares'!$C:$FB,67)</f>
        <v>933800</v>
      </c>
      <c r="F170" s="50">
        <f>VLOOKUP($A170,'Data shares'!$C:$FB,69)*100</f>
        <v>36.68</v>
      </c>
      <c r="G170" s="49">
        <f>VLOOKUP($A170,'Data shares'!$C:$FB,42)</f>
        <v>433475</v>
      </c>
      <c r="H170" s="49">
        <f>VLOOKUP($A170,'Data shares'!$C:$FB,43)</f>
        <v>314650</v>
      </c>
      <c r="I170" s="50">
        <f>VLOOKUP($A170,'Data shares'!$C:$FB,45)*100</f>
        <v>37.76</v>
      </c>
      <c r="J170" s="49">
        <f>VLOOKUP($A170,'Data shares'!$C:$FB,58)</f>
        <v>448525</v>
      </c>
      <c r="K170" s="49">
        <f>VLOOKUP($A170,'Data shares'!$C:$FB,59)</f>
        <v>392700</v>
      </c>
      <c r="L170" s="50">
        <f>VLOOKUP($A170,'Data shares'!$C:$FB,61)*100</f>
        <v>14.219999999999999</v>
      </c>
      <c r="M170" s="49">
        <f>VLOOKUP($A170,'Data shares'!$C:$FB,62)</f>
        <v>394275</v>
      </c>
      <c r="N170" s="49">
        <f>VLOOKUP($A170,'Data shares'!$C:$FB,63)</f>
        <v>226450</v>
      </c>
      <c r="O170" s="140">
        <f>VLOOKUP($A170,'Data shares'!$C:$FB,65)*100</f>
        <v>74.11</v>
      </c>
    </row>
    <row r="171" spans="1:15" x14ac:dyDescent="0.25">
      <c r="A171" s="101" t="str">
        <f>'Data Vlaue (Cr)'!C166</f>
        <v>PNB</v>
      </c>
      <c r="B171" s="50">
        <f>VLOOKUP($A171,'Data shares'!$C:$FB,7)</f>
        <v>109.59</v>
      </c>
      <c r="C171" s="50">
        <f>VLOOKUP($A171,'Data shares'!$C:$FB,10)*100</f>
        <v>-1.39</v>
      </c>
      <c r="D171" s="49">
        <f>VLOOKUP($A171,'Data shares'!$C:$FB,66)</f>
        <v>185000000</v>
      </c>
      <c r="E171" s="49">
        <f>VLOOKUP($A171,'Data shares'!$C:$FB,67)</f>
        <v>253312000</v>
      </c>
      <c r="F171" s="50">
        <f>VLOOKUP($A171,'Data shares'!$C:$FB,69)*100</f>
        <v>-26.97</v>
      </c>
      <c r="G171" s="49">
        <f>VLOOKUP($A171,'Data shares'!$C:$FB,42)</f>
        <v>48760000</v>
      </c>
      <c r="H171" s="49">
        <f>VLOOKUP($A171,'Data shares'!$C:$FB,43)</f>
        <v>72296000</v>
      </c>
      <c r="I171" s="50">
        <f>VLOOKUP($A171,'Data shares'!$C:$FB,45)*100</f>
        <v>-32.56</v>
      </c>
      <c r="J171" s="49">
        <f>VLOOKUP($A171,'Data shares'!$C:$FB,58)</f>
        <v>83312000</v>
      </c>
      <c r="K171" s="49">
        <f>VLOOKUP($A171,'Data shares'!$C:$FB,59)</f>
        <v>119776000</v>
      </c>
      <c r="L171" s="50">
        <f>VLOOKUP($A171,'Data shares'!$C:$FB,61)*100</f>
        <v>-30.44</v>
      </c>
      <c r="M171" s="49">
        <f>VLOOKUP($A171,'Data shares'!$C:$FB,62)</f>
        <v>52928000</v>
      </c>
      <c r="N171" s="49">
        <f>VLOOKUP($A171,'Data shares'!$C:$FB,63)</f>
        <v>61240000</v>
      </c>
      <c r="O171" s="140">
        <f>VLOOKUP($A171,'Data shares'!$C:$FB,65)*100</f>
        <v>-13.569999999999999</v>
      </c>
    </row>
    <row r="172" spans="1:15" x14ac:dyDescent="0.25">
      <c r="A172" s="101" t="str">
        <f>'Data Vlaue (Cr)'!C167</f>
        <v>PNBHOUSING</v>
      </c>
      <c r="B172" s="50">
        <f>VLOOKUP($A172,'Data shares'!$C:$FB,7)</f>
        <v>862.95</v>
      </c>
      <c r="C172" s="50">
        <f>VLOOKUP($A172,'Data shares'!$C:$FB,10)*100</f>
        <v>-1.1900000000000002</v>
      </c>
      <c r="D172" s="49">
        <f>VLOOKUP($A172,'Data shares'!$C:$FB,66)</f>
        <v>4529850</v>
      </c>
      <c r="E172" s="49">
        <f>VLOOKUP($A172,'Data shares'!$C:$FB,67)</f>
        <v>7419100</v>
      </c>
      <c r="F172" s="50">
        <f>VLOOKUP($A172,'Data shares'!$C:$FB,69)*100</f>
        <v>-38.940000000000005</v>
      </c>
      <c r="G172" s="49">
        <f>VLOOKUP($A172,'Data shares'!$C:$FB,42)</f>
        <v>1268150</v>
      </c>
      <c r="H172" s="49">
        <f>VLOOKUP($A172,'Data shares'!$C:$FB,43)</f>
        <v>3259100</v>
      </c>
      <c r="I172" s="50">
        <f>VLOOKUP($A172,'Data shares'!$C:$FB,45)*100</f>
        <v>-61.09</v>
      </c>
      <c r="J172" s="49">
        <f>VLOOKUP($A172,'Data shares'!$C:$FB,58)</f>
        <v>708500</v>
      </c>
      <c r="K172" s="49">
        <f>VLOOKUP($A172,'Data shares'!$C:$FB,59)</f>
        <v>2930200</v>
      </c>
      <c r="L172" s="50">
        <f>VLOOKUP($A172,'Data shares'!$C:$FB,61)*100</f>
        <v>-75.819999999999993</v>
      </c>
      <c r="M172" s="49">
        <f>VLOOKUP($A172,'Data shares'!$C:$FB,62)</f>
        <v>2553200</v>
      </c>
      <c r="N172" s="49">
        <f>VLOOKUP($A172,'Data shares'!$C:$FB,63)</f>
        <v>1229800</v>
      </c>
      <c r="O172" s="140">
        <f>VLOOKUP($A172,'Data shares'!$C:$FB,65)*100</f>
        <v>107.61</v>
      </c>
    </row>
    <row r="173" spans="1:15" x14ac:dyDescent="0.25">
      <c r="A173" s="101" t="str">
        <f>'Data Vlaue (Cr)'!C168</f>
        <v>POLICYBZR</v>
      </c>
      <c r="B173" s="50">
        <f>VLOOKUP($A173,'Data shares'!$C:$FB,7)</f>
        <v>1493.3</v>
      </c>
      <c r="C173" s="50">
        <f>VLOOKUP($A173,'Data shares'!$C:$FB,10)*100</f>
        <v>-0.35000000000000003</v>
      </c>
      <c r="D173" s="49">
        <f>VLOOKUP($A173,'Data shares'!$C:$FB,66)</f>
        <v>2069200</v>
      </c>
      <c r="E173" s="49">
        <f>VLOOKUP($A173,'Data shares'!$C:$FB,67)</f>
        <v>2278500</v>
      </c>
      <c r="F173" s="50">
        <f>VLOOKUP($A173,'Data shares'!$C:$FB,69)*100</f>
        <v>-9.19</v>
      </c>
      <c r="G173" s="49">
        <f>VLOOKUP($A173,'Data shares'!$C:$FB,42)</f>
        <v>793800</v>
      </c>
      <c r="H173" s="49">
        <f>VLOOKUP($A173,'Data shares'!$C:$FB,43)</f>
        <v>830200</v>
      </c>
      <c r="I173" s="50">
        <f>VLOOKUP($A173,'Data shares'!$C:$FB,45)*100</f>
        <v>-4.38</v>
      </c>
      <c r="J173" s="49">
        <f>VLOOKUP($A173,'Data shares'!$C:$FB,58)</f>
        <v>894250</v>
      </c>
      <c r="K173" s="49">
        <f>VLOOKUP($A173,'Data shares'!$C:$FB,59)</f>
        <v>969500</v>
      </c>
      <c r="L173" s="50">
        <f>VLOOKUP($A173,'Data shares'!$C:$FB,61)*100</f>
        <v>-7.76</v>
      </c>
      <c r="M173" s="49">
        <f>VLOOKUP($A173,'Data shares'!$C:$FB,62)</f>
        <v>381150</v>
      </c>
      <c r="N173" s="49">
        <f>VLOOKUP($A173,'Data shares'!$C:$FB,63)</f>
        <v>478800</v>
      </c>
      <c r="O173" s="140">
        <f>VLOOKUP($A173,'Data shares'!$C:$FB,65)*100</f>
        <v>-20.39</v>
      </c>
    </row>
    <row r="174" spans="1:15" x14ac:dyDescent="0.25">
      <c r="A174" s="101" t="str">
        <f>'Data Vlaue (Cr)'!C169</f>
        <v>POLYCAB</v>
      </c>
      <c r="B174" s="50">
        <f>VLOOKUP($A174,'Data shares'!$C:$FB,7)</f>
        <v>7607</v>
      </c>
      <c r="C174" s="50">
        <f>VLOOKUP($A174,'Data shares'!$C:$FB,10)*100</f>
        <v>0.09</v>
      </c>
      <c r="D174" s="49">
        <f>VLOOKUP($A174,'Data shares'!$C:$FB,66)</f>
        <v>1854250</v>
      </c>
      <c r="E174" s="49">
        <f>VLOOKUP($A174,'Data shares'!$C:$FB,67)</f>
        <v>3826750</v>
      </c>
      <c r="F174" s="50">
        <f>VLOOKUP($A174,'Data shares'!$C:$FB,69)*100</f>
        <v>-51.55</v>
      </c>
      <c r="G174" s="49">
        <f>VLOOKUP($A174,'Data shares'!$C:$FB,42)</f>
        <v>305250</v>
      </c>
      <c r="H174" s="49">
        <f>VLOOKUP($A174,'Data shares'!$C:$FB,43)</f>
        <v>728500</v>
      </c>
      <c r="I174" s="50">
        <f>VLOOKUP($A174,'Data shares'!$C:$FB,45)*100</f>
        <v>-58.099999999999994</v>
      </c>
      <c r="J174" s="49">
        <f>VLOOKUP($A174,'Data shares'!$C:$FB,58)</f>
        <v>834500</v>
      </c>
      <c r="K174" s="49">
        <f>VLOOKUP($A174,'Data shares'!$C:$FB,59)</f>
        <v>1648375</v>
      </c>
      <c r="L174" s="50">
        <f>VLOOKUP($A174,'Data shares'!$C:$FB,61)*100</f>
        <v>-49.370000000000005</v>
      </c>
      <c r="M174" s="49">
        <f>VLOOKUP($A174,'Data shares'!$C:$FB,62)</f>
        <v>714500</v>
      </c>
      <c r="N174" s="49">
        <f>VLOOKUP($A174,'Data shares'!$C:$FB,63)</f>
        <v>1449875</v>
      </c>
      <c r="O174" s="140">
        <f>VLOOKUP($A174,'Data shares'!$C:$FB,65)*100</f>
        <v>-50.72</v>
      </c>
    </row>
    <row r="175" spans="1:15" x14ac:dyDescent="0.25">
      <c r="A175" s="101" t="str">
        <f>'Data Vlaue (Cr)'!C170</f>
        <v>POWERGRID</v>
      </c>
      <c r="B175" s="50">
        <f>VLOOKUP($A175,'Data shares'!$C:$FB,7)</f>
        <v>298.10000000000002</v>
      </c>
      <c r="C175" s="50">
        <f>VLOOKUP($A175,'Data shares'!$C:$FB,10)*100</f>
        <v>1.0999999999999999</v>
      </c>
      <c r="D175" s="49">
        <f>VLOOKUP($A175,'Data shares'!$C:$FB,66)</f>
        <v>64687400</v>
      </c>
      <c r="E175" s="49">
        <f>VLOOKUP($A175,'Data shares'!$C:$FB,67)</f>
        <v>53927700</v>
      </c>
      <c r="F175" s="50">
        <f>VLOOKUP($A175,'Data shares'!$C:$FB,69)*100</f>
        <v>19.950000000000003</v>
      </c>
      <c r="G175" s="49">
        <f>VLOOKUP($A175,'Data shares'!$C:$FB,42)</f>
        <v>8660200</v>
      </c>
      <c r="H175" s="49">
        <f>VLOOKUP($A175,'Data shares'!$C:$FB,43)</f>
        <v>11118800</v>
      </c>
      <c r="I175" s="50">
        <f>VLOOKUP($A175,'Data shares'!$C:$FB,45)*100</f>
        <v>-22.11</v>
      </c>
      <c r="J175" s="49">
        <f>VLOOKUP($A175,'Data shares'!$C:$FB,58)</f>
        <v>44300400</v>
      </c>
      <c r="K175" s="49">
        <f>VLOOKUP($A175,'Data shares'!$C:$FB,59)</f>
        <v>30973800</v>
      </c>
      <c r="L175" s="50">
        <f>VLOOKUP($A175,'Data shares'!$C:$FB,61)*100</f>
        <v>43.03</v>
      </c>
      <c r="M175" s="49">
        <f>VLOOKUP($A175,'Data shares'!$C:$FB,62)</f>
        <v>11726800</v>
      </c>
      <c r="N175" s="49">
        <f>VLOOKUP($A175,'Data shares'!$C:$FB,63)</f>
        <v>11835100</v>
      </c>
      <c r="O175" s="140">
        <f>VLOOKUP($A175,'Data shares'!$C:$FB,65)*100</f>
        <v>-0.91999999999999993</v>
      </c>
    </row>
    <row r="176" spans="1:15" x14ac:dyDescent="0.25">
      <c r="A176" s="101" t="str">
        <f>'Data Vlaue (Cr)'!C171</f>
        <v>POWERINDIA</v>
      </c>
      <c r="B176" s="50">
        <f>VLOOKUP($A176,'Data shares'!$C:$FB,7)</f>
        <v>27315</v>
      </c>
      <c r="C176" s="50">
        <f>VLOOKUP($A176,'Data shares'!$C:$FB,10)*100</f>
        <v>5.4</v>
      </c>
      <c r="D176" s="49">
        <f>VLOOKUP($A176,'Data shares'!$C:$FB,66)</f>
        <v>1545500</v>
      </c>
      <c r="E176" s="49">
        <f>VLOOKUP($A176,'Data shares'!$C:$FB,67)</f>
        <v>553800</v>
      </c>
      <c r="F176" s="50">
        <f>VLOOKUP($A176,'Data shares'!$C:$FB,69)*100</f>
        <v>179.07</v>
      </c>
      <c r="G176" s="49">
        <f>VLOOKUP($A176,'Data shares'!$C:$FB,42)</f>
        <v>218200</v>
      </c>
      <c r="H176" s="49">
        <f>VLOOKUP($A176,'Data shares'!$C:$FB,43)</f>
        <v>136000</v>
      </c>
      <c r="I176" s="50">
        <f>VLOOKUP($A176,'Data shares'!$C:$FB,45)*100</f>
        <v>60.440000000000005</v>
      </c>
      <c r="J176" s="49">
        <f>VLOOKUP($A176,'Data shares'!$C:$FB,58)</f>
        <v>966750</v>
      </c>
      <c r="K176" s="49">
        <f>VLOOKUP($A176,'Data shares'!$C:$FB,59)</f>
        <v>284700</v>
      </c>
      <c r="L176" s="50">
        <f>VLOOKUP($A176,'Data shares'!$C:$FB,61)*100</f>
        <v>239.57000000000002</v>
      </c>
      <c r="M176" s="49">
        <f>VLOOKUP($A176,'Data shares'!$C:$FB,62)</f>
        <v>360550</v>
      </c>
      <c r="N176" s="49">
        <f>VLOOKUP($A176,'Data shares'!$C:$FB,63)</f>
        <v>133100</v>
      </c>
      <c r="O176" s="140">
        <f>VLOOKUP($A176,'Data shares'!$C:$FB,65)*100</f>
        <v>170.89000000000001</v>
      </c>
    </row>
    <row r="177" spans="1:15" x14ac:dyDescent="0.25">
      <c r="A177" s="101" t="str">
        <f>'Data Vlaue (Cr)'!C172</f>
        <v>PPLPHARMA</v>
      </c>
      <c r="B177" s="50">
        <f>VLOOKUP($A177,'Data shares'!$C:$FB,7)</f>
        <v>142.94999999999999</v>
      </c>
      <c r="C177" s="50">
        <f>VLOOKUP($A177,'Data shares'!$C:$FB,10)*100</f>
        <v>-0.57000000000000006</v>
      </c>
      <c r="D177" s="49">
        <f>VLOOKUP($A177,'Data shares'!$C:$FB,66)</f>
        <v>8079750</v>
      </c>
      <c r="E177" s="49">
        <f>VLOOKUP($A177,'Data shares'!$C:$FB,67)</f>
        <v>9723000</v>
      </c>
      <c r="F177" s="50">
        <f>VLOOKUP($A177,'Data shares'!$C:$FB,69)*100</f>
        <v>-16.900000000000002</v>
      </c>
      <c r="G177" s="49">
        <f>VLOOKUP($A177,'Data shares'!$C:$FB,42)</f>
        <v>2751000</v>
      </c>
      <c r="H177" s="49">
        <f>VLOOKUP($A177,'Data shares'!$C:$FB,43)</f>
        <v>3942750</v>
      </c>
      <c r="I177" s="50">
        <f>VLOOKUP($A177,'Data shares'!$C:$FB,45)*100</f>
        <v>-30.23</v>
      </c>
      <c r="J177" s="49">
        <f>VLOOKUP($A177,'Data shares'!$C:$FB,58)</f>
        <v>4137000</v>
      </c>
      <c r="K177" s="49">
        <f>VLOOKUP($A177,'Data shares'!$C:$FB,59)</f>
        <v>4360125</v>
      </c>
      <c r="L177" s="50">
        <f>VLOOKUP($A177,'Data shares'!$C:$FB,61)*100</f>
        <v>-5.12</v>
      </c>
      <c r="M177" s="49">
        <f>VLOOKUP($A177,'Data shares'!$C:$FB,62)</f>
        <v>1191750</v>
      </c>
      <c r="N177" s="49">
        <f>VLOOKUP($A177,'Data shares'!$C:$FB,63)</f>
        <v>1420125</v>
      </c>
      <c r="O177" s="140">
        <f>VLOOKUP($A177,'Data shares'!$C:$FB,65)*100</f>
        <v>-16.079999999999998</v>
      </c>
    </row>
    <row r="178" spans="1:15" x14ac:dyDescent="0.25">
      <c r="A178" s="101" t="str">
        <f>'Data Vlaue (Cr)'!C173</f>
        <v>PREMIERENE</v>
      </c>
      <c r="B178" s="50">
        <f>VLOOKUP($A178,'Data shares'!$C:$FB,7)</f>
        <v>956.45</v>
      </c>
      <c r="C178" s="50">
        <f>VLOOKUP($A178,'Data shares'!$C:$FB,10)*100</f>
        <v>-0.33</v>
      </c>
      <c r="D178" s="49">
        <f>VLOOKUP($A178,'Data shares'!$C:$FB,66)</f>
        <v>6519350</v>
      </c>
      <c r="E178" s="49">
        <f>VLOOKUP($A178,'Data shares'!$C:$FB,67)</f>
        <v>9330525</v>
      </c>
      <c r="F178" s="50">
        <f>VLOOKUP($A178,'Data shares'!$C:$FB,69)*100</f>
        <v>-30.130000000000003</v>
      </c>
      <c r="G178" s="49">
        <f>VLOOKUP($A178,'Data shares'!$C:$FB,42)</f>
        <v>1925675</v>
      </c>
      <c r="H178" s="49">
        <f>VLOOKUP($A178,'Data shares'!$C:$FB,43)</f>
        <v>2566225</v>
      </c>
      <c r="I178" s="50">
        <f>VLOOKUP($A178,'Data shares'!$C:$FB,45)*100</f>
        <v>-24.959999999999997</v>
      </c>
      <c r="J178" s="49">
        <f>VLOOKUP($A178,'Data shares'!$C:$FB,58)</f>
        <v>3385600</v>
      </c>
      <c r="K178" s="49">
        <f>VLOOKUP($A178,'Data shares'!$C:$FB,59)</f>
        <v>4458550</v>
      </c>
      <c r="L178" s="50">
        <f>VLOOKUP($A178,'Data shares'!$C:$FB,61)*100</f>
        <v>-24.060000000000002</v>
      </c>
      <c r="M178" s="49">
        <f>VLOOKUP($A178,'Data shares'!$C:$FB,62)</f>
        <v>1208075</v>
      </c>
      <c r="N178" s="49">
        <f>VLOOKUP($A178,'Data shares'!$C:$FB,63)</f>
        <v>2305750</v>
      </c>
      <c r="O178" s="140">
        <f>VLOOKUP($A178,'Data shares'!$C:$FB,65)*100</f>
        <v>-47.61</v>
      </c>
    </row>
    <row r="179" spans="1:15" x14ac:dyDescent="0.25">
      <c r="A179" s="101" t="str">
        <f>'Data Vlaue (Cr)'!C174</f>
        <v>PRESTIGE</v>
      </c>
      <c r="B179" s="50">
        <f>VLOOKUP($A179,'Data shares'!$C:$FB,7)</f>
        <v>1319.4</v>
      </c>
      <c r="C179" s="50">
        <f>VLOOKUP($A179,'Data shares'!$C:$FB,10)*100</f>
        <v>-0.11</v>
      </c>
      <c r="D179" s="49">
        <f>VLOOKUP($A179,'Data shares'!$C:$FB,66)</f>
        <v>4132350</v>
      </c>
      <c r="E179" s="49">
        <f>VLOOKUP($A179,'Data shares'!$C:$FB,67)</f>
        <v>10018800</v>
      </c>
      <c r="F179" s="50">
        <f>VLOOKUP($A179,'Data shares'!$C:$FB,69)*100</f>
        <v>-58.75</v>
      </c>
      <c r="G179" s="49">
        <f>VLOOKUP($A179,'Data shares'!$C:$FB,42)</f>
        <v>883800</v>
      </c>
      <c r="H179" s="49">
        <f>VLOOKUP($A179,'Data shares'!$C:$FB,43)</f>
        <v>2504700</v>
      </c>
      <c r="I179" s="50">
        <f>VLOOKUP($A179,'Data shares'!$C:$FB,45)*100</f>
        <v>-64.710000000000008</v>
      </c>
      <c r="J179" s="49">
        <f>VLOOKUP($A179,'Data shares'!$C:$FB,58)</f>
        <v>2052450</v>
      </c>
      <c r="K179" s="49">
        <f>VLOOKUP($A179,'Data shares'!$C:$FB,59)</f>
        <v>5274000</v>
      </c>
      <c r="L179" s="50">
        <f>VLOOKUP($A179,'Data shares'!$C:$FB,61)*100</f>
        <v>-61.08</v>
      </c>
      <c r="M179" s="49">
        <f>VLOOKUP($A179,'Data shares'!$C:$FB,62)</f>
        <v>1196100</v>
      </c>
      <c r="N179" s="49">
        <f>VLOOKUP($A179,'Data shares'!$C:$FB,63)</f>
        <v>2240100</v>
      </c>
      <c r="O179" s="140">
        <f>VLOOKUP($A179,'Data shares'!$C:$FB,65)*100</f>
        <v>-46.61</v>
      </c>
    </row>
    <row r="180" spans="1:15" x14ac:dyDescent="0.25">
      <c r="A180" s="101" t="str">
        <f>'Data Vlaue (Cr)'!C175</f>
        <v>RBLBANK</v>
      </c>
      <c r="B180" s="50">
        <f>VLOOKUP($A180,'Data shares'!$C:$FB,7)</f>
        <v>317.7</v>
      </c>
      <c r="C180" s="50">
        <f>VLOOKUP($A180,'Data shares'!$C:$FB,10)*100</f>
        <v>-1.6</v>
      </c>
      <c r="D180" s="49">
        <f>VLOOKUP($A180,'Data shares'!$C:$FB,66)</f>
        <v>47640875</v>
      </c>
      <c r="E180" s="49">
        <f>VLOOKUP($A180,'Data shares'!$C:$FB,67)</f>
        <v>96869250</v>
      </c>
      <c r="F180" s="50">
        <f>VLOOKUP($A180,'Data shares'!$C:$FB,69)*100</f>
        <v>-50.82</v>
      </c>
      <c r="G180" s="49">
        <f>VLOOKUP($A180,'Data shares'!$C:$FB,42)</f>
        <v>9906000</v>
      </c>
      <c r="H180" s="49">
        <f>VLOOKUP($A180,'Data shares'!$C:$FB,43)</f>
        <v>19723100</v>
      </c>
      <c r="I180" s="50">
        <f>VLOOKUP($A180,'Data shares'!$C:$FB,45)*100</f>
        <v>-49.769999999999996</v>
      </c>
      <c r="J180" s="49">
        <f>VLOOKUP($A180,'Data shares'!$C:$FB,58)</f>
        <v>21593175</v>
      </c>
      <c r="K180" s="49">
        <f>VLOOKUP($A180,'Data shares'!$C:$FB,59)</f>
        <v>50165000</v>
      </c>
      <c r="L180" s="50">
        <f>VLOOKUP($A180,'Data shares'!$C:$FB,61)*100</f>
        <v>-56.96</v>
      </c>
      <c r="M180" s="49">
        <f>VLOOKUP($A180,'Data shares'!$C:$FB,62)</f>
        <v>16141700</v>
      </c>
      <c r="N180" s="49">
        <f>VLOOKUP($A180,'Data shares'!$C:$FB,63)</f>
        <v>26981150</v>
      </c>
      <c r="O180" s="140">
        <f>VLOOKUP($A180,'Data shares'!$C:$FB,65)*100</f>
        <v>-40.17</v>
      </c>
    </row>
    <row r="181" spans="1:15" x14ac:dyDescent="0.25">
      <c r="A181" s="101" t="str">
        <f>'Data Vlaue (Cr)'!C176</f>
        <v>RECLTD</v>
      </c>
      <c r="B181" s="50">
        <f>VLOOKUP($A181,'Data shares'!$C:$FB,7)</f>
        <v>346.8</v>
      </c>
      <c r="C181" s="50">
        <f>VLOOKUP($A181,'Data shares'!$C:$FB,10)*100</f>
        <v>1.21</v>
      </c>
      <c r="D181" s="49">
        <f>VLOOKUP($A181,'Data shares'!$C:$FB,66)</f>
        <v>54192600</v>
      </c>
      <c r="E181" s="49">
        <f>VLOOKUP($A181,'Data shares'!$C:$FB,67)</f>
        <v>46377800</v>
      </c>
      <c r="F181" s="50">
        <f>VLOOKUP($A181,'Data shares'!$C:$FB,69)*100</f>
        <v>16.850000000000001</v>
      </c>
      <c r="G181" s="49">
        <f>VLOOKUP($A181,'Data shares'!$C:$FB,42)</f>
        <v>8743000</v>
      </c>
      <c r="H181" s="49">
        <f>VLOOKUP($A181,'Data shares'!$C:$FB,43)</f>
        <v>8624000</v>
      </c>
      <c r="I181" s="50">
        <f>VLOOKUP($A181,'Data shares'!$C:$FB,45)*100</f>
        <v>1.38</v>
      </c>
      <c r="J181" s="49">
        <f>VLOOKUP($A181,'Data shares'!$C:$FB,58)</f>
        <v>30020200</v>
      </c>
      <c r="K181" s="49">
        <f>VLOOKUP($A181,'Data shares'!$C:$FB,59)</f>
        <v>23164400</v>
      </c>
      <c r="L181" s="50">
        <f>VLOOKUP($A181,'Data shares'!$C:$FB,61)*100</f>
        <v>29.599999999999998</v>
      </c>
      <c r="M181" s="49">
        <f>VLOOKUP($A181,'Data shares'!$C:$FB,62)</f>
        <v>15429400</v>
      </c>
      <c r="N181" s="49">
        <f>VLOOKUP($A181,'Data shares'!$C:$FB,63)</f>
        <v>14589400</v>
      </c>
      <c r="O181" s="140">
        <f>VLOOKUP($A181,'Data shares'!$C:$FB,65)*100</f>
        <v>5.76</v>
      </c>
    </row>
    <row r="182" spans="1:15" x14ac:dyDescent="0.25">
      <c r="A182" s="101" t="str">
        <f>'Data Vlaue (Cr)'!C177</f>
        <v>RELIANCE</v>
      </c>
      <c r="B182" s="50">
        <f>VLOOKUP($A182,'Data shares'!$C:$FB,7)</f>
        <v>1330</v>
      </c>
      <c r="C182" s="50">
        <f>VLOOKUP($A182,'Data shares'!$C:$FB,10)*100</f>
        <v>-1.32</v>
      </c>
      <c r="D182" s="49">
        <f>VLOOKUP($A182,'Data shares'!$C:$FB,66)</f>
        <v>105907500</v>
      </c>
      <c r="E182" s="49">
        <f>VLOOKUP($A182,'Data shares'!$C:$FB,67)</f>
        <v>216901000</v>
      </c>
      <c r="F182" s="50">
        <f>VLOOKUP($A182,'Data shares'!$C:$FB,69)*100</f>
        <v>-51.17</v>
      </c>
      <c r="G182" s="49">
        <f>VLOOKUP($A182,'Data shares'!$C:$FB,42)</f>
        <v>10949500</v>
      </c>
      <c r="H182" s="49">
        <f>VLOOKUP($A182,'Data shares'!$C:$FB,43)</f>
        <v>21142000</v>
      </c>
      <c r="I182" s="50">
        <f>VLOOKUP($A182,'Data shares'!$C:$FB,45)*100</f>
        <v>-48.209999999999994</v>
      </c>
      <c r="J182" s="49">
        <f>VLOOKUP($A182,'Data shares'!$C:$FB,58)</f>
        <v>58869500</v>
      </c>
      <c r="K182" s="49">
        <f>VLOOKUP($A182,'Data shares'!$C:$FB,59)</f>
        <v>141450500</v>
      </c>
      <c r="L182" s="50">
        <f>VLOOKUP($A182,'Data shares'!$C:$FB,61)*100</f>
        <v>-58.379999999999995</v>
      </c>
      <c r="M182" s="49">
        <f>VLOOKUP($A182,'Data shares'!$C:$FB,62)</f>
        <v>36088500</v>
      </c>
      <c r="N182" s="49">
        <f>VLOOKUP($A182,'Data shares'!$C:$FB,63)</f>
        <v>54308500</v>
      </c>
      <c r="O182" s="140">
        <f>VLOOKUP($A182,'Data shares'!$C:$FB,65)*100</f>
        <v>-33.550000000000004</v>
      </c>
    </row>
    <row r="183" spans="1:15" x14ac:dyDescent="0.25">
      <c r="A183" s="101" t="str">
        <f>'Data Vlaue (Cr)'!C178</f>
        <v>RVNL</v>
      </c>
      <c r="B183" s="50">
        <f>VLOOKUP($A183,'Data shares'!$C:$FB,7)</f>
        <v>272.83</v>
      </c>
      <c r="C183" s="50">
        <f>VLOOKUP($A183,'Data shares'!$C:$FB,10)*100</f>
        <v>-0.77</v>
      </c>
      <c r="D183" s="49">
        <f>VLOOKUP($A183,'Data shares'!$C:$FB,66)</f>
        <v>26902525</v>
      </c>
      <c r="E183" s="49">
        <f>VLOOKUP($A183,'Data shares'!$C:$FB,67)</f>
        <v>36445975</v>
      </c>
      <c r="F183" s="50">
        <f>VLOOKUP($A183,'Data shares'!$C:$FB,69)*100</f>
        <v>-26.19</v>
      </c>
      <c r="G183" s="49">
        <f>VLOOKUP($A183,'Data shares'!$C:$FB,42)</f>
        <v>9221675</v>
      </c>
      <c r="H183" s="49">
        <f>VLOOKUP($A183,'Data shares'!$C:$FB,43)</f>
        <v>11048625</v>
      </c>
      <c r="I183" s="50">
        <f>VLOOKUP($A183,'Data shares'!$C:$FB,45)*100</f>
        <v>-16.54</v>
      </c>
      <c r="J183" s="49">
        <f>VLOOKUP($A183,'Data shares'!$C:$FB,58)</f>
        <v>13468800</v>
      </c>
      <c r="K183" s="49">
        <f>VLOOKUP($A183,'Data shares'!$C:$FB,59)</f>
        <v>18364050</v>
      </c>
      <c r="L183" s="50">
        <f>VLOOKUP($A183,'Data shares'!$C:$FB,61)*100</f>
        <v>-26.66</v>
      </c>
      <c r="M183" s="49">
        <f>VLOOKUP($A183,'Data shares'!$C:$FB,62)</f>
        <v>4212050</v>
      </c>
      <c r="N183" s="49">
        <f>VLOOKUP($A183,'Data shares'!$C:$FB,63)</f>
        <v>7033300</v>
      </c>
      <c r="O183" s="140">
        <f>VLOOKUP($A183,'Data shares'!$C:$FB,65)*100</f>
        <v>-40.11</v>
      </c>
    </row>
    <row r="184" spans="1:15" x14ac:dyDescent="0.25">
      <c r="A184" s="101" t="str">
        <f>'Data Vlaue (Cr)'!C179</f>
        <v>SAIL</v>
      </c>
      <c r="B184" s="50">
        <f>VLOOKUP($A184,'Data shares'!$C:$FB,7)</f>
        <v>163.35</v>
      </c>
      <c r="C184" s="50">
        <f>VLOOKUP($A184,'Data shares'!$C:$FB,10)*100</f>
        <v>-0.64</v>
      </c>
      <c r="D184" s="49">
        <f>VLOOKUP($A184,'Data shares'!$C:$FB,66)</f>
        <v>7082900</v>
      </c>
      <c r="E184" s="49">
        <f>VLOOKUP($A184,'Data shares'!$C:$FB,67)</f>
        <v>80219600</v>
      </c>
      <c r="F184" s="50">
        <f>VLOOKUP($A184,'Data shares'!$C:$FB,69)*100</f>
        <v>-91.17</v>
      </c>
      <c r="G184" s="49">
        <f>VLOOKUP($A184,'Data shares'!$C:$FB,42)</f>
        <v>4831600</v>
      </c>
      <c r="H184" s="49">
        <f>VLOOKUP($A184,'Data shares'!$C:$FB,43)</f>
        <v>31804900</v>
      </c>
      <c r="I184" s="50">
        <f>VLOOKUP($A184,'Data shares'!$C:$FB,45)*100</f>
        <v>-84.81</v>
      </c>
      <c r="J184" s="49">
        <f>VLOOKUP($A184,'Data shares'!$C:$FB,58)</f>
        <v>1673200</v>
      </c>
      <c r="K184" s="49">
        <f>VLOOKUP($A184,'Data shares'!$C:$FB,59)</f>
        <v>33355900</v>
      </c>
      <c r="L184" s="50">
        <f>VLOOKUP($A184,'Data shares'!$C:$FB,61)*100</f>
        <v>-94.98</v>
      </c>
      <c r="M184" s="49">
        <f>VLOOKUP($A184,'Data shares'!$C:$FB,62)</f>
        <v>578100</v>
      </c>
      <c r="N184" s="49">
        <f>VLOOKUP($A184,'Data shares'!$C:$FB,63)</f>
        <v>15058800</v>
      </c>
      <c r="O184" s="140">
        <f>VLOOKUP($A184,'Data shares'!$C:$FB,65)*100</f>
        <v>-96.16</v>
      </c>
    </row>
    <row r="185" spans="1:15" x14ac:dyDescent="0.25">
      <c r="A185" s="101" t="str">
        <f>'Data Vlaue (Cr)'!C180</f>
        <v>SAMMAANCAP</v>
      </c>
      <c r="B185" s="50">
        <f>VLOOKUP($A185,'Data shares'!$C:$FB,7)</f>
        <v>153.55000000000001</v>
      </c>
      <c r="C185" s="50">
        <f>VLOOKUP($A185,'Data shares'!$C:$FB,10)*100</f>
        <v>0.55999999999999994</v>
      </c>
      <c r="D185" s="49">
        <f>VLOOKUP($A185,'Data shares'!$C:$FB,66)</f>
        <v>2399400</v>
      </c>
      <c r="E185" s="49">
        <f>VLOOKUP($A185,'Data shares'!$C:$FB,67)</f>
        <v>16477600</v>
      </c>
      <c r="F185" s="50">
        <f>VLOOKUP($A185,'Data shares'!$C:$FB,69)*100</f>
        <v>-85.44</v>
      </c>
      <c r="G185" s="49">
        <f>VLOOKUP($A185,'Data shares'!$C:$FB,42)</f>
        <v>1204000</v>
      </c>
      <c r="H185" s="49">
        <f>VLOOKUP($A185,'Data shares'!$C:$FB,43)</f>
        <v>8372100</v>
      </c>
      <c r="I185" s="50">
        <f>VLOOKUP($A185,'Data shares'!$C:$FB,45)*100</f>
        <v>-85.61999999999999</v>
      </c>
      <c r="J185" s="49">
        <f>VLOOKUP($A185,'Data shares'!$C:$FB,58)</f>
        <v>739600</v>
      </c>
      <c r="K185" s="49">
        <f>VLOOKUP($A185,'Data shares'!$C:$FB,59)</f>
        <v>4368800</v>
      </c>
      <c r="L185" s="50">
        <f>VLOOKUP($A185,'Data shares'!$C:$FB,61)*100</f>
        <v>-83.07</v>
      </c>
      <c r="M185" s="49">
        <f>VLOOKUP($A185,'Data shares'!$C:$FB,62)</f>
        <v>455800</v>
      </c>
      <c r="N185" s="49">
        <f>VLOOKUP($A185,'Data shares'!$C:$FB,63)</f>
        <v>3736700</v>
      </c>
      <c r="O185" s="140">
        <f>VLOOKUP($A185,'Data shares'!$C:$FB,65)*100</f>
        <v>-87.8</v>
      </c>
    </row>
    <row r="186" spans="1:15" x14ac:dyDescent="0.25">
      <c r="A186" s="101" t="str">
        <f>'Data Vlaue (Cr)'!C181</f>
        <v>SBICARD</v>
      </c>
      <c r="B186" s="50">
        <f>VLOOKUP($A186,'Data shares'!$C:$FB,7)</f>
        <v>668.9</v>
      </c>
      <c r="C186" s="50">
        <f>VLOOKUP($A186,'Data shares'!$C:$FB,10)*100</f>
        <v>-0.35000000000000003</v>
      </c>
      <c r="D186" s="49">
        <f>VLOOKUP($A186,'Data shares'!$C:$FB,66)</f>
        <v>8917600</v>
      </c>
      <c r="E186" s="49">
        <f>VLOOKUP($A186,'Data shares'!$C:$FB,67)</f>
        <v>18460000</v>
      </c>
      <c r="F186" s="50">
        <f>VLOOKUP($A186,'Data shares'!$C:$FB,69)*100</f>
        <v>-51.690000000000005</v>
      </c>
      <c r="G186" s="49">
        <f>VLOOKUP($A186,'Data shares'!$C:$FB,42)</f>
        <v>3127200</v>
      </c>
      <c r="H186" s="49">
        <f>VLOOKUP($A186,'Data shares'!$C:$FB,43)</f>
        <v>5757600</v>
      </c>
      <c r="I186" s="50">
        <f>VLOOKUP($A186,'Data shares'!$C:$FB,45)*100</f>
        <v>-45.69</v>
      </c>
      <c r="J186" s="49">
        <f>VLOOKUP($A186,'Data shares'!$C:$FB,58)</f>
        <v>3576800</v>
      </c>
      <c r="K186" s="49">
        <f>VLOOKUP($A186,'Data shares'!$C:$FB,59)</f>
        <v>8734400</v>
      </c>
      <c r="L186" s="50">
        <f>VLOOKUP($A186,'Data shares'!$C:$FB,61)*100</f>
        <v>-59.050000000000004</v>
      </c>
      <c r="M186" s="49">
        <f>VLOOKUP($A186,'Data shares'!$C:$FB,62)</f>
        <v>2213600</v>
      </c>
      <c r="N186" s="49">
        <f>VLOOKUP($A186,'Data shares'!$C:$FB,63)</f>
        <v>3968000</v>
      </c>
      <c r="O186" s="140">
        <f>VLOOKUP($A186,'Data shares'!$C:$FB,65)*100</f>
        <v>-44.21</v>
      </c>
    </row>
    <row r="187" spans="1:15" x14ac:dyDescent="0.25">
      <c r="A187" s="101" t="str">
        <f>'Data Vlaue (Cr)'!C182</f>
        <v>SBILIFE</v>
      </c>
      <c r="B187" s="50">
        <f>VLOOKUP($A187,'Data shares'!$C:$FB,7)</f>
        <v>1904</v>
      </c>
      <c r="C187" s="50">
        <f>VLOOKUP($A187,'Data shares'!$C:$FB,10)*100</f>
        <v>-0.19</v>
      </c>
      <c r="D187" s="49">
        <f>VLOOKUP($A187,'Data shares'!$C:$FB,66)</f>
        <v>2508750</v>
      </c>
      <c r="E187" s="49">
        <f>VLOOKUP($A187,'Data shares'!$C:$FB,67)</f>
        <v>4149375</v>
      </c>
      <c r="F187" s="50">
        <f>VLOOKUP($A187,'Data shares'!$C:$FB,69)*100</f>
        <v>-39.54</v>
      </c>
      <c r="G187" s="49">
        <f>VLOOKUP($A187,'Data shares'!$C:$FB,42)</f>
        <v>822000</v>
      </c>
      <c r="H187" s="49">
        <f>VLOOKUP($A187,'Data shares'!$C:$FB,43)</f>
        <v>1454625</v>
      </c>
      <c r="I187" s="50">
        <f>VLOOKUP($A187,'Data shares'!$C:$FB,45)*100</f>
        <v>-43.49</v>
      </c>
      <c r="J187" s="49">
        <f>VLOOKUP($A187,'Data shares'!$C:$FB,58)</f>
        <v>919125</v>
      </c>
      <c r="K187" s="49">
        <f>VLOOKUP($A187,'Data shares'!$C:$FB,59)</f>
        <v>1337250</v>
      </c>
      <c r="L187" s="50">
        <f>VLOOKUP($A187,'Data shares'!$C:$FB,61)*100</f>
        <v>-31.269999999999996</v>
      </c>
      <c r="M187" s="49">
        <f>VLOOKUP($A187,'Data shares'!$C:$FB,62)</f>
        <v>767625</v>
      </c>
      <c r="N187" s="49">
        <f>VLOOKUP($A187,'Data shares'!$C:$FB,63)</f>
        <v>1357500</v>
      </c>
      <c r="O187" s="140">
        <f>VLOOKUP($A187,'Data shares'!$C:$FB,65)*100</f>
        <v>-43.45</v>
      </c>
    </row>
    <row r="188" spans="1:15" x14ac:dyDescent="0.25">
      <c r="A188" s="101" t="str">
        <f>'Data Vlaue (Cr)'!C183</f>
        <v>SBIN</v>
      </c>
      <c r="B188" s="50">
        <f>VLOOKUP($A188,'Data shares'!$C:$FB,7)</f>
        <v>1040.95</v>
      </c>
      <c r="C188" s="50">
        <f>VLOOKUP($A188,'Data shares'!$C:$FB,10)*100</f>
        <v>-1.9300000000000002</v>
      </c>
      <c r="D188" s="49">
        <f>VLOOKUP($A188,'Data shares'!$C:$FB,66)</f>
        <v>107336250</v>
      </c>
      <c r="E188" s="49">
        <f>VLOOKUP($A188,'Data shares'!$C:$FB,67)</f>
        <v>160591500</v>
      </c>
      <c r="F188" s="50">
        <f>VLOOKUP($A188,'Data shares'!$C:$FB,69)*100</f>
        <v>-33.160000000000004</v>
      </c>
      <c r="G188" s="49">
        <f>VLOOKUP($A188,'Data shares'!$C:$FB,42)</f>
        <v>12918000</v>
      </c>
      <c r="H188" s="49">
        <f>VLOOKUP($A188,'Data shares'!$C:$FB,43)</f>
        <v>22361250</v>
      </c>
      <c r="I188" s="50">
        <f>VLOOKUP($A188,'Data shares'!$C:$FB,45)*100</f>
        <v>-42.230000000000004</v>
      </c>
      <c r="J188" s="49">
        <f>VLOOKUP($A188,'Data shares'!$C:$FB,58)</f>
        <v>55998000</v>
      </c>
      <c r="K188" s="49">
        <f>VLOOKUP($A188,'Data shares'!$C:$FB,59)</f>
        <v>87989250</v>
      </c>
      <c r="L188" s="50">
        <f>VLOOKUP($A188,'Data shares'!$C:$FB,61)*100</f>
        <v>-36.36</v>
      </c>
      <c r="M188" s="49">
        <f>VLOOKUP($A188,'Data shares'!$C:$FB,62)</f>
        <v>38420250</v>
      </c>
      <c r="N188" s="49">
        <f>VLOOKUP($A188,'Data shares'!$C:$FB,63)</f>
        <v>50241000</v>
      </c>
      <c r="O188" s="140">
        <f>VLOOKUP($A188,'Data shares'!$C:$FB,65)*100</f>
        <v>-23.53</v>
      </c>
    </row>
    <row r="189" spans="1:15" x14ac:dyDescent="0.25">
      <c r="A189" s="101" t="str">
        <f>'Data Vlaue (Cr)'!C184</f>
        <v>SHREECEM</v>
      </c>
      <c r="B189" s="50">
        <f>VLOOKUP($A189,'Data shares'!$C:$FB,7)</f>
        <v>23990</v>
      </c>
      <c r="C189" s="50">
        <f>VLOOKUP($A189,'Data shares'!$C:$FB,10)*100</f>
        <v>-1.52</v>
      </c>
      <c r="D189" s="49">
        <f>VLOOKUP($A189,'Data shares'!$C:$FB,66)</f>
        <v>128000</v>
      </c>
      <c r="E189" s="49">
        <f>VLOOKUP($A189,'Data shares'!$C:$FB,67)</f>
        <v>200375</v>
      </c>
      <c r="F189" s="50">
        <f>VLOOKUP($A189,'Data shares'!$C:$FB,69)*100</f>
        <v>-36.120000000000005</v>
      </c>
      <c r="G189" s="49">
        <f>VLOOKUP($A189,'Data shares'!$C:$FB,42)</f>
        <v>59975</v>
      </c>
      <c r="H189" s="49">
        <f>VLOOKUP($A189,'Data shares'!$C:$FB,43)</f>
        <v>60950</v>
      </c>
      <c r="I189" s="50">
        <f>VLOOKUP($A189,'Data shares'!$C:$FB,45)*100</f>
        <v>-1.6</v>
      </c>
      <c r="J189" s="49">
        <f>VLOOKUP($A189,'Data shares'!$C:$FB,58)</f>
        <v>52150</v>
      </c>
      <c r="K189" s="49">
        <f>VLOOKUP($A189,'Data shares'!$C:$FB,59)</f>
        <v>99600</v>
      </c>
      <c r="L189" s="50">
        <f>VLOOKUP($A189,'Data shares'!$C:$FB,61)*100</f>
        <v>-47.64</v>
      </c>
      <c r="M189" s="49">
        <f>VLOOKUP($A189,'Data shares'!$C:$FB,62)</f>
        <v>15875</v>
      </c>
      <c r="N189" s="49">
        <f>VLOOKUP($A189,'Data shares'!$C:$FB,63)</f>
        <v>39825</v>
      </c>
      <c r="O189" s="140">
        <f>VLOOKUP($A189,'Data shares'!$C:$FB,65)*100</f>
        <v>-60.140000000000008</v>
      </c>
    </row>
    <row r="190" spans="1:15" x14ac:dyDescent="0.25">
      <c r="A190" s="101" t="str">
        <f>'Data Vlaue (Cr)'!C185</f>
        <v>SHRIRAMFIN</v>
      </c>
      <c r="B190" s="50">
        <f>VLOOKUP($A190,'Data shares'!$C:$FB,7)</f>
        <v>996.3</v>
      </c>
      <c r="C190" s="50">
        <f>VLOOKUP($A190,'Data shares'!$C:$FB,10)*100</f>
        <v>-2.63</v>
      </c>
      <c r="D190" s="49">
        <f>VLOOKUP($A190,'Data shares'!$C:$FB,66)</f>
        <v>34175625</v>
      </c>
      <c r="E190" s="49">
        <f>VLOOKUP($A190,'Data shares'!$C:$FB,67)</f>
        <v>87033375</v>
      </c>
      <c r="F190" s="50">
        <f>VLOOKUP($A190,'Data shares'!$C:$FB,69)*100</f>
        <v>-60.73</v>
      </c>
      <c r="G190" s="49">
        <f>VLOOKUP($A190,'Data shares'!$C:$FB,42)</f>
        <v>6588450</v>
      </c>
      <c r="H190" s="49">
        <f>VLOOKUP($A190,'Data shares'!$C:$FB,43)</f>
        <v>16733475</v>
      </c>
      <c r="I190" s="50">
        <f>VLOOKUP($A190,'Data shares'!$C:$FB,45)*100</f>
        <v>-60.629999999999995</v>
      </c>
      <c r="J190" s="49">
        <f>VLOOKUP($A190,'Data shares'!$C:$FB,58)</f>
        <v>15918375</v>
      </c>
      <c r="K190" s="49">
        <f>VLOOKUP($A190,'Data shares'!$C:$FB,59)</f>
        <v>48128850</v>
      </c>
      <c r="L190" s="50">
        <f>VLOOKUP($A190,'Data shares'!$C:$FB,61)*100</f>
        <v>-66.930000000000007</v>
      </c>
      <c r="M190" s="49">
        <f>VLOOKUP($A190,'Data shares'!$C:$FB,62)</f>
        <v>11668800</v>
      </c>
      <c r="N190" s="49">
        <f>VLOOKUP($A190,'Data shares'!$C:$FB,63)</f>
        <v>22171050</v>
      </c>
      <c r="O190" s="140">
        <f>VLOOKUP($A190,'Data shares'!$C:$FB,65)*100</f>
        <v>-47.370000000000005</v>
      </c>
    </row>
    <row r="191" spans="1:15" x14ac:dyDescent="0.25">
      <c r="A191" s="101" t="str">
        <f>'Data Vlaue (Cr)'!C186</f>
        <v>SIEMENS</v>
      </c>
      <c r="B191" s="50">
        <f>VLOOKUP($A191,'Data shares'!$C:$FB,7)</f>
        <v>3222.5</v>
      </c>
      <c r="C191" s="50">
        <f>VLOOKUP($A191,'Data shares'!$C:$FB,10)*100</f>
        <v>-0.11</v>
      </c>
      <c r="D191" s="49">
        <f>VLOOKUP($A191,'Data shares'!$C:$FB,66)</f>
        <v>2223725</v>
      </c>
      <c r="E191" s="49">
        <f>VLOOKUP($A191,'Data shares'!$C:$FB,67)</f>
        <v>3816925</v>
      </c>
      <c r="F191" s="50">
        <f>VLOOKUP($A191,'Data shares'!$C:$FB,69)*100</f>
        <v>-41.74</v>
      </c>
      <c r="G191" s="49">
        <f>VLOOKUP($A191,'Data shares'!$C:$FB,42)</f>
        <v>444150</v>
      </c>
      <c r="H191" s="49">
        <f>VLOOKUP($A191,'Data shares'!$C:$FB,43)</f>
        <v>672875</v>
      </c>
      <c r="I191" s="50">
        <f>VLOOKUP($A191,'Data shares'!$C:$FB,45)*100</f>
        <v>-33.989999999999995</v>
      </c>
      <c r="J191" s="49">
        <f>VLOOKUP($A191,'Data shares'!$C:$FB,58)</f>
        <v>1214150</v>
      </c>
      <c r="K191" s="49">
        <f>VLOOKUP($A191,'Data shares'!$C:$FB,59)</f>
        <v>2359525</v>
      </c>
      <c r="L191" s="50">
        <f>VLOOKUP($A191,'Data shares'!$C:$FB,61)*100</f>
        <v>-48.54</v>
      </c>
      <c r="M191" s="49">
        <f>VLOOKUP($A191,'Data shares'!$C:$FB,62)</f>
        <v>565425</v>
      </c>
      <c r="N191" s="49">
        <f>VLOOKUP($A191,'Data shares'!$C:$FB,63)</f>
        <v>784525</v>
      </c>
      <c r="O191" s="140">
        <f>VLOOKUP($A191,'Data shares'!$C:$FB,65)*100</f>
        <v>-27.93</v>
      </c>
    </row>
    <row r="192" spans="1:15" x14ac:dyDescent="0.25">
      <c r="A192" s="101" t="str">
        <f>'Data Vlaue (Cr)'!C187</f>
        <v>SOLARINDS</v>
      </c>
      <c r="B192" s="50">
        <f>VLOOKUP($A192,'Data shares'!$C:$FB,7)</f>
        <v>13928</v>
      </c>
      <c r="C192" s="50">
        <f>VLOOKUP($A192,'Data shares'!$C:$FB,10)*100</f>
        <v>1.95</v>
      </c>
      <c r="D192" s="49">
        <f>VLOOKUP($A192,'Data shares'!$C:$FB,66)</f>
        <v>823100</v>
      </c>
      <c r="E192" s="49">
        <f>VLOOKUP($A192,'Data shares'!$C:$FB,67)</f>
        <v>460550</v>
      </c>
      <c r="F192" s="50">
        <f>VLOOKUP($A192,'Data shares'!$C:$FB,69)*100</f>
        <v>78.72</v>
      </c>
      <c r="G192" s="49">
        <f>VLOOKUP($A192,'Data shares'!$C:$FB,42)</f>
        <v>153400</v>
      </c>
      <c r="H192" s="49">
        <f>VLOOKUP($A192,'Data shares'!$C:$FB,43)</f>
        <v>166050</v>
      </c>
      <c r="I192" s="50">
        <f>VLOOKUP($A192,'Data shares'!$C:$FB,45)*100</f>
        <v>-7.62</v>
      </c>
      <c r="J192" s="49">
        <f>VLOOKUP($A192,'Data shares'!$C:$FB,58)</f>
        <v>498950</v>
      </c>
      <c r="K192" s="49">
        <f>VLOOKUP($A192,'Data shares'!$C:$FB,59)</f>
        <v>203450</v>
      </c>
      <c r="L192" s="50">
        <f>VLOOKUP($A192,'Data shares'!$C:$FB,61)*100</f>
        <v>145.23999999999998</v>
      </c>
      <c r="M192" s="49">
        <f>VLOOKUP($A192,'Data shares'!$C:$FB,62)</f>
        <v>170750</v>
      </c>
      <c r="N192" s="49">
        <f>VLOOKUP($A192,'Data shares'!$C:$FB,63)</f>
        <v>91050</v>
      </c>
      <c r="O192" s="140">
        <f>VLOOKUP($A192,'Data shares'!$C:$FB,65)*100</f>
        <v>87.53</v>
      </c>
    </row>
    <row r="193" spans="1:15" x14ac:dyDescent="0.25">
      <c r="A193" s="101" t="str">
        <f>'Data Vlaue (Cr)'!C188</f>
        <v>SONACOMS</v>
      </c>
      <c r="B193" s="50">
        <f>VLOOKUP($A193,'Data shares'!$C:$FB,7)</f>
        <v>523.04999999999995</v>
      </c>
      <c r="C193" s="50">
        <f>VLOOKUP($A193,'Data shares'!$C:$FB,10)*100</f>
        <v>-2</v>
      </c>
      <c r="D193" s="49">
        <f>VLOOKUP($A193,'Data shares'!$C:$FB,66)</f>
        <v>7301000</v>
      </c>
      <c r="E193" s="49">
        <f>VLOOKUP($A193,'Data shares'!$C:$FB,67)</f>
        <v>12205900</v>
      </c>
      <c r="F193" s="50">
        <f>VLOOKUP($A193,'Data shares'!$C:$FB,69)*100</f>
        <v>-40.18</v>
      </c>
      <c r="G193" s="49">
        <f>VLOOKUP($A193,'Data shares'!$C:$FB,42)</f>
        <v>2736650</v>
      </c>
      <c r="H193" s="49">
        <f>VLOOKUP($A193,'Data shares'!$C:$FB,43)</f>
        <v>3077200</v>
      </c>
      <c r="I193" s="50">
        <f>VLOOKUP($A193,'Data shares'!$C:$FB,45)*100</f>
        <v>-11.07</v>
      </c>
      <c r="J193" s="49">
        <f>VLOOKUP($A193,'Data shares'!$C:$FB,58)</f>
        <v>3137225</v>
      </c>
      <c r="K193" s="49">
        <f>VLOOKUP($A193,'Data shares'!$C:$FB,59)</f>
        <v>6509650</v>
      </c>
      <c r="L193" s="50">
        <f>VLOOKUP($A193,'Data shares'!$C:$FB,61)*100</f>
        <v>-51.81</v>
      </c>
      <c r="M193" s="49">
        <f>VLOOKUP($A193,'Data shares'!$C:$FB,62)</f>
        <v>1427125</v>
      </c>
      <c r="N193" s="49">
        <f>VLOOKUP($A193,'Data shares'!$C:$FB,63)</f>
        <v>2619050</v>
      </c>
      <c r="O193" s="140">
        <f>VLOOKUP($A193,'Data shares'!$C:$FB,65)*100</f>
        <v>-45.51</v>
      </c>
    </row>
    <row r="194" spans="1:15" x14ac:dyDescent="0.25">
      <c r="A194" s="101" t="str">
        <f>'Data Vlaue (Cr)'!C189</f>
        <v>SRF</v>
      </c>
      <c r="B194" s="50">
        <f>VLOOKUP($A194,'Data shares'!$C:$FB,7)</f>
        <v>2399.8000000000002</v>
      </c>
      <c r="C194" s="50">
        <f>VLOOKUP($A194,'Data shares'!$C:$FB,10)*100</f>
        <v>-1.4500000000000002</v>
      </c>
      <c r="D194" s="49">
        <f>VLOOKUP($A194,'Data shares'!$C:$FB,66)</f>
        <v>3378000</v>
      </c>
      <c r="E194" s="49">
        <f>VLOOKUP($A194,'Data shares'!$C:$FB,67)</f>
        <v>4981800</v>
      </c>
      <c r="F194" s="50">
        <f>VLOOKUP($A194,'Data shares'!$C:$FB,69)*100</f>
        <v>-32.190000000000005</v>
      </c>
      <c r="G194" s="49">
        <f>VLOOKUP($A194,'Data shares'!$C:$FB,42)</f>
        <v>940400</v>
      </c>
      <c r="H194" s="49">
        <f>VLOOKUP($A194,'Data shares'!$C:$FB,43)</f>
        <v>1101400</v>
      </c>
      <c r="I194" s="50">
        <f>VLOOKUP($A194,'Data shares'!$C:$FB,45)*100</f>
        <v>-14.62</v>
      </c>
      <c r="J194" s="49">
        <f>VLOOKUP($A194,'Data shares'!$C:$FB,58)</f>
        <v>1712600</v>
      </c>
      <c r="K194" s="49">
        <f>VLOOKUP($A194,'Data shares'!$C:$FB,59)</f>
        <v>2822200</v>
      </c>
      <c r="L194" s="50">
        <f>VLOOKUP($A194,'Data shares'!$C:$FB,61)*100</f>
        <v>-39.32</v>
      </c>
      <c r="M194" s="49">
        <f>VLOOKUP($A194,'Data shares'!$C:$FB,62)</f>
        <v>725000</v>
      </c>
      <c r="N194" s="49">
        <f>VLOOKUP($A194,'Data shares'!$C:$FB,63)</f>
        <v>1058200</v>
      </c>
      <c r="O194" s="140">
        <f>VLOOKUP($A194,'Data shares'!$C:$FB,65)*100</f>
        <v>-31.490000000000002</v>
      </c>
    </row>
    <row r="195" spans="1:15" x14ac:dyDescent="0.25">
      <c r="A195" s="101" t="str">
        <f>'Data Vlaue (Cr)'!C190</f>
        <v>SUNPHARMA</v>
      </c>
      <c r="B195" s="50">
        <f>VLOOKUP($A195,'Data shares'!$C:$FB,7)</f>
        <v>1717.1</v>
      </c>
      <c r="C195" s="50">
        <f>VLOOKUP($A195,'Data shares'!$C:$FB,10)*100</f>
        <v>0.15</v>
      </c>
      <c r="D195" s="49">
        <f>VLOOKUP($A195,'Data shares'!$C:$FB,66)</f>
        <v>11290300</v>
      </c>
      <c r="E195" s="49">
        <f>VLOOKUP($A195,'Data shares'!$C:$FB,67)</f>
        <v>22385650</v>
      </c>
      <c r="F195" s="50">
        <f>VLOOKUP($A195,'Data shares'!$C:$FB,69)*100</f>
        <v>-49.559999999999995</v>
      </c>
      <c r="G195" s="49">
        <f>VLOOKUP($A195,'Data shares'!$C:$FB,42)</f>
        <v>1645700</v>
      </c>
      <c r="H195" s="49">
        <f>VLOOKUP($A195,'Data shares'!$C:$FB,43)</f>
        <v>2980600</v>
      </c>
      <c r="I195" s="50">
        <f>VLOOKUP($A195,'Data shares'!$C:$FB,45)*100</f>
        <v>-44.79</v>
      </c>
      <c r="J195" s="49">
        <f>VLOOKUP($A195,'Data shares'!$C:$FB,58)</f>
        <v>5940550</v>
      </c>
      <c r="K195" s="49">
        <f>VLOOKUP($A195,'Data shares'!$C:$FB,59)</f>
        <v>11626300</v>
      </c>
      <c r="L195" s="50">
        <f>VLOOKUP($A195,'Data shares'!$C:$FB,61)*100</f>
        <v>-48.9</v>
      </c>
      <c r="M195" s="49">
        <f>VLOOKUP($A195,'Data shares'!$C:$FB,62)</f>
        <v>3704050</v>
      </c>
      <c r="N195" s="49">
        <f>VLOOKUP($A195,'Data shares'!$C:$FB,63)</f>
        <v>7778750</v>
      </c>
      <c r="O195" s="140">
        <f>VLOOKUP($A195,'Data shares'!$C:$FB,65)*100</f>
        <v>-52.38</v>
      </c>
    </row>
    <row r="196" spans="1:15" x14ac:dyDescent="0.25">
      <c r="A196" s="101" t="str">
        <f>'Data Vlaue (Cr)'!C191</f>
        <v>SUPREMEIND</v>
      </c>
      <c r="B196" s="50">
        <f>VLOOKUP($A196,'Data shares'!$C:$FB,7)</f>
        <v>3771.9</v>
      </c>
      <c r="C196" s="50">
        <f>VLOOKUP($A196,'Data shares'!$C:$FB,10)*100</f>
        <v>-0.42</v>
      </c>
      <c r="D196" s="49">
        <f>VLOOKUP($A196,'Data shares'!$C:$FB,66)</f>
        <v>1053325</v>
      </c>
      <c r="E196" s="49">
        <f>VLOOKUP($A196,'Data shares'!$C:$FB,67)</f>
        <v>1347850</v>
      </c>
      <c r="F196" s="50">
        <f>VLOOKUP($A196,'Data shares'!$C:$FB,69)*100</f>
        <v>-21.85</v>
      </c>
      <c r="G196" s="49">
        <f>VLOOKUP($A196,'Data shares'!$C:$FB,42)</f>
        <v>343875</v>
      </c>
      <c r="H196" s="49">
        <f>VLOOKUP($A196,'Data shares'!$C:$FB,43)</f>
        <v>394275</v>
      </c>
      <c r="I196" s="50">
        <f>VLOOKUP($A196,'Data shares'!$C:$FB,45)*100</f>
        <v>-12.78</v>
      </c>
      <c r="J196" s="49">
        <f>VLOOKUP($A196,'Data shares'!$C:$FB,58)</f>
        <v>492625</v>
      </c>
      <c r="K196" s="49">
        <f>VLOOKUP($A196,'Data shares'!$C:$FB,59)</f>
        <v>518875</v>
      </c>
      <c r="L196" s="50">
        <f>VLOOKUP($A196,'Data shares'!$C:$FB,61)*100</f>
        <v>-5.0599999999999996</v>
      </c>
      <c r="M196" s="49">
        <f>VLOOKUP($A196,'Data shares'!$C:$FB,62)</f>
        <v>216825</v>
      </c>
      <c r="N196" s="49">
        <f>VLOOKUP($A196,'Data shares'!$C:$FB,63)</f>
        <v>434700</v>
      </c>
      <c r="O196" s="140">
        <f>VLOOKUP($A196,'Data shares'!$C:$FB,65)*100</f>
        <v>-50.12</v>
      </c>
    </row>
    <row r="197" spans="1:15" x14ac:dyDescent="0.25">
      <c r="A197" s="101" t="str">
        <f>'Data Vlaue (Cr)'!C192</f>
        <v>SUZLON</v>
      </c>
      <c r="B197" s="50">
        <f>VLOOKUP($A197,'Data shares'!$C:$FB,7)</f>
        <v>44.23</v>
      </c>
      <c r="C197" s="50">
        <f>VLOOKUP($A197,'Data shares'!$C:$FB,10)*100</f>
        <v>0</v>
      </c>
      <c r="D197" s="49">
        <f>VLOOKUP($A197,'Data shares'!$C:$FB,66)</f>
        <v>209452200</v>
      </c>
      <c r="E197" s="49">
        <f>VLOOKUP($A197,'Data shares'!$C:$FB,67)</f>
        <v>334800425</v>
      </c>
      <c r="F197" s="50">
        <f>VLOOKUP($A197,'Data shares'!$C:$FB,69)*100</f>
        <v>-37.44</v>
      </c>
      <c r="G197" s="49">
        <f>VLOOKUP($A197,'Data shares'!$C:$FB,42)</f>
        <v>43410250</v>
      </c>
      <c r="H197" s="49">
        <f>VLOOKUP($A197,'Data shares'!$C:$FB,43)</f>
        <v>59249125</v>
      </c>
      <c r="I197" s="50">
        <f>VLOOKUP($A197,'Data shares'!$C:$FB,45)*100</f>
        <v>-26.729999999999997</v>
      </c>
      <c r="J197" s="49">
        <f>VLOOKUP($A197,'Data shares'!$C:$FB,58)</f>
        <v>117415250</v>
      </c>
      <c r="K197" s="49">
        <f>VLOOKUP($A197,'Data shares'!$C:$FB,59)</f>
        <v>210255425</v>
      </c>
      <c r="L197" s="50">
        <f>VLOOKUP($A197,'Data shares'!$C:$FB,61)*100</f>
        <v>-44.16</v>
      </c>
      <c r="M197" s="49">
        <f>VLOOKUP($A197,'Data shares'!$C:$FB,62)</f>
        <v>48626700</v>
      </c>
      <c r="N197" s="49">
        <f>VLOOKUP($A197,'Data shares'!$C:$FB,63)</f>
        <v>65295875</v>
      </c>
      <c r="O197" s="140">
        <f>VLOOKUP($A197,'Data shares'!$C:$FB,65)*100</f>
        <v>-25.53</v>
      </c>
    </row>
    <row r="198" spans="1:15" x14ac:dyDescent="0.25">
      <c r="A198" s="101" t="str">
        <f>'Data Vlaue (Cr)'!C193</f>
        <v>SWIGGY</v>
      </c>
      <c r="B198" s="50">
        <f>VLOOKUP($A198,'Data shares'!$C:$FB,7)</f>
        <v>271.89999999999998</v>
      </c>
      <c r="C198" s="50">
        <f>VLOOKUP($A198,'Data shares'!$C:$FB,10)*100</f>
        <v>-2.0699999999999998</v>
      </c>
      <c r="D198" s="49">
        <f>VLOOKUP($A198,'Data shares'!$C:$FB,66)</f>
        <v>17299100</v>
      </c>
      <c r="E198" s="49">
        <f>VLOOKUP($A198,'Data shares'!$C:$FB,67)</f>
        <v>20382700</v>
      </c>
      <c r="F198" s="50">
        <f>VLOOKUP($A198,'Data shares'!$C:$FB,69)*100</f>
        <v>-15.129999999999999</v>
      </c>
      <c r="G198" s="49">
        <f>VLOOKUP($A198,'Data shares'!$C:$FB,42)</f>
        <v>8555300</v>
      </c>
      <c r="H198" s="49">
        <f>VLOOKUP($A198,'Data shares'!$C:$FB,43)</f>
        <v>8611200</v>
      </c>
      <c r="I198" s="50">
        <f>VLOOKUP($A198,'Data shares'!$C:$FB,45)*100</f>
        <v>-0.65</v>
      </c>
      <c r="J198" s="49">
        <f>VLOOKUP($A198,'Data shares'!$C:$FB,58)</f>
        <v>5986500</v>
      </c>
      <c r="K198" s="49">
        <f>VLOOKUP($A198,'Data shares'!$C:$FB,59)</f>
        <v>8307000</v>
      </c>
      <c r="L198" s="50">
        <f>VLOOKUP($A198,'Data shares'!$C:$FB,61)*100</f>
        <v>-27.93</v>
      </c>
      <c r="M198" s="49">
        <f>VLOOKUP($A198,'Data shares'!$C:$FB,62)</f>
        <v>2757300</v>
      </c>
      <c r="N198" s="49">
        <f>VLOOKUP($A198,'Data shares'!$C:$FB,63)</f>
        <v>3464500</v>
      </c>
      <c r="O198" s="140">
        <f>VLOOKUP($A198,'Data shares'!$C:$FB,65)*100</f>
        <v>-20.41</v>
      </c>
    </row>
    <row r="199" spans="1:15" x14ac:dyDescent="0.25">
      <c r="A199" s="101" t="str">
        <f>'Data Vlaue (Cr)'!C194</f>
        <v>TATACONSUM</v>
      </c>
      <c r="B199" s="50">
        <f>VLOOKUP($A199,'Data shares'!$C:$FB,7)</f>
        <v>1078</v>
      </c>
      <c r="C199" s="50">
        <f>VLOOKUP($A199,'Data shares'!$C:$FB,10)*100</f>
        <v>0.89</v>
      </c>
      <c r="D199" s="49">
        <f>VLOOKUP($A199,'Data shares'!$C:$FB,66)</f>
        <v>4441800</v>
      </c>
      <c r="E199" s="49">
        <f>VLOOKUP($A199,'Data shares'!$C:$FB,67)</f>
        <v>5566550</v>
      </c>
      <c r="F199" s="50">
        <f>VLOOKUP($A199,'Data shares'!$C:$FB,69)*100</f>
        <v>-20.21</v>
      </c>
      <c r="G199" s="49">
        <f>VLOOKUP($A199,'Data shares'!$C:$FB,42)</f>
        <v>1725900</v>
      </c>
      <c r="H199" s="49">
        <f>VLOOKUP($A199,'Data shares'!$C:$FB,43)</f>
        <v>2536050</v>
      </c>
      <c r="I199" s="50">
        <f>VLOOKUP($A199,'Data shares'!$C:$FB,45)*100</f>
        <v>-31.95</v>
      </c>
      <c r="J199" s="49">
        <f>VLOOKUP($A199,'Data shares'!$C:$FB,58)</f>
        <v>1978900</v>
      </c>
      <c r="K199" s="49">
        <f>VLOOKUP($A199,'Data shares'!$C:$FB,59)</f>
        <v>2161500</v>
      </c>
      <c r="L199" s="50">
        <f>VLOOKUP($A199,'Data shares'!$C:$FB,61)*100</f>
        <v>-8.4500000000000011</v>
      </c>
      <c r="M199" s="49">
        <f>VLOOKUP($A199,'Data shares'!$C:$FB,62)</f>
        <v>737000</v>
      </c>
      <c r="N199" s="49">
        <f>VLOOKUP($A199,'Data shares'!$C:$FB,63)</f>
        <v>869000</v>
      </c>
      <c r="O199" s="140">
        <f>VLOOKUP($A199,'Data shares'!$C:$FB,65)*100</f>
        <v>-15.190000000000001</v>
      </c>
    </row>
    <row r="200" spans="1:15" x14ac:dyDescent="0.25">
      <c r="A200" s="101" t="str">
        <f>'Data Vlaue (Cr)'!C195</f>
        <v>TATAELXSI</v>
      </c>
      <c r="B200" s="50">
        <f>VLOOKUP($A200,'Data shares'!$C:$FB,7)</f>
        <v>4452</v>
      </c>
      <c r="C200" s="50">
        <f>VLOOKUP($A200,'Data shares'!$C:$FB,10)*100</f>
        <v>0.4</v>
      </c>
      <c r="D200" s="49">
        <f>VLOOKUP($A200,'Data shares'!$C:$FB,66)</f>
        <v>1534500</v>
      </c>
      <c r="E200" s="49">
        <f>VLOOKUP($A200,'Data shares'!$C:$FB,67)</f>
        <v>1964400</v>
      </c>
      <c r="F200" s="50">
        <f>VLOOKUP($A200,'Data shares'!$C:$FB,69)*100</f>
        <v>-21.88</v>
      </c>
      <c r="G200" s="49">
        <f>VLOOKUP($A200,'Data shares'!$C:$FB,42)</f>
        <v>269500</v>
      </c>
      <c r="H200" s="49">
        <f>VLOOKUP($A200,'Data shares'!$C:$FB,43)</f>
        <v>367800</v>
      </c>
      <c r="I200" s="50">
        <f>VLOOKUP($A200,'Data shares'!$C:$FB,45)*100</f>
        <v>-26.729999999999997</v>
      </c>
      <c r="J200" s="49">
        <f>VLOOKUP($A200,'Data shares'!$C:$FB,58)</f>
        <v>797000</v>
      </c>
      <c r="K200" s="49">
        <f>VLOOKUP($A200,'Data shares'!$C:$FB,59)</f>
        <v>1079800</v>
      </c>
      <c r="L200" s="50">
        <f>VLOOKUP($A200,'Data shares'!$C:$FB,61)*100</f>
        <v>-26.19</v>
      </c>
      <c r="M200" s="49">
        <f>VLOOKUP($A200,'Data shares'!$C:$FB,62)</f>
        <v>468000</v>
      </c>
      <c r="N200" s="49">
        <f>VLOOKUP($A200,'Data shares'!$C:$FB,63)</f>
        <v>516800</v>
      </c>
      <c r="O200" s="140">
        <f>VLOOKUP($A200,'Data shares'!$C:$FB,65)*100</f>
        <v>-9.44</v>
      </c>
    </row>
    <row r="201" spans="1:15" x14ac:dyDescent="0.25">
      <c r="A201" s="101" t="str">
        <f>'Data Vlaue (Cr)'!C196</f>
        <v>TATAPOWER</v>
      </c>
      <c r="B201" s="50">
        <f>VLOOKUP($A201,'Data shares'!$C:$FB,7)</f>
        <v>394.7</v>
      </c>
      <c r="C201" s="50">
        <f>VLOOKUP($A201,'Data shares'!$C:$FB,10)*100</f>
        <v>-0.06</v>
      </c>
      <c r="D201" s="49">
        <f>VLOOKUP($A201,'Data shares'!$C:$FB,66)</f>
        <v>37251950</v>
      </c>
      <c r="E201" s="49">
        <f>VLOOKUP($A201,'Data shares'!$C:$FB,67)</f>
        <v>63201150</v>
      </c>
      <c r="F201" s="50">
        <f>VLOOKUP($A201,'Data shares'!$C:$FB,69)*100</f>
        <v>-41.06</v>
      </c>
      <c r="G201" s="49">
        <f>VLOOKUP($A201,'Data shares'!$C:$FB,42)</f>
        <v>7496500</v>
      </c>
      <c r="H201" s="49">
        <f>VLOOKUP($A201,'Data shares'!$C:$FB,43)</f>
        <v>9581600</v>
      </c>
      <c r="I201" s="50">
        <f>VLOOKUP($A201,'Data shares'!$C:$FB,45)*100</f>
        <v>-21.759999999999998</v>
      </c>
      <c r="J201" s="49">
        <f>VLOOKUP($A201,'Data shares'!$C:$FB,58)</f>
        <v>21681850</v>
      </c>
      <c r="K201" s="49">
        <f>VLOOKUP($A201,'Data shares'!$C:$FB,59)</f>
        <v>39919950</v>
      </c>
      <c r="L201" s="50">
        <f>VLOOKUP($A201,'Data shares'!$C:$FB,61)*100</f>
        <v>-45.69</v>
      </c>
      <c r="M201" s="49">
        <f>VLOOKUP($A201,'Data shares'!$C:$FB,62)</f>
        <v>8073600</v>
      </c>
      <c r="N201" s="49">
        <f>VLOOKUP($A201,'Data shares'!$C:$FB,63)</f>
        <v>13699600</v>
      </c>
      <c r="O201" s="140">
        <f>VLOOKUP($A201,'Data shares'!$C:$FB,65)*100</f>
        <v>-41.07</v>
      </c>
    </row>
    <row r="202" spans="1:15" x14ac:dyDescent="0.25">
      <c r="A202" s="101" t="str">
        <f>'Data Vlaue (Cr)'!C197</f>
        <v>TATASTEEL</v>
      </c>
      <c r="B202" s="50">
        <f>VLOOKUP($A202,'Data shares'!$C:$FB,7)</f>
        <v>205.2</v>
      </c>
      <c r="C202" s="50">
        <f>VLOOKUP($A202,'Data shares'!$C:$FB,10)*100</f>
        <v>0.5</v>
      </c>
      <c r="D202" s="49">
        <f>VLOOKUP($A202,'Data shares'!$C:$FB,66)</f>
        <v>241032000</v>
      </c>
      <c r="E202" s="49">
        <f>VLOOKUP($A202,'Data shares'!$C:$FB,67)</f>
        <v>282100500</v>
      </c>
      <c r="F202" s="50">
        <f>VLOOKUP($A202,'Data shares'!$C:$FB,69)*100</f>
        <v>-14.56</v>
      </c>
      <c r="G202" s="49">
        <f>VLOOKUP($A202,'Data shares'!$C:$FB,42)</f>
        <v>40623000</v>
      </c>
      <c r="H202" s="49">
        <f>VLOOKUP($A202,'Data shares'!$C:$FB,43)</f>
        <v>48246000</v>
      </c>
      <c r="I202" s="50">
        <f>VLOOKUP($A202,'Data shares'!$C:$FB,45)*100</f>
        <v>-15.8</v>
      </c>
      <c r="J202" s="49">
        <f>VLOOKUP($A202,'Data shares'!$C:$FB,58)</f>
        <v>119091500</v>
      </c>
      <c r="K202" s="49">
        <f>VLOOKUP($A202,'Data shares'!$C:$FB,59)</f>
        <v>133023000</v>
      </c>
      <c r="L202" s="50">
        <f>VLOOKUP($A202,'Data shares'!$C:$FB,61)*100</f>
        <v>-10.47</v>
      </c>
      <c r="M202" s="49">
        <f>VLOOKUP($A202,'Data shares'!$C:$FB,62)</f>
        <v>81317500</v>
      </c>
      <c r="N202" s="49">
        <f>VLOOKUP($A202,'Data shares'!$C:$FB,63)</f>
        <v>100831500</v>
      </c>
      <c r="O202" s="140">
        <f>VLOOKUP($A202,'Data shares'!$C:$FB,65)*100</f>
        <v>-19.350000000000001</v>
      </c>
    </row>
    <row r="203" spans="1:15" x14ac:dyDescent="0.25">
      <c r="A203" s="101" t="str">
        <f>'Data Vlaue (Cr)'!C198</f>
        <v>TATATECH</v>
      </c>
      <c r="B203" s="50">
        <f>VLOOKUP($A203,'Data shares'!$C:$FB,7)</f>
        <v>558.9</v>
      </c>
      <c r="C203" s="50">
        <f>VLOOKUP($A203,'Data shares'!$C:$FB,10)*100</f>
        <v>-0.44</v>
      </c>
      <c r="D203" s="49">
        <f>VLOOKUP($A203,'Data shares'!$C:$FB,66)</f>
        <v>2374400</v>
      </c>
      <c r="E203" s="49">
        <f>VLOOKUP($A203,'Data shares'!$C:$FB,67)</f>
        <v>3632000</v>
      </c>
      <c r="F203" s="50">
        <f>VLOOKUP($A203,'Data shares'!$C:$FB,69)*100</f>
        <v>-34.630000000000003</v>
      </c>
      <c r="G203" s="49">
        <f>VLOOKUP($A203,'Data shares'!$C:$FB,42)</f>
        <v>712000</v>
      </c>
      <c r="H203" s="49">
        <f>VLOOKUP($A203,'Data shares'!$C:$FB,43)</f>
        <v>1096000</v>
      </c>
      <c r="I203" s="50">
        <f>VLOOKUP($A203,'Data shares'!$C:$FB,45)*100</f>
        <v>-35.04</v>
      </c>
      <c r="J203" s="49">
        <f>VLOOKUP($A203,'Data shares'!$C:$FB,58)</f>
        <v>1368000</v>
      </c>
      <c r="K203" s="49">
        <f>VLOOKUP($A203,'Data shares'!$C:$FB,59)</f>
        <v>1867200</v>
      </c>
      <c r="L203" s="50">
        <f>VLOOKUP($A203,'Data shares'!$C:$FB,61)*100</f>
        <v>-26.740000000000002</v>
      </c>
      <c r="M203" s="49">
        <f>VLOOKUP($A203,'Data shares'!$C:$FB,62)</f>
        <v>294400</v>
      </c>
      <c r="N203" s="49">
        <f>VLOOKUP($A203,'Data shares'!$C:$FB,63)</f>
        <v>668800</v>
      </c>
      <c r="O203" s="140">
        <f>VLOOKUP($A203,'Data shares'!$C:$FB,65)*100</f>
        <v>-55.98</v>
      </c>
    </row>
    <row r="204" spans="1:15" x14ac:dyDescent="0.25">
      <c r="A204" s="101" t="str">
        <f>'Data Vlaue (Cr)'!C199</f>
        <v>TCS</v>
      </c>
      <c r="B204" s="50">
        <f>VLOOKUP($A204,'Data shares'!$C:$FB,7)</f>
        <v>2589</v>
      </c>
      <c r="C204" s="50">
        <f>VLOOKUP($A204,'Data shares'!$C:$FB,10)*100</f>
        <v>1.1599999999999999</v>
      </c>
      <c r="D204" s="49">
        <f>VLOOKUP($A204,'Data shares'!$C:$FB,66)</f>
        <v>66449425</v>
      </c>
      <c r="E204" s="49">
        <f>VLOOKUP($A204,'Data shares'!$C:$FB,67)</f>
        <v>31362450</v>
      </c>
      <c r="F204" s="50">
        <f>VLOOKUP($A204,'Data shares'!$C:$FB,69)*100</f>
        <v>111.88</v>
      </c>
      <c r="G204" s="49">
        <f>VLOOKUP($A204,'Data shares'!$C:$FB,42)</f>
        <v>6897800</v>
      </c>
      <c r="H204" s="49">
        <f>VLOOKUP($A204,'Data shares'!$C:$FB,43)</f>
        <v>5179125</v>
      </c>
      <c r="I204" s="50">
        <f>VLOOKUP($A204,'Data shares'!$C:$FB,45)*100</f>
        <v>33.18</v>
      </c>
      <c r="J204" s="49">
        <f>VLOOKUP($A204,'Data shares'!$C:$FB,58)</f>
        <v>39462850</v>
      </c>
      <c r="K204" s="49">
        <f>VLOOKUP($A204,'Data shares'!$C:$FB,59)</f>
        <v>17254125</v>
      </c>
      <c r="L204" s="50">
        <f>VLOOKUP($A204,'Data shares'!$C:$FB,61)*100</f>
        <v>128.72</v>
      </c>
      <c r="M204" s="49">
        <f>VLOOKUP($A204,'Data shares'!$C:$FB,62)</f>
        <v>20088775</v>
      </c>
      <c r="N204" s="49">
        <f>VLOOKUP($A204,'Data shares'!$C:$FB,63)</f>
        <v>8929200</v>
      </c>
      <c r="O204" s="140">
        <f>VLOOKUP($A204,'Data shares'!$C:$FB,65)*100</f>
        <v>124.98</v>
      </c>
    </row>
    <row r="205" spans="1:15" x14ac:dyDescent="0.25">
      <c r="A205" s="101" t="str">
        <f>'Data Vlaue (Cr)'!C200</f>
        <v>TECHM</v>
      </c>
      <c r="B205" s="50">
        <f>VLOOKUP($A205,'Data shares'!$C:$FB,7)</f>
        <v>1461.6</v>
      </c>
      <c r="C205" s="50">
        <f>VLOOKUP($A205,'Data shares'!$C:$FB,10)*100</f>
        <v>0.70000000000000007</v>
      </c>
      <c r="D205" s="49">
        <f>VLOOKUP($A205,'Data shares'!$C:$FB,66)</f>
        <v>14609400</v>
      </c>
      <c r="E205" s="49">
        <f>VLOOKUP($A205,'Data shares'!$C:$FB,67)</f>
        <v>18532200</v>
      </c>
      <c r="F205" s="50">
        <f>VLOOKUP($A205,'Data shares'!$C:$FB,69)*100</f>
        <v>-21.17</v>
      </c>
      <c r="G205" s="49">
        <f>VLOOKUP($A205,'Data shares'!$C:$FB,42)</f>
        <v>2425200</v>
      </c>
      <c r="H205" s="49">
        <f>VLOOKUP($A205,'Data shares'!$C:$FB,43)</f>
        <v>3531000</v>
      </c>
      <c r="I205" s="50">
        <f>VLOOKUP($A205,'Data shares'!$C:$FB,45)*100</f>
        <v>-31.319999999999997</v>
      </c>
      <c r="J205" s="49">
        <f>VLOOKUP($A205,'Data shares'!$C:$FB,58)</f>
        <v>7669800</v>
      </c>
      <c r="K205" s="49">
        <f>VLOOKUP($A205,'Data shares'!$C:$FB,59)</f>
        <v>8934600</v>
      </c>
      <c r="L205" s="50">
        <f>VLOOKUP($A205,'Data shares'!$C:$FB,61)*100</f>
        <v>-14.16</v>
      </c>
      <c r="M205" s="49">
        <f>VLOOKUP($A205,'Data shares'!$C:$FB,62)</f>
        <v>4514400</v>
      </c>
      <c r="N205" s="49">
        <f>VLOOKUP($A205,'Data shares'!$C:$FB,63)</f>
        <v>6066600</v>
      </c>
      <c r="O205" s="140">
        <f>VLOOKUP($A205,'Data shares'!$C:$FB,65)*100</f>
        <v>-25.590000000000003</v>
      </c>
    </row>
    <row r="206" spans="1:15" x14ac:dyDescent="0.25">
      <c r="A206" s="101" t="str">
        <f>'Data Vlaue (Cr)'!C201</f>
        <v>TIINDIA</v>
      </c>
      <c r="B206" s="50">
        <f>VLOOKUP($A206,'Data shares'!$C:$FB,7)</f>
        <v>2743.3</v>
      </c>
      <c r="C206" s="50">
        <f>VLOOKUP($A206,'Data shares'!$C:$FB,10)*100</f>
        <v>0.59</v>
      </c>
      <c r="D206" s="49">
        <f>VLOOKUP($A206,'Data shares'!$C:$FB,66)</f>
        <v>455000</v>
      </c>
      <c r="E206" s="49">
        <f>VLOOKUP($A206,'Data shares'!$C:$FB,67)</f>
        <v>992400</v>
      </c>
      <c r="F206" s="50">
        <f>VLOOKUP($A206,'Data shares'!$C:$FB,69)*100</f>
        <v>-54.15</v>
      </c>
      <c r="G206" s="49">
        <f>VLOOKUP($A206,'Data shares'!$C:$FB,42)</f>
        <v>214200</v>
      </c>
      <c r="H206" s="49">
        <f>VLOOKUP($A206,'Data shares'!$C:$FB,43)</f>
        <v>259200</v>
      </c>
      <c r="I206" s="50">
        <f>VLOOKUP($A206,'Data shares'!$C:$FB,45)*100</f>
        <v>-17.36</v>
      </c>
      <c r="J206" s="49">
        <f>VLOOKUP($A206,'Data shares'!$C:$FB,58)</f>
        <v>197400</v>
      </c>
      <c r="K206" s="49">
        <f>VLOOKUP($A206,'Data shares'!$C:$FB,59)</f>
        <v>596400</v>
      </c>
      <c r="L206" s="50">
        <f>VLOOKUP($A206,'Data shares'!$C:$FB,61)*100</f>
        <v>-66.900000000000006</v>
      </c>
      <c r="M206" s="49">
        <f>VLOOKUP($A206,'Data shares'!$C:$FB,62)</f>
        <v>43400</v>
      </c>
      <c r="N206" s="49">
        <f>VLOOKUP($A206,'Data shares'!$C:$FB,63)</f>
        <v>136800</v>
      </c>
      <c r="O206" s="140">
        <f>VLOOKUP($A206,'Data shares'!$C:$FB,65)*100</f>
        <v>-68.27</v>
      </c>
    </row>
    <row r="207" spans="1:15" x14ac:dyDescent="0.25">
      <c r="A207" s="101" t="str">
        <f>'Data Vlaue (Cr)'!C202</f>
        <v>TITAN</v>
      </c>
      <c r="B207" s="50">
        <f>VLOOKUP($A207,'Data shares'!$C:$FB,7)</f>
        <v>4439.8</v>
      </c>
      <c r="C207" s="50">
        <f>VLOOKUP($A207,'Data shares'!$C:$FB,10)*100</f>
        <v>-1.17</v>
      </c>
      <c r="D207" s="49">
        <f>VLOOKUP($A207,'Data shares'!$C:$FB,66)</f>
        <v>7105175</v>
      </c>
      <c r="E207" s="49">
        <f>VLOOKUP($A207,'Data shares'!$C:$FB,67)</f>
        <v>23913050</v>
      </c>
      <c r="F207" s="50">
        <f>VLOOKUP($A207,'Data shares'!$C:$FB,69)*100</f>
        <v>-70.289999999999992</v>
      </c>
      <c r="G207" s="49">
        <f>VLOOKUP($A207,'Data shares'!$C:$FB,42)</f>
        <v>840350</v>
      </c>
      <c r="H207" s="49">
        <f>VLOOKUP($A207,'Data shares'!$C:$FB,43)</f>
        <v>3242925</v>
      </c>
      <c r="I207" s="50">
        <f>VLOOKUP($A207,'Data shares'!$C:$FB,45)*100</f>
        <v>-74.09</v>
      </c>
      <c r="J207" s="49">
        <f>VLOOKUP($A207,'Data shares'!$C:$FB,58)</f>
        <v>3424575</v>
      </c>
      <c r="K207" s="49">
        <f>VLOOKUP($A207,'Data shares'!$C:$FB,59)</f>
        <v>13464500</v>
      </c>
      <c r="L207" s="50">
        <f>VLOOKUP($A207,'Data shares'!$C:$FB,61)*100</f>
        <v>-74.570000000000007</v>
      </c>
      <c r="M207" s="49">
        <f>VLOOKUP($A207,'Data shares'!$C:$FB,62)</f>
        <v>2840250</v>
      </c>
      <c r="N207" s="49">
        <f>VLOOKUP($A207,'Data shares'!$C:$FB,63)</f>
        <v>7205625</v>
      </c>
      <c r="O207" s="140">
        <f>VLOOKUP($A207,'Data shares'!$C:$FB,65)*100</f>
        <v>-60.58</v>
      </c>
    </row>
    <row r="208" spans="1:15" x14ac:dyDescent="0.25">
      <c r="A208" s="101" t="str">
        <f>'Data Vlaue (Cr)'!C203</f>
        <v>TMPV</v>
      </c>
      <c r="B208" s="50">
        <f>VLOOKUP($A208,'Data shares'!$C:$FB,7)</f>
        <v>333.25</v>
      </c>
      <c r="C208" s="50">
        <f>VLOOKUP($A208,'Data shares'!$C:$FB,10)*100</f>
        <v>-0.44999999999999996</v>
      </c>
      <c r="D208" s="49">
        <f>VLOOKUP($A208,'Data shares'!$C:$FB,66)</f>
        <v>65358400</v>
      </c>
      <c r="E208" s="49">
        <f>VLOOKUP($A208,'Data shares'!$C:$FB,67)</f>
        <v>132606400</v>
      </c>
      <c r="F208" s="50">
        <f>VLOOKUP($A208,'Data shares'!$C:$FB,69)*100</f>
        <v>-50.71</v>
      </c>
      <c r="G208" s="49">
        <f>VLOOKUP($A208,'Data shares'!$C:$FB,42)</f>
        <v>10782400</v>
      </c>
      <c r="H208" s="49">
        <f>VLOOKUP($A208,'Data shares'!$C:$FB,43)</f>
        <v>20727200</v>
      </c>
      <c r="I208" s="50">
        <f>VLOOKUP($A208,'Data shares'!$C:$FB,45)*100</f>
        <v>-47.980000000000004</v>
      </c>
      <c r="J208" s="49">
        <f>VLOOKUP($A208,'Data shares'!$C:$FB,58)</f>
        <v>33182400</v>
      </c>
      <c r="K208" s="49">
        <f>VLOOKUP($A208,'Data shares'!$C:$FB,59)</f>
        <v>72004800</v>
      </c>
      <c r="L208" s="50">
        <f>VLOOKUP($A208,'Data shares'!$C:$FB,61)*100</f>
        <v>-53.92</v>
      </c>
      <c r="M208" s="49">
        <f>VLOOKUP($A208,'Data shares'!$C:$FB,62)</f>
        <v>21393600</v>
      </c>
      <c r="N208" s="49">
        <f>VLOOKUP($A208,'Data shares'!$C:$FB,63)</f>
        <v>39874400</v>
      </c>
      <c r="O208" s="140">
        <f>VLOOKUP($A208,'Data shares'!$C:$FB,65)*100</f>
        <v>-46.35</v>
      </c>
    </row>
    <row r="209" spans="1:15" x14ac:dyDescent="0.25">
      <c r="A209" s="101" t="str">
        <f>'Data Vlaue (Cr)'!C204</f>
        <v>TORNTPHARM</v>
      </c>
      <c r="B209" s="50">
        <f>VLOOKUP($A209,'Data shares'!$C:$FB,7)</f>
        <v>4094.5</v>
      </c>
      <c r="C209" s="50">
        <f>VLOOKUP($A209,'Data shares'!$C:$FB,10)*100</f>
        <v>1.6199999999999999</v>
      </c>
      <c r="D209" s="49">
        <f>VLOOKUP($A209,'Data shares'!$C:$FB,66)</f>
        <v>2355750</v>
      </c>
      <c r="E209" s="49">
        <f>VLOOKUP($A209,'Data shares'!$C:$FB,67)</f>
        <v>1672250</v>
      </c>
      <c r="F209" s="50">
        <f>VLOOKUP($A209,'Data shares'!$C:$FB,69)*100</f>
        <v>40.869999999999997</v>
      </c>
      <c r="G209" s="49">
        <f>VLOOKUP($A209,'Data shares'!$C:$FB,42)</f>
        <v>449000</v>
      </c>
      <c r="H209" s="49">
        <f>VLOOKUP($A209,'Data shares'!$C:$FB,43)</f>
        <v>549250</v>
      </c>
      <c r="I209" s="50">
        <f>VLOOKUP($A209,'Data shares'!$C:$FB,45)*100</f>
        <v>-18.25</v>
      </c>
      <c r="J209" s="49">
        <f>VLOOKUP($A209,'Data shares'!$C:$FB,58)</f>
        <v>1554000</v>
      </c>
      <c r="K209" s="49">
        <f>VLOOKUP($A209,'Data shares'!$C:$FB,59)</f>
        <v>774250</v>
      </c>
      <c r="L209" s="50">
        <f>VLOOKUP($A209,'Data shares'!$C:$FB,61)*100</f>
        <v>100.71000000000001</v>
      </c>
      <c r="M209" s="49">
        <f>VLOOKUP($A209,'Data shares'!$C:$FB,62)</f>
        <v>352750</v>
      </c>
      <c r="N209" s="49">
        <f>VLOOKUP($A209,'Data shares'!$C:$FB,63)</f>
        <v>348750</v>
      </c>
      <c r="O209" s="140">
        <f>VLOOKUP($A209,'Data shares'!$C:$FB,65)*100</f>
        <v>1.1499999999999999</v>
      </c>
    </row>
    <row r="210" spans="1:15" x14ac:dyDescent="0.25">
      <c r="A210" s="101" t="str">
        <f>'Data Vlaue (Cr)'!C205</f>
        <v>TORNTPOWER</v>
      </c>
      <c r="B210" s="50">
        <f>VLOOKUP($A210,'Data shares'!$C:$FB,7)</f>
        <v>1446</v>
      </c>
      <c r="C210" s="50">
        <f>VLOOKUP($A210,'Data shares'!$C:$FB,10)*100</f>
        <v>-0.16999999999999998</v>
      </c>
      <c r="D210" s="49">
        <f>VLOOKUP($A210,'Data shares'!$C:$FB,66)</f>
        <v>1413550</v>
      </c>
      <c r="E210" s="49">
        <f>VLOOKUP($A210,'Data shares'!$C:$FB,67)</f>
        <v>2086325</v>
      </c>
      <c r="F210" s="50">
        <f>VLOOKUP($A210,'Data shares'!$C:$FB,69)*100</f>
        <v>-32.25</v>
      </c>
      <c r="G210" s="49">
        <f>VLOOKUP($A210,'Data shares'!$C:$FB,42)</f>
        <v>567800</v>
      </c>
      <c r="H210" s="49">
        <f>VLOOKUP($A210,'Data shares'!$C:$FB,43)</f>
        <v>634525</v>
      </c>
      <c r="I210" s="50">
        <f>VLOOKUP($A210,'Data shares'!$C:$FB,45)*100</f>
        <v>-10.52</v>
      </c>
      <c r="J210" s="49">
        <f>VLOOKUP($A210,'Data shares'!$C:$FB,58)</f>
        <v>545700</v>
      </c>
      <c r="K210" s="49">
        <f>VLOOKUP($A210,'Data shares'!$C:$FB,59)</f>
        <v>850000</v>
      </c>
      <c r="L210" s="50">
        <f>VLOOKUP($A210,'Data shares'!$C:$FB,61)*100</f>
        <v>-35.799999999999997</v>
      </c>
      <c r="M210" s="49">
        <f>VLOOKUP($A210,'Data shares'!$C:$FB,62)</f>
        <v>300050</v>
      </c>
      <c r="N210" s="49">
        <f>VLOOKUP($A210,'Data shares'!$C:$FB,63)</f>
        <v>601800</v>
      </c>
      <c r="O210" s="140">
        <f>VLOOKUP($A210,'Data shares'!$C:$FB,65)*100</f>
        <v>-50.139999999999993</v>
      </c>
    </row>
    <row r="211" spans="1:15" x14ac:dyDescent="0.25">
      <c r="A211" s="101" t="str">
        <f>'Data Vlaue (Cr)'!C206</f>
        <v>TRENT</v>
      </c>
      <c r="B211" s="50">
        <f>VLOOKUP($A211,'Data shares'!$C:$FB,7)</f>
        <v>3850.7</v>
      </c>
      <c r="C211" s="50">
        <f>VLOOKUP($A211,'Data shares'!$C:$FB,10)*100</f>
        <v>-1.39</v>
      </c>
      <c r="D211" s="49">
        <f>VLOOKUP($A211,'Data shares'!$C:$FB,66)</f>
        <v>5469000</v>
      </c>
      <c r="E211" s="49">
        <f>VLOOKUP($A211,'Data shares'!$C:$FB,67)</f>
        <v>11720300</v>
      </c>
      <c r="F211" s="50">
        <f>VLOOKUP($A211,'Data shares'!$C:$FB,69)*100</f>
        <v>-53.339999999999996</v>
      </c>
      <c r="G211" s="49">
        <f>VLOOKUP($A211,'Data shares'!$C:$FB,42)</f>
        <v>928400</v>
      </c>
      <c r="H211" s="49">
        <f>VLOOKUP($A211,'Data shares'!$C:$FB,43)</f>
        <v>1738000</v>
      </c>
      <c r="I211" s="50">
        <f>VLOOKUP($A211,'Data shares'!$C:$FB,45)*100</f>
        <v>-46.58</v>
      </c>
      <c r="J211" s="49">
        <f>VLOOKUP($A211,'Data shares'!$C:$FB,58)</f>
        <v>2613800</v>
      </c>
      <c r="K211" s="49">
        <f>VLOOKUP($A211,'Data shares'!$C:$FB,59)</f>
        <v>6784500</v>
      </c>
      <c r="L211" s="50">
        <f>VLOOKUP($A211,'Data shares'!$C:$FB,61)*100</f>
        <v>-61.47</v>
      </c>
      <c r="M211" s="49">
        <f>VLOOKUP($A211,'Data shares'!$C:$FB,62)</f>
        <v>1926800</v>
      </c>
      <c r="N211" s="49">
        <f>VLOOKUP($A211,'Data shares'!$C:$FB,63)</f>
        <v>3197800</v>
      </c>
      <c r="O211" s="140">
        <f>VLOOKUP($A211,'Data shares'!$C:$FB,65)*100</f>
        <v>-39.75</v>
      </c>
    </row>
    <row r="212" spans="1:15" x14ac:dyDescent="0.25">
      <c r="A212" s="101" t="str">
        <f>'Data Vlaue (Cr)'!C207</f>
        <v>TVSMOTOR</v>
      </c>
      <c r="B212" s="50">
        <f>VLOOKUP($A212,'Data shares'!$C:$FB,7)</f>
        <v>3727.1</v>
      </c>
      <c r="C212" s="50">
        <f>VLOOKUP($A212,'Data shares'!$C:$FB,10)*100</f>
        <v>0.69</v>
      </c>
      <c r="D212" s="49">
        <f>VLOOKUP($A212,'Data shares'!$C:$FB,66)</f>
        <v>3079300</v>
      </c>
      <c r="E212" s="49">
        <f>VLOOKUP($A212,'Data shares'!$C:$FB,67)</f>
        <v>5566050</v>
      </c>
      <c r="F212" s="50">
        <f>VLOOKUP($A212,'Data shares'!$C:$FB,69)*100</f>
        <v>-44.68</v>
      </c>
      <c r="G212" s="49">
        <f>VLOOKUP($A212,'Data shares'!$C:$FB,42)</f>
        <v>820050</v>
      </c>
      <c r="H212" s="49">
        <f>VLOOKUP($A212,'Data shares'!$C:$FB,43)</f>
        <v>1186500</v>
      </c>
      <c r="I212" s="50">
        <f>VLOOKUP($A212,'Data shares'!$C:$FB,45)*100</f>
        <v>-30.880000000000003</v>
      </c>
      <c r="J212" s="49">
        <f>VLOOKUP($A212,'Data shares'!$C:$FB,58)</f>
        <v>1510425</v>
      </c>
      <c r="K212" s="49">
        <f>VLOOKUP($A212,'Data shares'!$C:$FB,59)</f>
        <v>3125150</v>
      </c>
      <c r="L212" s="50">
        <f>VLOOKUP($A212,'Data shares'!$C:$FB,61)*100</f>
        <v>-51.67</v>
      </c>
      <c r="M212" s="49">
        <f>VLOOKUP($A212,'Data shares'!$C:$FB,62)</f>
        <v>748825</v>
      </c>
      <c r="N212" s="49">
        <f>VLOOKUP($A212,'Data shares'!$C:$FB,63)</f>
        <v>1254400</v>
      </c>
      <c r="O212" s="140">
        <f>VLOOKUP($A212,'Data shares'!$C:$FB,65)*100</f>
        <v>-40.300000000000004</v>
      </c>
    </row>
    <row r="213" spans="1:15" x14ac:dyDescent="0.25">
      <c r="A213" s="101" t="str">
        <f>'Data Vlaue (Cr)'!C208</f>
        <v>ULTRACEMCO</v>
      </c>
      <c r="B213" s="50">
        <f>VLOOKUP($A213,'Data shares'!$C:$FB,7)</f>
        <v>11448</v>
      </c>
      <c r="C213" s="50">
        <f>VLOOKUP($A213,'Data shares'!$C:$FB,10)*100</f>
        <v>-1.34</v>
      </c>
      <c r="D213" s="49">
        <f>VLOOKUP($A213,'Data shares'!$C:$FB,66)</f>
        <v>1182900</v>
      </c>
      <c r="E213" s="49">
        <f>VLOOKUP($A213,'Data shares'!$C:$FB,67)</f>
        <v>2565200</v>
      </c>
      <c r="F213" s="50">
        <f>VLOOKUP($A213,'Data shares'!$C:$FB,69)*100</f>
        <v>-53.890000000000008</v>
      </c>
      <c r="G213" s="49">
        <f>VLOOKUP($A213,'Data shares'!$C:$FB,42)</f>
        <v>295000</v>
      </c>
      <c r="H213" s="49">
        <f>VLOOKUP($A213,'Data shares'!$C:$FB,43)</f>
        <v>566500</v>
      </c>
      <c r="I213" s="50">
        <f>VLOOKUP($A213,'Data shares'!$C:$FB,45)*100</f>
        <v>-47.93</v>
      </c>
      <c r="J213" s="49">
        <f>VLOOKUP($A213,'Data shares'!$C:$FB,58)</f>
        <v>513800</v>
      </c>
      <c r="K213" s="49">
        <f>VLOOKUP($A213,'Data shares'!$C:$FB,59)</f>
        <v>1214700</v>
      </c>
      <c r="L213" s="50">
        <f>VLOOKUP($A213,'Data shares'!$C:$FB,61)*100</f>
        <v>-57.699999999999996</v>
      </c>
      <c r="M213" s="49">
        <f>VLOOKUP($A213,'Data shares'!$C:$FB,62)</f>
        <v>374100</v>
      </c>
      <c r="N213" s="49">
        <f>VLOOKUP($A213,'Data shares'!$C:$FB,63)</f>
        <v>784000</v>
      </c>
      <c r="O213" s="140">
        <f>VLOOKUP($A213,'Data shares'!$C:$FB,65)*100</f>
        <v>-52.28</v>
      </c>
    </row>
    <row r="214" spans="1:15" x14ac:dyDescent="0.25">
      <c r="A214" s="101" t="str">
        <f>'Data Vlaue (Cr)'!C209</f>
        <v>UNIONBANK</v>
      </c>
      <c r="B214" s="50">
        <f>VLOOKUP($A214,'Data shares'!$C:$FB,7)</f>
        <v>184.69</v>
      </c>
      <c r="C214" s="50">
        <f>VLOOKUP($A214,'Data shares'!$C:$FB,10)*100</f>
        <v>-0.52</v>
      </c>
      <c r="D214" s="49">
        <f>VLOOKUP($A214,'Data shares'!$C:$FB,66)</f>
        <v>80450925</v>
      </c>
      <c r="E214" s="49">
        <f>VLOOKUP($A214,'Data shares'!$C:$FB,67)</f>
        <v>112133925</v>
      </c>
      <c r="F214" s="50">
        <f>VLOOKUP($A214,'Data shares'!$C:$FB,69)*100</f>
        <v>-28.249999999999996</v>
      </c>
      <c r="G214" s="49">
        <f>VLOOKUP($A214,'Data shares'!$C:$FB,42)</f>
        <v>23421525</v>
      </c>
      <c r="H214" s="49">
        <f>VLOOKUP($A214,'Data shares'!$C:$FB,43)</f>
        <v>32829075</v>
      </c>
      <c r="I214" s="50">
        <f>VLOOKUP($A214,'Data shares'!$C:$FB,45)*100</f>
        <v>-28.660000000000004</v>
      </c>
      <c r="J214" s="49">
        <f>VLOOKUP($A214,'Data shares'!$C:$FB,58)</f>
        <v>38789550</v>
      </c>
      <c r="K214" s="49">
        <f>VLOOKUP($A214,'Data shares'!$C:$FB,59)</f>
        <v>52666350</v>
      </c>
      <c r="L214" s="50">
        <f>VLOOKUP($A214,'Data shares'!$C:$FB,61)*100</f>
        <v>-26.35</v>
      </c>
      <c r="M214" s="49">
        <f>VLOOKUP($A214,'Data shares'!$C:$FB,62)</f>
        <v>18239850</v>
      </c>
      <c r="N214" s="49">
        <f>VLOOKUP($A214,'Data shares'!$C:$FB,63)</f>
        <v>26638500</v>
      </c>
      <c r="O214" s="140">
        <f>VLOOKUP($A214,'Data shares'!$C:$FB,65)*100</f>
        <v>-31.53</v>
      </c>
    </row>
    <row r="215" spans="1:15" x14ac:dyDescent="0.25">
      <c r="A215" s="101" t="str">
        <f>'Data Vlaue (Cr)'!C210</f>
        <v>UNITDSPR</v>
      </c>
      <c r="B215" s="50">
        <f>VLOOKUP($A215,'Data shares'!$C:$FB,7)</f>
        <v>1249.7</v>
      </c>
      <c r="C215" s="50">
        <f>VLOOKUP($A215,'Data shares'!$C:$FB,10)*100</f>
        <v>6.9999999999999993E-2</v>
      </c>
      <c r="D215" s="49">
        <f>VLOOKUP($A215,'Data shares'!$C:$FB,66)</f>
        <v>3104400</v>
      </c>
      <c r="E215" s="49">
        <f>VLOOKUP($A215,'Data shares'!$C:$FB,67)</f>
        <v>4490800</v>
      </c>
      <c r="F215" s="50">
        <f>VLOOKUP($A215,'Data shares'!$C:$FB,69)*100</f>
        <v>-30.869999999999997</v>
      </c>
      <c r="G215" s="49">
        <f>VLOOKUP($A215,'Data shares'!$C:$FB,42)</f>
        <v>973600</v>
      </c>
      <c r="H215" s="49">
        <f>VLOOKUP($A215,'Data shares'!$C:$FB,43)</f>
        <v>1156000</v>
      </c>
      <c r="I215" s="50">
        <f>VLOOKUP($A215,'Data shares'!$C:$FB,45)*100</f>
        <v>-15.78</v>
      </c>
      <c r="J215" s="49">
        <f>VLOOKUP($A215,'Data shares'!$C:$FB,58)</f>
        <v>1664400</v>
      </c>
      <c r="K215" s="49">
        <f>VLOOKUP($A215,'Data shares'!$C:$FB,59)</f>
        <v>2304800</v>
      </c>
      <c r="L215" s="50">
        <f>VLOOKUP($A215,'Data shares'!$C:$FB,61)*100</f>
        <v>-27.79</v>
      </c>
      <c r="M215" s="49">
        <f>VLOOKUP($A215,'Data shares'!$C:$FB,62)</f>
        <v>466400</v>
      </c>
      <c r="N215" s="49">
        <f>VLOOKUP($A215,'Data shares'!$C:$FB,63)</f>
        <v>1030000</v>
      </c>
      <c r="O215" s="140">
        <f>VLOOKUP($A215,'Data shares'!$C:$FB,65)*100</f>
        <v>-54.72</v>
      </c>
    </row>
    <row r="216" spans="1:15" x14ac:dyDescent="0.25">
      <c r="A216" s="101" t="str">
        <f>'Data Vlaue (Cr)'!C211</f>
        <v>UNOMINDA</v>
      </c>
      <c r="B216" s="50">
        <f>VLOOKUP($A216,'Data shares'!$C:$FB,7)</f>
        <v>1054.5999999999999</v>
      </c>
      <c r="C216" s="50">
        <f>VLOOKUP($A216,'Data shares'!$C:$FB,10)*100</f>
        <v>-3.27</v>
      </c>
      <c r="D216" s="49">
        <f>VLOOKUP($A216,'Data shares'!$C:$FB,66)</f>
        <v>2681800</v>
      </c>
      <c r="E216" s="49">
        <f>VLOOKUP($A216,'Data shares'!$C:$FB,67)</f>
        <v>3262600</v>
      </c>
      <c r="F216" s="50">
        <f>VLOOKUP($A216,'Data shares'!$C:$FB,69)*100</f>
        <v>-17.8</v>
      </c>
      <c r="G216" s="49">
        <f>VLOOKUP($A216,'Data shares'!$C:$FB,42)</f>
        <v>1146200</v>
      </c>
      <c r="H216" s="49">
        <f>VLOOKUP($A216,'Data shares'!$C:$FB,43)</f>
        <v>875600</v>
      </c>
      <c r="I216" s="50">
        <f>VLOOKUP($A216,'Data shares'!$C:$FB,45)*100</f>
        <v>30.9</v>
      </c>
      <c r="J216" s="49">
        <f>VLOOKUP($A216,'Data shares'!$C:$FB,58)</f>
        <v>985050</v>
      </c>
      <c r="K216" s="49">
        <f>VLOOKUP($A216,'Data shares'!$C:$FB,59)</f>
        <v>1841400</v>
      </c>
      <c r="L216" s="50">
        <f>VLOOKUP($A216,'Data shares'!$C:$FB,61)*100</f>
        <v>-46.51</v>
      </c>
      <c r="M216" s="49">
        <f>VLOOKUP($A216,'Data shares'!$C:$FB,62)</f>
        <v>550550</v>
      </c>
      <c r="N216" s="49">
        <f>VLOOKUP($A216,'Data shares'!$C:$FB,63)</f>
        <v>545600</v>
      </c>
      <c r="O216" s="140">
        <f>VLOOKUP($A216,'Data shares'!$C:$FB,65)*100</f>
        <v>0.91</v>
      </c>
    </row>
    <row r="217" spans="1:15" x14ac:dyDescent="0.25">
      <c r="A217" s="101" t="str">
        <f>'Data Vlaue (Cr)'!C220</f>
        <v>ZYDUSLIFE</v>
      </c>
      <c r="B217" s="50">
        <f>VLOOKUP($A217,'Data shares'!$C:$FB,7)</f>
        <v>902.25</v>
      </c>
      <c r="C217" s="50">
        <f>VLOOKUP($A217,'Data shares'!$C:$FB,10)*100</f>
        <v>1.2</v>
      </c>
      <c r="D217" s="49">
        <f>VLOOKUP($A217,'Data shares'!$C:$FB,66)</f>
        <v>8385300</v>
      </c>
      <c r="E217" s="49">
        <f>VLOOKUP($A217,'Data shares'!$C:$FB,67)</f>
        <v>4683600</v>
      </c>
      <c r="F217" s="50">
        <f>VLOOKUP($A217,'Data shares'!$C:$FB,69)*100</f>
        <v>79.039999999999992</v>
      </c>
      <c r="G217" s="49">
        <f>VLOOKUP($A217,'Data shares'!$C:$FB,42)</f>
        <v>1179000</v>
      </c>
      <c r="H217" s="49">
        <f>VLOOKUP($A217,'Data shares'!$C:$FB,43)</f>
        <v>1317600</v>
      </c>
      <c r="I217" s="50">
        <f>VLOOKUP($A217,'Data shares'!$C:$FB,45)*100</f>
        <v>-10.52</v>
      </c>
      <c r="J217" s="49">
        <f>VLOOKUP($A217,'Data shares'!$C:$FB,58)</f>
        <v>5494500</v>
      </c>
      <c r="K217" s="49">
        <f>VLOOKUP($A217,'Data shares'!$C:$FB,59)</f>
        <v>2332800</v>
      </c>
      <c r="L217" s="50">
        <f>VLOOKUP($A217,'Data shares'!$C:$FB,61)*100</f>
        <v>135.53</v>
      </c>
      <c r="M217" s="49">
        <f>VLOOKUP($A217,'Data shares'!$C:$FB,62)</f>
        <v>1711800</v>
      </c>
      <c r="N217" s="49">
        <f>VLOOKUP($A217,'Data shares'!$C:$FB,63)</f>
        <v>1033200</v>
      </c>
      <c r="O217" s="140">
        <f>VLOOKUP($A217,'Data shares'!$C:$FB,65)*100</f>
        <v>65.680000000000007</v>
      </c>
    </row>
    <row r="218" spans="1:15" x14ac:dyDescent="0.25">
      <c r="A218" s="101"/>
      <c r="B218" s="50"/>
      <c r="C218" s="50"/>
      <c r="D218" s="49"/>
      <c r="E218" s="49"/>
      <c r="F218" s="50"/>
      <c r="G218" s="49"/>
      <c r="H218" s="49"/>
      <c r="I218" s="50"/>
      <c r="J218" s="49"/>
      <c r="K218" s="49"/>
      <c r="L218" s="50"/>
      <c r="M218" s="49"/>
      <c r="N218" s="49"/>
      <c r="O218" s="140"/>
    </row>
    <row r="219" spans="1:15" x14ac:dyDescent="0.25">
      <c r="A219" s="101"/>
      <c r="B219" s="50"/>
      <c r="C219" s="50"/>
      <c r="D219" s="49"/>
      <c r="E219" s="49"/>
      <c r="F219" s="50"/>
      <c r="G219" s="49"/>
      <c r="H219" s="49"/>
      <c r="I219" s="50"/>
      <c r="J219" s="49"/>
      <c r="K219" s="49"/>
      <c r="L219" s="50"/>
      <c r="M219" s="49"/>
      <c r="N219" s="49"/>
      <c r="O219" s="140"/>
    </row>
    <row r="220" spans="1:15" x14ac:dyDescent="0.25">
      <c r="A220" s="101"/>
      <c r="B220" s="50"/>
      <c r="C220" s="50"/>
      <c r="D220" s="49"/>
      <c r="E220" s="49"/>
      <c r="F220" s="50"/>
      <c r="G220" s="49"/>
      <c r="H220" s="49"/>
      <c r="I220" s="50"/>
      <c r="J220" s="49"/>
      <c r="K220" s="49"/>
      <c r="L220" s="50"/>
      <c r="M220" s="49"/>
      <c r="N220" s="49"/>
      <c r="O220" s="140"/>
    </row>
    <row r="221" spans="1:15" x14ac:dyDescent="0.25">
      <c r="A221" s="101"/>
      <c r="B221" s="50"/>
      <c r="C221" s="50"/>
      <c r="D221" s="49"/>
      <c r="E221" s="49"/>
      <c r="F221" s="50"/>
      <c r="G221" s="49"/>
      <c r="H221" s="49"/>
      <c r="I221" s="50"/>
      <c r="J221" s="49"/>
      <c r="K221" s="49"/>
      <c r="L221" s="50"/>
      <c r="M221" s="49"/>
      <c r="N221" s="49"/>
      <c r="O221" s="140"/>
    </row>
    <row r="222" spans="1:15" x14ac:dyDescent="0.25">
      <c r="A222" s="101"/>
      <c r="B222" s="50"/>
      <c r="C222" s="50"/>
      <c r="D222" s="49"/>
      <c r="E222" s="49"/>
      <c r="F222" s="50"/>
      <c r="G222" s="49"/>
      <c r="H222" s="49"/>
      <c r="I222" s="50"/>
      <c r="J222" s="49"/>
      <c r="K222" s="49"/>
      <c r="L222" s="50"/>
      <c r="M222" s="49"/>
      <c r="N222" s="49"/>
      <c r="O222" s="140"/>
    </row>
    <row r="223" spans="1:15" x14ac:dyDescent="0.25">
      <c r="A223" s="101"/>
      <c r="B223" s="50"/>
      <c r="C223" s="50"/>
      <c r="D223" s="49"/>
      <c r="E223" s="49"/>
      <c r="F223" s="50"/>
      <c r="G223" s="49"/>
      <c r="H223" s="49"/>
      <c r="I223" s="50"/>
      <c r="J223" s="49"/>
      <c r="K223" s="49"/>
      <c r="L223" s="50"/>
      <c r="M223" s="49"/>
      <c r="N223" s="49"/>
      <c r="O223" s="140"/>
    </row>
    <row r="224" spans="1:15" x14ac:dyDescent="0.25">
      <c r="A224" s="101"/>
      <c r="B224" s="50"/>
      <c r="C224" s="50"/>
      <c r="D224" s="49"/>
      <c r="E224" s="49"/>
      <c r="F224" s="50"/>
      <c r="G224" s="49"/>
      <c r="H224" s="49"/>
      <c r="I224" s="50"/>
      <c r="J224" s="49"/>
      <c r="K224" s="49"/>
      <c r="L224" s="50"/>
      <c r="M224" s="49"/>
      <c r="N224" s="49"/>
      <c r="O224" s="140"/>
    </row>
    <row r="225" spans="1:15" x14ac:dyDescent="0.25">
      <c r="A225" s="101"/>
      <c r="B225" s="17"/>
      <c r="C225" s="17"/>
      <c r="D225" s="17"/>
      <c r="E225" s="17"/>
      <c r="F225" s="17"/>
      <c r="G225" s="17"/>
      <c r="H225" s="17"/>
      <c r="I225" s="17"/>
      <c r="J225" s="17"/>
      <c r="K225" s="17"/>
      <c r="L225" s="17"/>
      <c r="M225" s="17"/>
      <c r="N225" s="17"/>
      <c r="O225" s="17"/>
    </row>
    <row r="226" spans="1:15" x14ac:dyDescent="0.25">
      <c r="A226" s="102"/>
      <c r="B226" s="17"/>
      <c r="C226" s="17"/>
      <c r="D226" s="17"/>
      <c r="E226" s="17"/>
      <c r="F226" s="17"/>
      <c r="G226" s="17"/>
      <c r="H226" s="17"/>
      <c r="I226" s="17"/>
      <c r="J226" s="17"/>
      <c r="K226" s="17"/>
      <c r="L226" s="17"/>
      <c r="M226" s="17"/>
      <c r="N226" s="17"/>
      <c r="O226" s="17"/>
    </row>
    <row r="227" spans="1:15" x14ac:dyDescent="0.25">
      <c r="A227" s="133" t="s">
        <v>391</v>
      </c>
      <c r="B227" s="133"/>
      <c r="C227" s="133"/>
      <c r="D227" s="133">
        <f>SUM(D7:D221)</f>
        <v>10825748937</v>
      </c>
      <c r="E227" s="133">
        <f>SUM(E7:E221)</f>
        <v>15066718066</v>
      </c>
      <c r="F227" s="134">
        <f>(D227-E227)/E227</f>
        <v>-0.28147929166938457</v>
      </c>
      <c r="G227" s="133">
        <f>SUM(G7:G221)</f>
        <v>1637333778</v>
      </c>
      <c r="H227" s="133">
        <f>SUM(H7:H221)</f>
        <v>2672297457</v>
      </c>
      <c r="I227" s="134">
        <f>(G227-H227)/H227</f>
        <v>-0.38729359124634305</v>
      </c>
      <c r="J227" s="133">
        <f>SUM(J7:J221)</f>
        <v>5631501728</v>
      </c>
      <c r="K227" s="133">
        <f>SUM(K7:K221)</f>
        <v>7926770983</v>
      </c>
      <c r="L227" s="134">
        <f>(J227-K227)/K227</f>
        <v>-0.28955917358057975</v>
      </c>
      <c r="M227" s="133">
        <f>SUM(M7:M221)</f>
        <v>3556913431</v>
      </c>
      <c r="N227" s="133">
        <f>SUM(N7:N221)</f>
        <v>4467649626</v>
      </c>
      <c r="O227" s="134">
        <f>(M227-N227)/N227</f>
        <v>-0.20385130241634575</v>
      </c>
    </row>
    <row r="228" spans="1:15" x14ac:dyDescent="0.25">
      <c r="A228" s="133" t="s">
        <v>398</v>
      </c>
      <c r="B228" s="133"/>
      <c r="C228" s="133"/>
      <c r="D228" s="133">
        <f>D227/10000000</f>
        <v>1082.5748937000001</v>
      </c>
      <c r="E228" s="133">
        <f>E227/10000000</f>
        <v>1506.6718066000001</v>
      </c>
      <c r="F228" s="134">
        <f>(D228-E228)/E228</f>
        <v>-0.28147929166938457</v>
      </c>
      <c r="G228" s="133">
        <f>G227/10000000</f>
        <v>163.7333778</v>
      </c>
      <c r="H228" s="133">
        <f>H227/10000000</f>
        <v>267.22974570000002</v>
      </c>
      <c r="I228" s="134">
        <f>(G228-H228)/H228</f>
        <v>-0.38729359124634311</v>
      </c>
      <c r="J228" s="133">
        <f>J227/10000000</f>
        <v>563.15017279999995</v>
      </c>
      <c r="K228" s="133">
        <f>K227/10000000</f>
        <v>792.67709830000001</v>
      </c>
      <c r="L228" s="134">
        <f>(J228-K228)/K228</f>
        <v>-0.28955917358057986</v>
      </c>
      <c r="M228" s="133">
        <f>M227/10000000</f>
        <v>355.69134309999998</v>
      </c>
      <c r="N228" s="133">
        <f>N227/10000000</f>
        <v>446.76496259999999</v>
      </c>
      <c r="O228" s="134">
        <f>(M228-N228)/N228</f>
        <v>-0.20385130241634578</v>
      </c>
    </row>
    <row r="229" spans="1:15" x14ac:dyDescent="0.25">
      <c r="A229" s="17"/>
      <c r="B229" s="17"/>
      <c r="C229" s="17"/>
      <c r="D229" s="17"/>
      <c r="E229" s="17"/>
      <c r="F229" s="17"/>
      <c r="G229" s="17"/>
      <c r="H229" s="17"/>
      <c r="I229" s="17"/>
      <c r="J229" s="17"/>
      <c r="K229" s="17"/>
      <c r="L229" s="17"/>
      <c r="M229" s="17"/>
      <c r="N229" s="17"/>
      <c r="O229"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207" activePane="bottomLeft" state="frozen"/>
      <selection pane="bottomLeft" activeCell="A218" sqref="A218:O218"/>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8" t="s">
        <v>311</v>
      </c>
      <c r="B3" s="309"/>
      <c r="C3" s="309"/>
      <c r="D3" s="309"/>
      <c r="E3" s="309"/>
      <c r="F3" s="309"/>
      <c r="G3" s="309"/>
      <c r="H3" s="309"/>
      <c r="I3" s="309"/>
      <c r="J3" s="309"/>
      <c r="K3" s="309"/>
      <c r="L3" s="268"/>
      <c r="M3" s="268"/>
      <c r="N3" s="268"/>
      <c r="O3" s="310"/>
    </row>
    <row r="4" spans="1:19" s="104" customFormat="1" x14ac:dyDescent="0.25">
      <c r="A4" s="287" t="s">
        <v>330</v>
      </c>
      <c r="B4" s="287" t="s">
        <v>311</v>
      </c>
      <c r="C4" s="287"/>
      <c r="D4" s="287"/>
      <c r="E4" s="287"/>
      <c r="F4" s="287"/>
      <c r="G4" s="287"/>
      <c r="H4" s="287" t="s">
        <v>365</v>
      </c>
      <c r="I4" s="287"/>
      <c r="J4" s="287"/>
      <c r="K4" s="287"/>
      <c r="L4" s="287" t="s">
        <v>309</v>
      </c>
      <c r="M4" s="287"/>
      <c r="N4" s="287"/>
      <c r="O4" s="287"/>
    </row>
    <row r="5" spans="1:19" s="104" customFormat="1" x14ac:dyDescent="0.25">
      <c r="A5" s="306"/>
      <c r="B5" s="306" t="s">
        <v>316</v>
      </c>
      <c r="C5" s="306"/>
      <c r="D5" s="306"/>
      <c r="E5" s="306" t="s">
        <v>317</v>
      </c>
      <c r="F5" s="306"/>
      <c r="G5" s="306"/>
      <c r="H5" s="306" t="s">
        <v>336</v>
      </c>
      <c r="I5" s="306"/>
      <c r="J5" s="306" t="s">
        <v>342</v>
      </c>
      <c r="K5" s="306"/>
      <c r="L5" s="306" t="s">
        <v>336</v>
      </c>
      <c r="M5" s="306"/>
      <c r="N5" s="306" t="s">
        <v>342</v>
      </c>
      <c r="O5" s="307"/>
    </row>
    <row r="6" spans="1:19" s="104" customFormat="1" x14ac:dyDescent="0.25">
      <c r="A6" s="76" t="s">
        <v>318</v>
      </c>
      <c r="B6" s="3">
        <f>'Total Valume'!B6</f>
        <v>46121</v>
      </c>
      <c r="C6" s="76" t="s">
        <v>322</v>
      </c>
      <c r="D6" s="76" t="s">
        <v>328</v>
      </c>
      <c r="E6" s="3">
        <f>B6</f>
        <v>46121</v>
      </c>
      <c r="F6" s="76" t="s">
        <v>322</v>
      </c>
      <c r="G6" s="76" t="s">
        <v>328</v>
      </c>
      <c r="H6" s="3">
        <f>E6</f>
        <v>46121</v>
      </c>
      <c r="I6" s="76" t="s">
        <v>333</v>
      </c>
      <c r="J6" s="3">
        <f>E6</f>
        <v>46121</v>
      </c>
      <c r="K6" s="76" t="s">
        <v>333</v>
      </c>
      <c r="L6" s="3">
        <f>E6</f>
        <v>46121</v>
      </c>
      <c r="M6" s="76" t="s">
        <v>333</v>
      </c>
      <c r="N6" s="3">
        <f>E6</f>
        <v>46121</v>
      </c>
      <c r="O6" s="76" t="s">
        <v>333</v>
      </c>
    </row>
    <row r="7" spans="1:19" x14ac:dyDescent="0.25">
      <c r="A7" s="105" t="str">
        <f>'Data Vlaue (Cr)'!C2</f>
        <v>360ONE</v>
      </c>
      <c r="B7" s="143">
        <f>VLOOKUP($A7,'Data shares'!$C:$FA,118)</f>
        <v>0.78</v>
      </c>
      <c r="C7" s="143">
        <f>VLOOKUP($A7,'Data shares'!$C:$FA,119)</f>
        <v>0.56999999999999995</v>
      </c>
      <c r="D7" s="143">
        <f>VLOOKUP($A7,'Data shares'!$C:$FA,121)*100</f>
        <v>36.840000000000003</v>
      </c>
      <c r="E7" s="143">
        <f>VLOOKUP($A7,'Data shares'!$C:$FA,124)</f>
        <v>0.2</v>
      </c>
      <c r="F7" s="143">
        <f>VLOOKUP($A7,'Data shares'!$C:$FA,125)</f>
        <v>0.24</v>
      </c>
      <c r="G7" s="143">
        <f>VLOOKUP($A7,'Data shares'!$C:$FA,127)*100</f>
        <v>-16.669999999999998</v>
      </c>
      <c r="H7" s="103">
        <f>VLOOKUP($A7,'OI(Volume)'!$A$7:$O$440,8)</f>
        <v>855000</v>
      </c>
      <c r="I7" s="103">
        <f>VLOOKUP($A7,'OI(Volume)'!$A$7:$O$440,9)</f>
        <v>-48500</v>
      </c>
      <c r="J7" s="103">
        <f>VLOOKUP($A7,'OI(Volume)'!$A$7:$O$440,11)</f>
        <v>663000</v>
      </c>
      <c r="K7" s="103">
        <f>VLOOKUP($A7,'OI(Volume)'!$A$7:$O$440,12)</f>
        <v>148500</v>
      </c>
      <c r="L7" s="103">
        <f>VLOOKUP($A7,'OI(Value)'!$A$7:$O$323,8,0)</f>
        <v>86</v>
      </c>
      <c r="M7" s="103">
        <f>VLOOKUP($A7,'OI(Value)'!$A$7:$O$323,9,0)</f>
        <v>-5</v>
      </c>
      <c r="N7" s="103">
        <f>VLOOKUP($A7,'OI(Value)'!$A$7:$O$323,11,0)</f>
        <v>66</v>
      </c>
      <c r="O7" s="103">
        <f>VLOOKUP($A7,'OI(Value)'!$A$7:$O$323,12,0)</f>
        <v>15</v>
      </c>
      <c r="P7" s="179">
        <f>VLOOKUP(A7,'OI(Value)'!A7:O182,8,0)</f>
        <v>86</v>
      </c>
      <c r="Q7" s="179">
        <f>VLOOKUP(A7,'OI(Value)'!A7:O182,9,0)</f>
        <v>-5</v>
      </c>
      <c r="R7" s="179">
        <f>VLOOKUP(A7,'OI(Value)'!A7:O182,11,0)</f>
        <v>66</v>
      </c>
      <c r="S7" s="179">
        <f>VLOOKUP(A7,'OI(Value)'!A7:O182,12,0)</f>
        <v>15</v>
      </c>
    </row>
    <row r="8" spans="1:19" x14ac:dyDescent="0.25">
      <c r="A8" s="105" t="str">
        <f>'Data Vlaue (Cr)'!C3</f>
        <v>ABB</v>
      </c>
      <c r="B8" s="143">
        <f>VLOOKUP($A8,'Data shares'!$C:$FA,118)</f>
        <v>1.05</v>
      </c>
      <c r="C8" s="143">
        <f>VLOOKUP($A8,'Data shares'!$C:$FA,119)</f>
        <v>0.97</v>
      </c>
      <c r="D8" s="143">
        <f>VLOOKUP($A8,'Data shares'!$C:$FA,121)*100</f>
        <v>8.25</v>
      </c>
      <c r="E8" s="143">
        <f>VLOOKUP($A8,'Data shares'!$C:$FA,124)</f>
        <v>0.48</v>
      </c>
      <c r="F8" s="143">
        <f>VLOOKUP($A8,'Data shares'!$C:$FA,125)</f>
        <v>0.43</v>
      </c>
      <c r="G8" s="143">
        <f>VLOOKUP($A8,'Data shares'!$C:$FA,127)*100</f>
        <v>11.63</v>
      </c>
      <c r="H8" s="103">
        <f>VLOOKUP($A8,'OI(Volume)'!$A$7:$O$440,8)</f>
        <v>665500</v>
      </c>
      <c r="I8" s="103">
        <f>VLOOKUP($A8,'OI(Volume)'!$A$7:$O$440,9)</f>
        <v>34500</v>
      </c>
      <c r="J8" s="103">
        <f>VLOOKUP($A8,'OI(Volume)'!$A$7:$O$440,11)</f>
        <v>698125</v>
      </c>
      <c r="K8" s="103">
        <f>VLOOKUP($A8,'OI(Volume)'!$A$7:$O$440,12)</f>
        <v>85125</v>
      </c>
      <c r="L8" s="103">
        <f>VLOOKUP($A8,'OI(Value)'!$A$7:$O$323,8,0)</f>
        <v>442</v>
      </c>
      <c r="M8" s="103">
        <f>VLOOKUP($A8,'OI(Value)'!$A$7:$O$323,9,0)</f>
        <v>23</v>
      </c>
      <c r="N8" s="103">
        <f>VLOOKUP($A8,'OI(Value)'!$A$7:$O$323,11,0)</f>
        <v>464</v>
      </c>
      <c r="O8" s="103">
        <f>VLOOKUP($A8,'OI(Value)'!$A$7:$O$323,12,0)</f>
        <v>57</v>
      </c>
      <c r="P8" s="179">
        <f>VLOOKUP(A8,'OI(Value)'!A8:O226,8,0)</f>
        <v>442</v>
      </c>
      <c r="Q8" s="179">
        <f>VLOOKUP(A8,'OI(Value)'!A8:O226,9,0)</f>
        <v>23</v>
      </c>
      <c r="R8" s="179">
        <f>VLOOKUP(A8,'OI(Value)'!A8:O226,11,0)</f>
        <v>464</v>
      </c>
      <c r="S8" s="179">
        <f>VLOOKUP(A8,'OI(Value)'!A8:O226,11,0)</f>
        <v>464</v>
      </c>
    </row>
    <row r="9" spans="1:19" x14ac:dyDescent="0.25">
      <c r="A9" s="105" t="str">
        <f>'Data Vlaue (Cr)'!C4</f>
        <v>ABCAPITAL</v>
      </c>
      <c r="B9" s="143">
        <f>VLOOKUP($A9,'Data shares'!$C:$FA,118)</f>
        <v>0.97</v>
      </c>
      <c r="C9" s="143">
        <f>VLOOKUP($A9,'Data shares'!$C:$FA,119)</f>
        <v>0.98</v>
      </c>
      <c r="D9" s="143">
        <f>VLOOKUP($A9,'Data shares'!$C:$FA,121)*100</f>
        <v>-1.02</v>
      </c>
      <c r="E9" s="143">
        <f>VLOOKUP($A9,'Data shares'!$C:$FA,124)</f>
        <v>0.97</v>
      </c>
      <c r="F9" s="143">
        <f>VLOOKUP($A9,'Data shares'!$C:$FA,125)</f>
        <v>0.95</v>
      </c>
      <c r="G9" s="143">
        <f>VLOOKUP($A9,'Data shares'!$C:$FA,127)*100</f>
        <v>2.11</v>
      </c>
      <c r="H9" s="103">
        <f>VLOOKUP($A9,'OI(Volume)'!$A$7:$O$440,8)</f>
        <v>8224300</v>
      </c>
      <c r="I9" s="103">
        <f>VLOOKUP($A9,'OI(Volume)'!$A$7:$O$440,9)</f>
        <v>334800</v>
      </c>
      <c r="J9" s="103">
        <f>VLOOKUP($A9,'OI(Volume)'!$A$7:$O$440,11)</f>
        <v>7976300</v>
      </c>
      <c r="K9" s="103">
        <f>VLOOKUP($A9,'OI(Volume)'!$A$7:$O$440,12)</f>
        <v>254200</v>
      </c>
      <c r="L9" s="103">
        <f>VLOOKUP($A9,'OI(Value)'!$A$7:$O$323,8,0)</f>
        <v>276</v>
      </c>
      <c r="M9" s="103">
        <f>VLOOKUP($A9,'OI(Value)'!$A$7:$O$323,9,0)</f>
        <v>11</v>
      </c>
      <c r="N9" s="103">
        <f>VLOOKUP($A9,'OI(Value)'!$A$7:$O$323,11,0)</f>
        <v>268</v>
      </c>
      <c r="O9" s="103">
        <f>VLOOKUP($A9,'OI(Value)'!$A$7:$O$323,12,0)</f>
        <v>9</v>
      </c>
      <c r="P9" s="179">
        <f>VLOOKUP(A9,'OI(Value)'!A9:O227,8,0)</f>
        <v>276</v>
      </c>
      <c r="Q9" s="179">
        <f>VLOOKUP(A9,'OI(Value)'!A9:O227,9,0)</f>
        <v>11</v>
      </c>
      <c r="R9" s="179">
        <f>VLOOKUP(A9,'OI(Value)'!A9:O227,11,0)</f>
        <v>268</v>
      </c>
      <c r="S9" s="179">
        <f>VLOOKUP(A9,'OI(Value)'!A9:O227,11,0)</f>
        <v>268</v>
      </c>
    </row>
    <row r="10" spans="1:19" x14ac:dyDescent="0.25">
      <c r="A10" s="105" t="str">
        <f>'Data Vlaue (Cr)'!C5</f>
        <v>ADANIENSOL</v>
      </c>
      <c r="B10" s="143">
        <f>VLOOKUP($A10,'Data shares'!$C:$FA,118)</f>
        <v>0.53</v>
      </c>
      <c r="C10" s="143">
        <f>VLOOKUP($A10,'Data shares'!$C:$FA,119)</f>
        <v>0.48</v>
      </c>
      <c r="D10" s="143">
        <f>VLOOKUP($A10,'Data shares'!$C:$FA,121)*100</f>
        <v>10.42</v>
      </c>
      <c r="E10" s="143">
        <f>VLOOKUP($A10,'Data shares'!$C:$FA,124)</f>
        <v>0.36</v>
      </c>
      <c r="F10" s="143">
        <f>VLOOKUP($A10,'Data shares'!$C:$FA,125)</f>
        <v>0.28000000000000003</v>
      </c>
      <c r="G10" s="143">
        <f>VLOOKUP($A10,'Data shares'!$C:$FA,127)*100</f>
        <v>28.57</v>
      </c>
      <c r="H10" s="103">
        <f>VLOOKUP($A10,'OI(Volume)'!$A$7:$O$440,8)</f>
        <v>2832975</v>
      </c>
      <c r="I10" s="103">
        <f>VLOOKUP($A10,'OI(Volume)'!$A$7:$O$440,9)</f>
        <v>-29025</v>
      </c>
      <c r="J10" s="103">
        <f>VLOOKUP($A10,'OI(Volume)'!$A$7:$O$440,11)</f>
        <v>1515375</v>
      </c>
      <c r="K10" s="103">
        <f>VLOOKUP($A10,'OI(Volume)'!$A$7:$O$440,12)</f>
        <v>148500</v>
      </c>
      <c r="L10" s="103">
        <f>VLOOKUP($A10,'OI(Value)'!$A$7:$O$323,8,0)</f>
        <v>306</v>
      </c>
      <c r="M10" s="103">
        <f>VLOOKUP($A10,'OI(Value)'!$A$7:$O$323,9,0)</f>
        <v>-3</v>
      </c>
      <c r="N10" s="103">
        <f>VLOOKUP($A10,'OI(Value)'!$A$7:$O$323,11,0)</f>
        <v>164</v>
      </c>
      <c r="O10" s="103">
        <f>VLOOKUP($A10,'OI(Value)'!$A$7:$O$323,12,0)</f>
        <v>16</v>
      </c>
      <c r="P10" s="179">
        <f>VLOOKUP(A10,'OI(Value)'!A10:O228,8,0)</f>
        <v>306</v>
      </c>
      <c r="Q10" s="179">
        <f>VLOOKUP(A10,'OI(Value)'!A10:O228,9,0)</f>
        <v>-3</v>
      </c>
      <c r="R10" s="179">
        <f>VLOOKUP(A10,'OI(Value)'!A10:O228,11,0)</f>
        <v>164</v>
      </c>
      <c r="S10" s="179">
        <f>VLOOKUP(A10,'OI(Value)'!A10:O228,11,0)</f>
        <v>164</v>
      </c>
    </row>
    <row r="11" spans="1:19" x14ac:dyDescent="0.25">
      <c r="A11" s="105" t="str">
        <f>'Data Vlaue (Cr)'!C6</f>
        <v>ADANIENT</v>
      </c>
      <c r="B11" s="143">
        <f>VLOOKUP($A11,'Data shares'!$C:$FA,118)</f>
        <v>0.88</v>
      </c>
      <c r="C11" s="143">
        <f>VLOOKUP($A11,'Data shares'!$C:$FA,119)</f>
        <v>0.85</v>
      </c>
      <c r="D11" s="143">
        <f>VLOOKUP($A11,'Data shares'!$C:$FA,121)*100</f>
        <v>3.53</v>
      </c>
      <c r="E11" s="143">
        <f>VLOOKUP($A11,'Data shares'!$C:$FA,124)</f>
        <v>0.43</v>
      </c>
      <c r="F11" s="143">
        <f>VLOOKUP($A11,'Data shares'!$C:$FA,125)</f>
        <v>0.39</v>
      </c>
      <c r="G11" s="143">
        <f>VLOOKUP($A11,'Data shares'!$C:$FA,127)*100</f>
        <v>10.26</v>
      </c>
      <c r="H11" s="103">
        <f>VLOOKUP($A11,'OI(Volume)'!$A$7:$O$440,8)</f>
        <v>6207810</v>
      </c>
      <c r="I11" s="103">
        <f>VLOOKUP($A11,'OI(Volume)'!$A$7:$O$440,9)</f>
        <v>36153</v>
      </c>
      <c r="J11" s="103">
        <f>VLOOKUP($A11,'OI(Volume)'!$A$7:$O$440,11)</f>
        <v>5464665</v>
      </c>
      <c r="K11" s="103">
        <f>VLOOKUP($A11,'OI(Volume)'!$A$7:$O$440,12)</f>
        <v>207957</v>
      </c>
      <c r="L11" s="103">
        <f>VLOOKUP($A11,'OI(Value)'!$A$7:$O$323,8,0)</f>
        <v>1273</v>
      </c>
      <c r="M11" s="103">
        <f>VLOOKUP($A11,'OI(Value)'!$A$7:$O$323,9,0)</f>
        <v>7</v>
      </c>
      <c r="N11" s="103">
        <f>VLOOKUP($A11,'OI(Value)'!$A$7:$O$323,11,0)</f>
        <v>1121</v>
      </c>
      <c r="O11" s="103">
        <f>VLOOKUP($A11,'OI(Value)'!$A$7:$O$323,12,0)</f>
        <v>43</v>
      </c>
      <c r="P11" s="179">
        <f>VLOOKUP(A11,'OI(Value)'!A11:O229,8,0)</f>
        <v>1273</v>
      </c>
      <c r="Q11" s="179">
        <f>VLOOKUP(A11,'OI(Value)'!A11:O229,9,0)</f>
        <v>7</v>
      </c>
      <c r="R11" s="179">
        <f>VLOOKUP(A11,'OI(Value)'!A11:O229,11,0)</f>
        <v>1121</v>
      </c>
      <c r="S11" s="179">
        <f>VLOOKUP(A11,'OI(Value)'!A11:O229,11,0)</f>
        <v>1121</v>
      </c>
    </row>
    <row r="12" spans="1:19" x14ac:dyDescent="0.25">
      <c r="A12" s="105" t="str">
        <f>'Data Vlaue (Cr)'!C7</f>
        <v>ADANIGREEN</v>
      </c>
      <c r="B12" s="143">
        <f>VLOOKUP($A12,'Data shares'!$C:$FA,118)</f>
        <v>0.87</v>
      </c>
      <c r="C12" s="143">
        <f>VLOOKUP($A12,'Data shares'!$C:$FA,119)</f>
        <v>0.75</v>
      </c>
      <c r="D12" s="143">
        <f>VLOOKUP($A12,'Data shares'!$C:$FA,121)*100</f>
        <v>16</v>
      </c>
      <c r="E12" s="143">
        <f>VLOOKUP($A12,'Data shares'!$C:$FA,124)</f>
        <v>0.57999999999999996</v>
      </c>
      <c r="F12" s="143">
        <f>VLOOKUP($A12,'Data shares'!$C:$FA,125)</f>
        <v>0.39</v>
      </c>
      <c r="G12" s="143">
        <f>VLOOKUP($A12,'Data shares'!$C:$FA,127)*100</f>
        <v>48.72</v>
      </c>
      <c r="H12" s="103">
        <f>VLOOKUP($A12,'OI(Volume)'!$A$7:$O$440,8)</f>
        <v>5898000</v>
      </c>
      <c r="I12" s="103">
        <f>VLOOKUP($A12,'OI(Volume)'!$A$7:$O$440,9)</f>
        <v>-369600</v>
      </c>
      <c r="J12" s="103">
        <f>VLOOKUP($A12,'OI(Volume)'!$A$7:$O$440,11)</f>
        <v>5148000</v>
      </c>
      <c r="K12" s="103">
        <f>VLOOKUP($A12,'OI(Volume)'!$A$7:$O$440,12)</f>
        <v>474600</v>
      </c>
      <c r="L12" s="103">
        <f>VLOOKUP($A12,'OI(Value)'!$A$7:$O$323,8,0)</f>
        <v>619</v>
      </c>
      <c r="M12" s="103">
        <f>VLOOKUP($A12,'OI(Value)'!$A$7:$O$323,9,0)</f>
        <v>-39</v>
      </c>
      <c r="N12" s="103">
        <f>VLOOKUP($A12,'OI(Value)'!$A$7:$O$323,11,0)</f>
        <v>540</v>
      </c>
      <c r="O12" s="103">
        <f>VLOOKUP($A12,'OI(Value)'!$A$7:$O$323,12,0)</f>
        <v>50</v>
      </c>
      <c r="P12" s="179">
        <f>VLOOKUP(A12,'OI(Value)'!A12:O230,8,0)</f>
        <v>619</v>
      </c>
      <c r="Q12" s="179">
        <f>VLOOKUP(A12,'OI(Value)'!A12:O230,9,0)</f>
        <v>-39</v>
      </c>
      <c r="R12" s="179">
        <f>VLOOKUP(A12,'OI(Value)'!A12:O230,11,0)</f>
        <v>540</v>
      </c>
      <c r="S12" s="179">
        <f>VLOOKUP(A12,'OI(Value)'!A12:O230,11,0)</f>
        <v>540</v>
      </c>
    </row>
    <row r="13" spans="1:19" x14ac:dyDescent="0.25">
      <c r="A13" s="105" t="str">
        <f>'Data Vlaue (Cr)'!C8</f>
        <v>ADANIPORTS</v>
      </c>
      <c r="B13" s="143">
        <f>VLOOKUP($A13,'Data shares'!$C:$FA,118)</f>
        <v>0.63</v>
      </c>
      <c r="C13" s="143">
        <f>VLOOKUP($A13,'Data shares'!$C:$FA,119)</f>
        <v>0.56999999999999995</v>
      </c>
      <c r="D13" s="143">
        <f>VLOOKUP($A13,'Data shares'!$C:$FA,121)*100</f>
        <v>10.530000000000001</v>
      </c>
      <c r="E13" s="143">
        <f>VLOOKUP($A13,'Data shares'!$C:$FA,124)</f>
        <v>0.62</v>
      </c>
      <c r="F13" s="143">
        <f>VLOOKUP($A13,'Data shares'!$C:$FA,125)</f>
        <v>0.49</v>
      </c>
      <c r="G13" s="143">
        <f>VLOOKUP($A13,'Data shares'!$C:$FA,127)*100</f>
        <v>26.529999999999998</v>
      </c>
      <c r="H13" s="103">
        <f>VLOOKUP($A13,'OI(Volume)'!$A$7:$O$440,8)</f>
        <v>8843550</v>
      </c>
      <c r="I13" s="103">
        <f>VLOOKUP($A13,'OI(Volume)'!$A$7:$O$440,9)</f>
        <v>-252700</v>
      </c>
      <c r="J13" s="103">
        <f>VLOOKUP($A13,'OI(Volume)'!$A$7:$O$440,11)</f>
        <v>5611175</v>
      </c>
      <c r="K13" s="103">
        <f>VLOOKUP($A13,'OI(Volume)'!$A$7:$O$440,12)</f>
        <v>423700</v>
      </c>
      <c r="L13" s="103">
        <f>VLOOKUP($A13,'OI(Value)'!$A$7:$O$323,8,0)</f>
        <v>1284</v>
      </c>
      <c r="M13" s="103">
        <f>VLOOKUP($A13,'OI(Value)'!$A$7:$O$323,9,0)</f>
        <v>-37</v>
      </c>
      <c r="N13" s="103">
        <f>VLOOKUP($A13,'OI(Value)'!$A$7:$O$323,11,0)</f>
        <v>815</v>
      </c>
      <c r="O13" s="103">
        <f>VLOOKUP($A13,'OI(Value)'!$A$7:$O$323,12,0)</f>
        <v>62</v>
      </c>
      <c r="P13" s="179">
        <f>VLOOKUP(A13,'OI(Value)'!A13:O231,8,0)</f>
        <v>1284</v>
      </c>
      <c r="Q13" s="179">
        <f>VLOOKUP(A13,'OI(Value)'!A13:O231,9,0)</f>
        <v>-37</v>
      </c>
      <c r="R13" s="179">
        <f>VLOOKUP(A13,'OI(Value)'!A13:O231,11,0)</f>
        <v>815</v>
      </c>
      <c r="S13" s="179">
        <f>VLOOKUP(A13,'OI(Value)'!A13:O231,11,0)</f>
        <v>815</v>
      </c>
    </row>
    <row r="14" spans="1:19" x14ac:dyDescent="0.25">
      <c r="A14" s="105" t="str">
        <f>'Data Vlaue (Cr)'!C9</f>
        <v>ADANIPOWER</v>
      </c>
      <c r="B14" s="143">
        <f>VLOOKUP($A14,'Data shares'!$C:$FA,118)</f>
        <v>0.36</v>
      </c>
      <c r="C14" s="143">
        <f>VLOOKUP($A14,'Data shares'!$C:$FA,119)</f>
        <v>0.3</v>
      </c>
      <c r="D14" s="143">
        <f>VLOOKUP($A14,'Data shares'!$C:$FA,121)*100</f>
        <v>20</v>
      </c>
      <c r="E14" s="143">
        <f>VLOOKUP($A14,'Data shares'!$C:$FA,124)</f>
        <v>0.25</v>
      </c>
      <c r="F14" s="143">
        <f>VLOOKUP($A14,'Data shares'!$C:$FA,125)</f>
        <v>0.13</v>
      </c>
      <c r="G14" s="143">
        <f>VLOOKUP($A14,'Data shares'!$C:$FA,127)*100</f>
        <v>92.31</v>
      </c>
      <c r="H14" s="103">
        <f>VLOOKUP($A14,'OI(Volume)'!$A$7:$O$440,8)</f>
        <v>15765550</v>
      </c>
      <c r="I14" s="103">
        <f>VLOOKUP($A14,'OI(Volume)'!$A$7:$O$440,9)</f>
        <v>397600</v>
      </c>
      <c r="J14" s="103">
        <f>VLOOKUP($A14,'OI(Volume)'!$A$7:$O$440,11)</f>
        <v>5715500</v>
      </c>
      <c r="K14" s="103">
        <f>VLOOKUP($A14,'OI(Volume)'!$A$7:$O$440,12)</f>
        <v>1040150</v>
      </c>
      <c r="L14" s="103">
        <f>VLOOKUP($A14,'OI(Value)'!$A$7:$O$323,8,0)</f>
        <v>274</v>
      </c>
      <c r="M14" s="103">
        <f>VLOOKUP($A14,'OI(Value)'!$A$7:$O$323,9,0)</f>
        <v>7</v>
      </c>
      <c r="N14" s="103">
        <f>VLOOKUP($A14,'OI(Value)'!$A$7:$O$323,11,0)</f>
        <v>99</v>
      </c>
      <c r="O14" s="103">
        <f>VLOOKUP($A14,'OI(Value)'!$A$7:$O$323,12,0)</f>
        <v>18</v>
      </c>
      <c r="P14" s="179">
        <f>VLOOKUP(A14,'OI(Value)'!A14:O232,8,0)</f>
        <v>274</v>
      </c>
      <c r="Q14" s="179">
        <f>VLOOKUP(A14,'OI(Value)'!A14:O232,9,0)</f>
        <v>7</v>
      </c>
      <c r="R14" s="179">
        <f>VLOOKUP(A14,'OI(Value)'!A14:O232,11,0)</f>
        <v>99</v>
      </c>
      <c r="S14" s="179">
        <f>VLOOKUP(A14,'OI(Value)'!A14:O232,11,0)</f>
        <v>99</v>
      </c>
    </row>
    <row r="15" spans="1:19" x14ac:dyDescent="0.25">
      <c r="A15" s="105" t="str">
        <f>'Data Vlaue (Cr)'!C10</f>
        <v>ALKEM</v>
      </c>
      <c r="B15" s="143">
        <f>VLOOKUP($A15,'Data shares'!$C:$FA,118)</f>
        <v>0.95</v>
      </c>
      <c r="C15" s="143">
        <f>VLOOKUP($A15,'Data shares'!$C:$FA,119)</f>
        <v>1.07</v>
      </c>
      <c r="D15" s="143">
        <f>VLOOKUP($A15,'Data shares'!$C:$FA,121)*100</f>
        <v>-11.21</v>
      </c>
      <c r="E15" s="143">
        <f>VLOOKUP($A15,'Data shares'!$C:$FA,124)</f>
        <v>0.36</v>
      </c>
      <c r="F15" s="143">
        <f>VLOOKUP($A15,'Data shares'!$C:$FA,125)</f>
        <v>0.44</v>
      </c>
      <c r="G15" s="143">
        <f>VLOOKUP($A15,'Data shares'!$C:$FA,127)*100</f>
        <v>-18.18</v>
      </c>
      <c r="H15" s="103">
        <f>VLOOKUP($A15,'OI(Volume)'!$A$7:$O$440,8)</f>
        <v>146375</v>
      </c>
      <c r="I15" s="103">
        <f>VLOOKUP($A15,'OI(Volume)'!$A$7:$O$440,9)</f>
        <v>14000</v>
      </c>
      <c r="J15" s="103">
        <f>VLOOKUP($A15,'OI(Volume)'!$A$7:$O$440,11)</f>
        <v>138875</v>
      </c>
      <c r="K15" s="103">
        <f>VLOOKUP($A15,'OI(Volume)'!$A$7:$O$440,12)</f>
        <v>-2125</v>
      </c>
      <c r="L15" s="103">
        <f>VLOOKUP($A15,'OI(Value)'!$A$7:$O$323,8,0)</f>
        <v>79</v>
      </c>
      <c r="M15" s="103">
        <f>VLOOKUP($A15,'OI(Value)'!$A$7:$O$323,9,0)</f>
        <v>8</v>
      </c>
      <c r="N15" s="103">
        <f>VLOOKUP($A15,'OI(Value)'!$A$7:$O$323,11,0)</f>
        <v>75</v>
      </c>
      <c r="O15" s="103">
        <f>VLOOKUP($A15,'OI(Value)'!$A$7:$O$323,12,0)</f>
        <v>-1</v>
      </c>
      <c r="P15" s="179">
        <f>VLOOKUP(A15,'OI(Value)'!A15:O233,8,0)</f>
        <v>79</v>
      </c>
      <c r="Q15" s="179">
        <f>VLOOKUP(A15,'OI(Value)'!A15:O233,9,0)</f>
        <v>8</v>
      </c>
      <c r="R15" s="179">
        <f>VLOOKUP(A15,'OI(Value)'!A15:O233,11,0)</f>
        <v>75</v>
      </c>
      <c r="S15" s="179">
        <f>VLOOKUP(A15,'OI(Value)'!A15:O233,11,0)</f>
        <v>75</v>
      </c>
    </row>
    <row r="16" spans="1:19" x14ac:dyDescent="0.25">
      <c r="A16" s="105" t="str">
        <f>'Data Vlaue (Cr)'!C11</f>
        <v>AMBER</v>
      </c>
      <c r="B16" s="143">
        <f>VLOOKUP($A16,'Data shares'!$C:$FA,118)</f>
        <v>0.64</v>
      </c>
      <c r="C16" s="143">
        <f>VLOOKUP($A16,'Data shares'!$C:$FA,119)</f>
        <v>0.63</v>
      </c>
      <c r="D16" s="143">
        <f>VLOOKUP($A16,'Data shares'!$C:$FA,121)*100</f>
        <v>1.59</v>
      </c>
      <c r="E16" s="143">
        <f>VLOOKUP($A16,'Data shares'!$C:$FA,124)</f>
        <v>0.55000000000000004</v>
      </c>
      <c r="F16" s="143">
        <f>VLOOKUP($A16,'Data shares'!$C:$FA,125)</f>
        <v>0.42</v>
      </c>
      <c r="G16" s="143">
        <f>VLOOKUP($A16,'Data shares'!$C:$FA,127)*100</f>
        <v>30.95</v>
      </c>
      <c r="H16" s="103">
        <f>VLOOKUP($A16,'OI(Volume)'!$A$7:$O$440,8)</f>
        <v>507500</v>
      </c>
      <c r="I16" s="103">
        <f>VLOOKUP($A16,'OI(Volume)'!$A$7:$O$440,9)</f>
        <v>56400</v>
      </c>
      <c r="J16" s="103">
        <f>VLOOKUP($A16,'OI(Volume)'!$A$7:$O$440,11)</f>
        <v>325600</v>
      </c>
      <c r="K16" s="103">
        <f>VLOOKUP($A16,'OI(Volume)'!$A$7:$O$440,12)</f>
        <v>42800</v>
      </c>
      <c r="L16" s="103">
        <f>VLOOKUP($A16,'OI(Value)'!$A$7:$O$323,8,0)</f>
        <v>350</v>
      </c>
      <c r="M16" s="103">
        <f>VLOOKUP($A16,'OI(Value)'!$A$7:$O$323,9,0)</f>
        <v>39</v>
      </c>
      <c r="N16" s="103">
        <f>VLOOKUP($A16,'OI(Value)'!$A$7:$O$323,11,0)</f>
        <v>225</v>
      </c>
      <c r="O16" s="103">
        <f>VLOOKUP($A16,'OI(Value)'!$A$7:$O$323,12,0)</f>
        <v>30</v>
      </c>
      <c r="P16" s="179">
        <f>VLOOKUP(A16,'OI(Value)'!A16:O234,8,0)</f>
        <v>350</v>
      </c>
      <c r="Q16" s="179">
        <f>VLOOKUP(A16,'OI(Value)'!A16:O234,9,0)</f>
        <v>39</v>
      </c>
      <c r="R16" s="179">
        <f>VLOOKUP(A16,'OI(Value)'!A16:O234,11,0)</f>
        <v>225</v>
      </c>
      <c r="S16" s="179">
        <f>VLOOKUP(A16,'OI(Value)'!A16:O234,11,0)</f>
        <v>225</v>
      </c>
    </row>
    <row r="17" spans="1:19" x14ac:dyDescent="0.25">
      <c r="A17" s="105" t="str">
        <f>'Data Vlaue (Cr)'!C12</f>
        <v>AMBUJACEM</v>
      </c>
      <c r="B17" s="143">
        <f>VLOOKUP($A17,'Data shares'!$C:$FA,118)</f>
        <v>0.87</v>
      </c>
      <c r="C17" s="143">
        <f>VLOOKUP($A17,'Data shares'!$C:$FA,119)</f>
        <v>0.92</v>
      </c>
      <c r="D17" s="143">
        <f>VLOOKUP($A17,'Data shares'!$C:$FA,121)*100</f>
        <v>-5.43</v>
      </c>
      <c r="E17" s="143">
        <f>VLOOKUP($A17,'Data shares'!$C:$FA,124)</f>
        <v>0.5</v>
      </c>
      <c r="F17" s="143">
        <f>VLOOKUP($A17,'Data shares'!$C:$FA,125)</f>
        <v>0.42</v>
      </c>
      <c r="G17" s="143">
        <f>VLOOKUP($A17,'Data shares'!$C:$FA,127)*100</f>
        <v>19.05</v>
      </c>
      <c r="H17" s="103">
        <f>VLOOKUP($A17,'OI(Volume)'!$A$7:$O$440,8)</f>
        <v>10494750</v>
      </c>
      <c r="I17" s="103">
        <f>VLOOKUP($A17,'OI(Volume)'!$A$7:$O$440,9)</f>
        <v>533400</v>
      </c>
      <c r="J17" s="103">
        <f>VLOOKUP($A17,'OI(Volume)'!$A$7:$O$440,11)</f>
        <v>9148650</v>
      </c>
      <c r="K17" s="103">
        <f>VLOOKUP($A17,'OI(Volume)'!$A$7:$O$440,12)</f>
        <v>31500</v>
      </c>
      <c r="L17" s="103">
        <f>VLOOKUP($A17,'OI(Value)'!$A$7:$O$323,8,0)</f>
        <v>456</v>
      </c>
      <c r="M17" s="103">
        <f>VLOOKUP($A17,'OI(Value)'!$A$7:$O$323,9,0)</f>
        <v>23</v>
      </c>
      <c r="N17" s="103">
        <f>VLOOKUP($A17,'OI(Value)'!$A$7:$O$323,11,0)</f>
        <v>398</v>
      </c>
      <c r="O17" s="103">
        <f>VLOOKUP($A17,'OI(Value)'!$A$7:$O$323,12,0)</f>
        <v>1</v>
      </c>
      <c r="P17" s="179">
        <f>VLOOKUP(A17,'OI(Value)'!A17:O235,8,0)</f>
        <v>456</v>
      </c>
      <c r="Q17" s="179">
        <f>VLOOKUP(A17,'OI(Value)'!A17:O235,9,0)</f>
        <v>23</v>
      </c>
      <c r="R17" s="179">
        <f>VLOOKUP(A17,'OI(Value)'!A17:O235,11,0)</f>
        <v>398</v>
      </c>
      <c r="S17" s="179">
        <f>VLOOKUP(A17,'OI(Value)'!A17:O235,11,0)</f>
        <v>398</v>
      </c>
    </row>
    <row r="18" spans="1:19" x14ac:dyDescent="0.25">
      <c r="A18" s="105" t="str">
        <f>'Data Vlaue (Cr)'!C13</f>
        <v>ANGELONE</v>
      </c>
      <c r="B18" s="143">
        <f>VLOOKUP($A18,'Data shares'!$C:$FA,118)</f>
        <v>0.82</v>
      </c>
      <c r="C18" s="143">
        <f>VLOOKUP($A18,'Data shares'!$C:$FA,119)</f>
        <v>0.86</v>
      </c>
      <c r="D18" s="143">
        <f>VLOOKUP($A18,'Data shares'!$C:$FA,121)*100</f>
        <v>-4.6500000000000004</v>
      </c>
      <c r="E18" s="143">
        <f>VLOOKUP($A18,'Data shares'!$C:$FA,124)</f>
        <v>0.46</v>
      </c>
      <c r="F18" s="143">
        <f>VLOOKUP($A18,'Data shares'!$C:$FA,125)</f>
        <v>0.48</v>
      </c>
      <c r="G18" s="143">
        <f>VLOOKUP($A18,'Data shares'!$C:$FA,127)*100</f>
        <v>-4.17</v>
      </c>
      <c r="H18" s="103">
        <f>VLOOKUP($A18,'OI(Volume)'!$A$7:$O$440,8)</f>
        <v>13785000</v>
      </c>
      <c r="I18" s="103">
        <f>VLOOKUP($A18,'OI(Volume)'!$A$7:$O$440,9)</f>
        <v>3060000</v>
      </c>
      <c r="J18" s="103">
        <f>VLOOKUP($A18,'OI(Volume)'!$A$7:$O$440,11)</f>
        <v>11352500</v>
      </c>
      <c r="K18" s="103">
        <f>VLOOKUP($A18,'OI(Volume)'!$A$7:$O$440,12)</f>
        <v>2107500</v>
      </c>
      <c r="L18" s="103">
        <f>VLOOKUP($A18,'OI(Value)'!$A$7:$O$323,8,0)</f>
        <v>381</v>
      </c>
      <c r="M18" s="103">
        <f>VLOOKUP($A18,'OI(Value)'!$A$7:$O$323,9,0)</f>
        <v>84</v>
      </c>
      <c r="N18" s="103">
        <f>VLOOKUP($A18,'OI(Value)'!$A$7:$O$323,11,0)</f>
        <v>313</v>
      </c>
      <c r="O18" s="103">
        <f>VLOOKUP($A18,'OI(Value)'!$A$7:$O$323,12,0)</f>
        <v>58</v>
      </c>
      <c r="P18" s="179">
        <f>VLOOKUP(A18,'OI(Value)'!A18:O236,8,0)</f>
        <v>381</v>
      </c>
      <c r="Q18" s="179">
        <f>VLOOKUP(A18,'OI(Value)'!A18:O236,9,0)</f>
        <v>84</v>
      </c>
      <c r="R18" s="179">
        <f>VLOOKUP(A18,'OI(Value)'!A18:O236,11,0)</f>
        <v>313</v>
      </c>
      <c r="S18" s="179">
        <f>VLOOKUP(A18,'OI(Value)'!A18:O236,11,0)</f>
        <v>313</v>
      </c>
    </row>
    <row r="19" spans="1:19" x14ac:dyDescent="0.25">
      <c r="A19" s="105" t="str">
        <f>'Data Vlaue (Cr)'!C14</f>
        <v>APLAPOLLO</v>
      </c>
      <c r="B19" s="143">
        <f>VLOOKUP($A19,'Data shares'!$C:$FA,118)</f>
        <v>0.79</v>
      </c>
      <c r="C19" s="143">
        <f>VLOOKUP($A19,'Data shares'!$C:$FA,119)</f>
        <v>0.76</v>
      </c>
      <c r="D19" s="143">
        <f>VLOOKUP($A19,'Data shares'!$C:$FA,121)*100</f>
        <v>3.95</v>
      </c>
      <c r="E19" s="143">
        <f>VLOOKUP($A19,'Data shares'!$C:$FA,124)</f>
        <v>0.42</v>
      </c>
      <c r="F19" s="143">
        <f>VLOOKUP($A19,'Data shares'!$C:$FA,125)</f>
        <v>0.46</v>
      </c>
      <c r="G19" s="143">
        <f>VLOOKUP($A19,'Data shares'!$C:$FA,127)*100</f>
        <v>-8.6999999999999993</v>
      </c>
      <c r="H19" s="103">
        <f>VLOOKUP($A19,'OI(Volume)'!$A$7:$O$440,8)</f>
        <v>878500</v>
      </c>
      <c r="I19" s="103">
        <f>VLOOKUP($A19,'OI(Volume)'!$A$7:$O$440,9)</f>
        <v>9100</v>
      </c>
      <c r="J19" s="103">
        <f>VLOOKUP($A19,'OI(Volume)'!$A$7:$O$440,11)</f>
        <v>695100</v>
      </c>
      <c r="K19" s="103">
        <f>VLOOKUP($A19,'OI(Volume)'!$A$7:$O$440,12)</f>
        <v>36400</v>
      </c>
      <c r="L19" s="103">
        <f>VLOOKUP($A19,'OI(Value)'!$A$7:$O$323,8,0)</f>
        <v>180</v>
      </c>
      <c r="M19" s="103">
        <f>VLOOKUP($A19,'OI(Value)'!$A$7:$O$323,9,0)</f>
        <v>2</v>
      </c>
      <c r="N19" s="103">
        <f>VLOOKUP($A19,'OI(Value)'!$A$7:$O$323,11,0)</f>
        <v>142</v>
      </c>
      <c r="O19" s="103">
        <f>VLOOKUP($A19,'OI(Value)'!$A$7:$O$323,12,0)</f>
        <v>7</v>
      </c>
      <c r="P19" s="179">
        <f>VLOOKUP(A19,'OI(Value)'!A19:O237,8,0)</f>
        <v>180</v>
      </c>
      <c r="Q19" s="179">
        <f>VLOOKUP(A19,'OI(Value)'!A19:O237,9,0)</f>
        <v>2</v>
      </c>
      <c r="R19" s="179">
        <f>VLOOKUP(A19,'OI(Value)'!A19:O237,11,0)</f>
        <v>142</v>
      </c>
      <c r="S19" s="179">
        <f>VLOOKUP(A19,'OI(Value)'!A19:O237,11,0)</f>
        <v>142</v>
      </c>
    </row>
    <row r="20" spans="1:19" x14ac:dyDescent="0.25">
      <c r="A20" s="105" t="str">
        <f>'Data Vlaue (Cr)'!C15</f>
        <v>APOLLOHOSP</v>
      </c>
      <c r="B20" s="143">
        <f>VLOOKUP($A20,'Data shares'!$C:$FA,118)</f>
        <v>0.92</v>
      </c>
      <c r="C20" s="143">
        <f>VLOOKUP($A20,'Data shares'!$C:$FA,119)</f>
        <v>0.94</v>
      </c>
      <c r="D20" s="143">
        <f>VLOOKUP($A20,'Data shares'!$C:$FA,121)*100</f>
        <v>-2.13</v>
      </c>
      <c r="E20" s="143">
        <f>VLOOKUP($A20,'Data shares'!$C:$FA,124)</f>
        <v>0.34</v>
      </c>
      <c r="F20" s="143">
        <f>VLOOKUP($A20,'Data shares'!$C:$FA,125)</f>
        <v>0.45</v>
      </c>
      <c r="G20" s="143">
        <f>VLOOKUP($A20,'Data shares'!$C:$FA,127)*100</f>
        <v>-24.44</v>
      </c>
      <c r="H20" s="103">
        <f>VLOOKUP($A20,'OI(Volume)'!$A$7:$O$440,8)</f>
        <v>697500</v>
      </c>
      <c r="I20" s="103">
        <f>VLOOKUP($A20,'OI(Volume)'!$A$7:$O$440,9)</f>
        <v>18000</v>
      </c>
      <c r="J20" s="103">
        <f>VLOOKUP($A20,'OI(Volume)'!$A$7:$O$440,11)</f>
        <v>640875</v>
      </c>
      <c r="K20" s="103">
        <f>VLOOKUP($A20,'OI(Volume)'!$A$7:$O$440,12)</f>
        <v>-1000</v>
      </c>
      <c r="L20" s="103">
        <f>VLOOKUP($A20,'OI(Value)'!$A$7:$O$323,8,0)</f>
        <v>523</v>
      </c>
      <c r="M20" s="103">
        <f>VLOOKUP($A20,'OI(Value)'!$A$7:$O$323,9,0)</f>
        <v>13</v>
      </c>
      <c r="N20" s="103">
        <f>VLOOKUP($A20,'OI(Value)'!$A$7:$O$323,11,0)</f>
        <v>480</v>
      </c>
      <c r="O20" s="103">
        <f>VLOOKUP($A20,'OI(Value)'!$A$7:$O$323,12,0)</f>
        <v>-1</v>
      </c>
      <c r="P20" s="179">
        <f>VLOOKUP(A20,'OI(Value)'!A20:O238,8,0)</f>
        <v>523</v>
      </c>
      <c r="Q20" s="179">
        <f>VLOOKUP(A20,'OI(Value)'!A20:O238,9,0)</f>
        <v>13</v>
      </c>
      <c r="R20" s="179">
        <f>VLOOKUP(A20,'OI(Value)'!A20:O238,11,0)</f>
        <v>480</v>
      </c>
      <c r="S20" s="179">
        <f>VLOOKUP(A20,'OI(Value)'!A20:O238,11,0)</f>
        <v>480</v>
      </c>
    </row>
    <row r="21" spans="1:19" x14ac:dyDescent="0.25">
      <c r="A21" s="105" t="str">
        <f>'Data Vlaue (Cr)'!C16</f>
        <v>ASHOKLEY</v>
      </c>
      <c r="B21" s="143">
        <f>VLOOKUP($A21,'Data shares'!$C:$FA,118)</f>
        <v>0.69</v>
      </c>
      <c r="C21" s="143">
        <f>VLOOKUP($A21,'Data shares'!$C:$FA,119)</f>
        <v>0.76</v>
      </c>
      <c r="D21" s="143">
        <f>VLOOKUP($A21,'Data shares'!$C:$FA,121)*100</f>
        <v>-9.2100000000000009</v>
      </c>
      <c r="E21" s="143">
        <f>VLOOKUP($A21,'Data shares'!$C:$FA,124)</f>
        <v>0.61</v>
      </c>
      <c r="F21" s="143">
        <f>VLOOKUP($A21,'Data shares'!$C:$FA,125)</f>
        <v>0.44</v>
      </c>
      <c r="G21" s="143">
        <f>VLOOKUP($A21,'Data shares'!$C:$FA,127)*100</f>
        <v>38.64</v>
      </c>
      <c r="H21" s="103">
        <f>VLOOKUP($A21,'OI(Volume)'!$A$7:$O$440,8)</f>
        <v>83885000</v>
      </c>
      <c r="I21" s="103">
        <f>VLOOKUP($A21,'OI(Volume)'!$A$7:$O$440,9)</f>
        <v>3575000</v>
      </c>
      <c r="J21" s="103">
        <f>VLOOKUP($A21,'OI(Volume)'!$A$7:$O$440,11)</f>
        <v>58260000</v>
      </c>
      <c r="K21" s="103">
        <f>VLOOKUP($A21,'OI(Volume)'!$A$7:$O$440,12)</f>
        <v>-2515000</v>
      </c>
      <c r="L21" s="103">
        <f>VLOOKUP($A21,'OI(Value)'!$A$7:$O$323,8,0)</f>
        <v>1431</v>
      </c>
      <c r="M21" s="103">
        <f>VLOOKUP($A21,'OI(Value)'!$A$7:$O$323,9,0)</f>
        <v>61</v>
      </c>
      <c r="N21" s="103">
        <f>VLOOKUP($A21,'OI(Value)'!$A$7:$O$323,11,0)</f>
        <v>994</v>
      </c>
      <c r="O21" s="103">
        <f>VLOOKUP($A21,'OI(Value)'!$A$7:$O$323,12,0)</f>
        <v>-43</v>
      </c>
      <c r="P21" s="179">
        <f>VLOOKUP(A21,'OI(Value)'!A21:O239,8,0)</f>
        <v>1431</v>
      </c>
      <c r="Q21" s="179">
        <f>VLOOKUP(A21,'OI(Value)'!A21:O239,9,0)</f>
        <v>61</v>
      </c>
      <c r="R21" s="179">
        <f>VLOOKUP(A21,'OI(Value)'!A21:O239,11,0)</f>
        <v>994</v>
      </c>
      <c r="S21" s="179">
        <f>VLOOKUP(A21,'OI(Value)'!A21:O239,11,0)</f>
        <v>994</v>
      </c>
    </row>
    <row r="22" spans="1:19" x14ac:dyDescent="0.25">
      <c r="A22" s="105" t="str">
        <f>'Data Vlaue (Cr)'!C17</f>
        <v>ASIANPAINT</v>
      </c>
      <c r="B22" s="143">
        <f>VLOOKUP($A22,'Data shares'!$C:$FA,118)</f>
        <v>1.08</v>
      </c>
      <c r="C22" s="143">
        <f>VLOOKUP($A22,'Data shares'!$C:$FA,119)</f>
        <v>1.07</v>
      </c>
      <c r="D22" s="143">
        <f>VLOOKUP($A22,'Data shares'!$C:$FA,121)*100</f>
        <v>0.92999999999999994</v>
      </c>
      <c r="E22" s="143">
        <f>VLOOKUP($A22,'Data shares'!$C:$FA,124)</f>
        <v>0.64</v>
      </c>
      <c r="F22" s="143">
        <f>VLOOKUP($A22,'Data shares'!$C:$FA,125)</f>
        <v>0.53</v>
      </c>
      <c r="G22" s="143">
        <f>VLOOKUP($A22,'Data shares'!$C:$FA,127)*100</f>
        <v>20.75</v>
      </c>
      <c r="H22" s="103">
        <f>VLOOKUP($A22,'OI(Volume)'!$A$7:$O$440,8)</f>
        <v>3393250</v>
      </c>
      <c r="I22" s="103">
        <f>VLOOKUP($A22,'OI(Volume)'!$A$7:$O$440,9)</f>
        <v>157000</v>
      </c>
      <c r="J22" s="103">
        <f>VLOOKUP($A22,'OI(Volume)'!$A$7:$O$440,11)</f>
        <v>3662500</v>
      </c>
      <c r="K22" s="103">
        <f>VLOOKUP($A22,'OI(Volume)'!$A$7:$O$440,12)</f>
        <v>186750</v>
      </c>
      <c r="L22" s="103">
        <f>VLOOKUP($A22,'OI(Value)'!$A$7:$O$323,8,0)</f>
        <v>772</v>
      </c>
      <c r="M22" s="103">
        <f>VLOOKUP($A22,'OI(Value)'!$A$7:$O$323,9,0)</f>
        <v>36</v>
      </c>
      <c r="N22" s="103">
        <f>VLOOKUP($A22,'OI(Value)'!$A$7:$O$323,11,0)</f>
        <v>833</v>
      </c>
      <c r="O22" s="103">
        <f>VLOOKUP($A22,'OI(Value)'!$A$7:$O$323,12,0)</f>
        <v>42</v>
      </c>
      <c r="P22" s="179">
        <f>VLOOKUP(A22,'OI(Value)'!A22:O240,8,0)</f>
        <v>772</v>
      </c>
      <c r="Q22" s="179">
        <f>VLOOKUP(A22,'OI(Value)'!A22:O240,9,0)</f>
        <v>36</v>
      </c>
      <c r="R22" s="179">
        <f>VLOOKUP(A22,'OI(Value)'!A22:O240,11,0)</f>
        <v>833</v>
      </c>
      <c r="S22" s="179">
        <f>VLOOKUP(A22,'OI(Value)'!A22:O240,11,0)</f>
        <v>833</v>
      </c>
    </row>
    <row r="23" spans="1:19" x14ac:dyDescent="0.25">
      <c r="A23" s="105" t="str">
        <f>'Data Vlaue (Cr)'!C18</f>
        <v>ASTRAL</v>
      </c>
      <c r="B23" s="143">
        <f>VLOOKUP($A23,'Data shares'!$C:$FA,118)</f>
        <v>0.67</v>
      </c>
      <c r="C23" s="143">
        <f>VLOOKUP($A23,'Data shares'!$C:$FA,119)</f>
        <v>0.67</v>
      </c>
      <c r="D23" s="143">
        <f>VLOOKUP($A23,'Data shares'!$C:$FA,121)*100</f>
        <v>0</v>
      </c>
      <c r="E23" s="143">
        <f>VLOOKUP($A23,'Data shares'!$C:$FA,124)</f>
        <v>0.78</v>
      </c>
      <c r="F23" s="143">
        <f>VLOOKUP($A23,'Data shares'!$C:$FA,125)</f>
        <v>0.68</v>
      </c>
      <c r="G23" s="143">
        <f>VLOOKUP($A23,'Data shares'!$C:$FA,127)*100</f>
        <v>14.71</v>
      </c>
      <c r="H23" s="103">
        <f>VLOOKUP($A23,'OI(Volume)'!$A$7:$O$440,8)</f>
        <v>1881900</v>
      </c>
      <c r="I23" s="103">
        <f>VLOOKUP($A23,'OI(Volume)'!$A$7:$O$440,9)</f>
        <v>-131750</v>
      </c>
      <c r="J23" s="103">
        <f>VLOOKUP($A23,'OI(Volume)'!$A$7:$O$440,11)</f>
        <v>1262250</v>
      </c>
      <c r="K23" s="103">
        <f>VLOOKUP($A23,'OI(Volume)'!$A$7:$O$440,12)</f>
        <v>-79050</v>
      </c>
      <c r="L23" s="103">
        <f>VLOOKUP($A23,'OI(Value)'!$A$7:$O$323,8,0)</f>
        <v>293</v>
      </c>
      <c r="M23" s="103">
        <f>VLOOKUP($A23,'OI(Value)'!$A$7:$O$323,9,0)</f>
        <v>-21</v>
      </c>
      <c r="N23" s="103">
        <f>VLOOKUP($A23,'OI(Value)'!$A$7:$O$323,11,0)</f>
        <v>197</v>
      </c>
      <c r="O23" s="103">
        <f>VLOOKUP($A23,'OI(Value)'!$A$7:$O$323,12,0)</f>
        <v>-12</v>
      </c>
      <c r="P23" s="179">
        <f>VLOOKUP(A23,'OI(Value)'!A23:O241,8,0)</f>
        <v>293</v>
      </c>
      <c r="Q23" s="179">
        <f>VLOOKUP(A23,'OI(Value)'!A23:O241,9,0)</f>
        <v>-21</v>
      </c>
      <c r="R23" s="179">
        <f>VLOOKUP(A23,'OI(Value)'!A23:O241,11,0)</f>
        <v>197</v>
      </c>
      <c r="S23" s="179">
        <f>VLOOKUP(A23,'OI(Value)'!A23:O241,11,0)</f>
        <v>197</v>
      </c>
    </row>
    <row r="24" spans="1:19" x14ac:dyDescent="0.25">
      <c r="A24" s="105" t="str">
        <f>'Data Vlaue (Cr)'!C19</f>
        <v>AUBANK</v>
      </c>
      <c r="B24" s="143">
        <f>VLOOKUP($A24,'Data shares'!$C:$FA,118)</f>
        <v>0.89</v>
      </c>
      <c r="C24" s="143">
        <f>VLOOKUP($A24,'Data shares'!$C:$FA,119)</f>
        <v>0.83</v>
      </c>
      <c r="D24" s="143">
        <f>VLOOKUP($A24,'Data shares'!$C:$FA,121)*100</f>
        <v>7.23</v>
      </c>
      <c r="E24" s="143">
        <f>VLOOKUP($A24,'Data shares'!$C:$FA,124)</f>
        <v>0.76</v>
      </c>
      <c r="F24" s="143">
        <f>VLOOKUP($A24,'Data shares'!$C:$FA,125)</f>
        <v>0.91</v>
      </c>
      <c r="G24" s="143">
        <f>VLOOKUP($A24,'Data shares'!$C:$FA,127)*100</f>
        <v>-16.48</v>
      </c>
      <c r="H24" s="103">
        <f>VLOOKUP($A24,'OI(Volume)'!$A$7:$O$440,8)</f>
        <v>5348000</v>
      </c>
      <c r="I24" s="103">
        <f>VLOOKUP($A24,'OI(Volume)'!$A$7:$O$440,9)</f>
        <v>90000</v>
      </c>
      <c r="J24" s="103">
        <f>VLOOKUP($A24,'OI(Volume)'!$A$7:$O$440,11)</f>
        <v>4776000</v>
      </c>
      <c r="K24" s="103">
        <f>VLOOKUP($A24,'OI(Volume)'!$A$7:$O$440,12)</f>
        <v>394000</v>
      </c>
      <c r="L24" s="103">
        <f>VLOOKUP($A24,'OI(Value)'!$A$7:$O$323,8,0)</f>
        <v>516</v>
      </c>
      <c r="M24" s="103">
        <f>VLOOKUP($A24,'OI(Value)'!$A$7:$O$323,9,0)</f>
        <v>9</v>
      </c>
      <c r="N24" s="103">
        <f>VLOOKUP($A24,'OI(Value)'!$A$7:$O$323,11,0)</f>
        <v>461</v>
      </c>
      <c r="O24" s="103">
        <f>VLOOKUP($A24,'OI(Value)'!$A$7:$O$323,12,0)</f>
        <v>38</v>
      </c>
      <c r="P24" s="179">
        <f>VLOOKUP(A24,'OI(Value)'!A24:O242,8,0)</f>
        <v>516</v>
      </c>
      <c r="Q24" s="179">
        <f>VLOOKUP(A24,'OI(Value)'!A24:O242,9,0)</f>
        <v>9</v>
      </c>
      <c r="R24" s="179">
        <f>VLOOKUP(A24,'OI(Value)'!A24:O242,11,0)</f>
        <v>461</v>
      </c>
      <c r="S24" s="179">
        <f>VLOOKUP(A24,'OI(Value)'!A24:O242,11,0)</f>
        <v>461</v>
      </c>
    </row>
    <row r="25" spans="1:19" x14ac:dyDescent="0.25">
      <c r="A25" s="105" t="str">
        <f>'Data Vlaue (Cr)'!C20</f>
        <v>AUROPHARMA</v>
      </c>
      <c r="B25" s="143">
        <f>VLOOKUP($A25,'Data shares'!$C:$FA,118)</f>
        <v>0.67</v>
      </c>
      <c r="C25" s="143">
        <f>VLOOKUP($A25,'Data shares'!$C:$FA,119)</f>
        <v>0.63</v>
      </c>
      <c r="D25" s="143">
        <f>VLOOKUP($A25,'Data shares'!$C:$FA,121)*100</f>
        <v>6.35</v>
      </c>
      <c r="E25" s="143">
        <f>VLOOKUP($A25,'Data shares'!$C:$FA,124)</f>
        <v>0.5</v>
      </c>
      <c r="F25" s="143">
        <f>VLOOKUP($A25,'Data shares'!$C:$FA,125)</f>
        <v>0.56999999999999995</v>
      </c>
      <c r="G25" s="143">
        <f>VLOOKUP($A25,'Data shares'!$C:$FA,127)*100</f>
        <v>-12.280000000000001</v>
      </c>
      <c r="H25" s="103">
        <f>VLOOKUP($A25,'OI(Volume)'!$A$7:$O$440,8)</f>
        <v>3554100</v>
      </c>
      <c r="I25" s="103">
        <f>VLOOKUP($A25,'OI(Volume)'!$A$7:$O$440,9)</f>
        <v>-165000</v>
      </c>
      <c r="J25" s="103">
        <f>VLOOKUP($A25,'OI(Volume)'!$A$7:$O$440,11)</f>
        <v>2389200</v>
      </c>
      <c r="K25" s="103">
        <f>VLOOKUP($A25,'OI(Volume)'!$A$7:$O$440,12)</f>
        <v>57200</v>
      </c>
      <c r="L25" s="103">
        <f>VLOOKUP($A25,'OI(Value)'!$A$7:$O$323,8,0)</f>
        <v>478</v>
      </c>
      <c r="M25" s="103">
        <f>VLOOKUP($A25,'OI(Value)'!$A$7:$O$323,9,0)</f>
        <v>-22</v>
      </c>
      <c r="N25" s="103">
        <f>VLOOKUP($A25,'OI(Value)'!$A$7:$O$323,11,0)</f>
        <v>322</v>
      </c>
      <c r="O25" s="103">
        <f>VLOOKUP($A25,'OI(Value)'!$A$7:$O$323,12,0)</f>
        <v>8</v>
      </c>
      <c r="P25" s="179">
        <f>VLOOKUP(A25,'OI(Value)'!A25:O243,8,0)</f>
        <v>478</v>
      </c>
      <c r="Q25" s="179">
        <f>VLOOKUP(A25,'OI(Value)'!A25:O243,9,0)</f>
        <v>-22</v>
      </c>
      <c r="R25" s="179">
        <f>VLOOKUP(A25,'OI(Value)'!A25:O243,11,0)</f>
        <v>322</v>
      </c>
      <c r="S25" s="179">
        <f>VLOOKUP(A25,'OI(Value)'!A25:O243,11,0)</f>
        <v>322</v>
      </c>
    </row>
    <row r="26" spans="1:19" x14ac:dyDescent="0.25">
      <c r="A26" s="105" t="str">
        <f>'Data Vlaue (Cr)'!C21</f>
        <v>AXISBANK</v>
      </c>
      <c r="B26" s="143">
        <f>VLOOKUP($A26,'Data shares'!$C:$FA,118)</f>
        <v>0.9</v>
      </c>
      <c r="C26" s="143">
        <f>VLOOKUP($A26,'Data shares'!$C:$FA,119)</f>
        <v>1</v>
      </c>
      <c r="D26" s="143">
        <f>VLOOKUP($A26,'Data shares'!$C:$FA,121)*100</f>
        <v>-10</v>
      </c>
      <c r="E26" s="143">
        <f>VLOOKUP($A26,'Data shares'!$C:$FA,124)</f>
        <v>1.2</v>
      </c>
      <c r="F26" s="143">
        <f>VLOOKUP($A26,'Data shares'!$C:$FA,125)</f>
        <v>1.06</v>
      </c>
      <c r="G26" s="143">
        <f>VLOOKUP($A26,'Data shares'!$C:$FA,127)*100</f>
        <v>13.209999999999999</v>
      </c>
      <c r="H26" s="103">
        <f>VLOOKUP($A26,'OI(Volume)'!$A$7:$O$440,8)</f>
        <v>12319375</v>
      </c>
      <c r="I26" s="103">
        <f>VLOOKUP($A26,'OI(Volume)'!$A$7:$O$440,9)</f>
        <v>852500</v>
      </c>
      <c r="J26" s="103">
        <f>VLOOKUP($A26,'OI(Volume)'!$A$7:$O$440,11)</f>
        <v>11040000</v>
      </c>
      <c r="K26" s="103">
        <f>VLOOKUP($A26,'OI(Volume)'!$A$7:$O$440,12)</f>
        <v>-452500</v>
      </c>
      <c r="L26" s="103">
        <f>VLOOKUP($A26,'OI(Value)'!$A$7:$O$323,8,0)</f>
        <v>1630</v>
      </c>
      <c r="M26" s="103">
        <f>VLOOKUP($A26,'OI(Value)'!$A$7:$O$323,9,0)</f>
        <v>113</v>
      </c>
      <c r="N26" s="103">
        <f>VLOOKUP($A26,'OI(Value)'!$A$7:$O$323,11,0)</f>
        <v>1461</v>
      </c>
      <c r="O26" s="103">
        <f>VLOOKUP($A26,'OI(Value)'!$A$7:$O$323,12,0)</f>
        <v>-60</v>
      </c>
      <c r="P26" s="179">
        <f>VLOOKUP(A26,'OI(Value)'!A26:O244,8,0)</f>
        <v>1630</v>
      </c>
      <c r="Q26" s="179">
        <f>VLOOKUP(A26,'OI(Value)'!A26:O244,9,0)</f>
        <v>113</v>
      </c>
      <c r="R26" s="179">
        <f>VLOOKUP(A26,'OI(Value)'!A26:O244,11,0)</f>
        <v>1461</v>
      </c>
      <c r="S26" s="179">
        <f>VLOOKUP(A26,'OI(Value)'!A26:O244,11,0)</f>
        <v>1461</v>
      </c>
    </row>
    <row r="27" spans="1:19" x14ac:dyDescent="0.25">
      <c r="A27" s="105" t="str">
        <f>'Data Vlaue (Cr)'!C22</f>
        <v>BAJAJ-AUTO</v>
      </c>
      <c r="B27" s="143">
        <f>VLOOKUP($A27,'Data shares'!$C:$FA,118)</f>
        <v>0.88</v>
      </c>
      <c r="C27" s="143">
        <f>VLOOKUP($A27,'Data shares'!$C:$FA,119)</f>
        <v>0.88</v>
      </c>
      <c r="D27" s="143">
        <f>VLOOKUP($A27,'Data shares'!$C:$FA,121)*100</f>
        <v>0</v>
      </c>
      <c r="E27" s="143">
        <f>VLOOKUP($A27,'Data shares'!$C:$FA,124)</f>
        <v>0.42</v>
      </c>
      <c r="F27" s="143">
        <f>VLOOKUP($A27,'Data shares'!$C:$FA,125)</f>
        <v>0.59</v>
      </c>
      <c r="G27" s="143">
        <f>VLOOKUP($A27,'Data shares'!$C:$FA,127)*100</f>
        <v>-28.810000000000002</v>
      </c>
      <c r="H27" s="103">
        <f>VLOOKUP($A27,'OI(Volume)'!$A$7:$O$440,8)</f>
        <v>835650</v>
      </c>
      <c r="I27" s="103">
        <f>VLOOKUP($A27,'OI(Volume)'!$A$7:$O$440,9)</f>
        <v>116400</v>
      </c>
      <c r="J27" s="103">
        <f>VLOOKUP($A27,'OI(Volume)'!$A$7:$O$440,11)</f>
        <v>736950</v>
      </c>
      <c r="K27" s="103">
        <f>VLOOKUP($A27,'OI(Volume)'!$A$7:$O$440,12)</f>
        <v>104400</v>
      </c>
      <c r="L27" s="103">
        <f>VLOOKUP($A27,'OI(Value)'!$A$7:$O$323,8,0)</f>
        <v>795</v>
      </c>
      <c r="M27" s="103">
        <f>VLOOKUP($A27,'OI(Value)'!$A$7:$O$323,9,0)</f>
        <v>111</v>
      </c>
      <c r="N27" s="103">
        <f>VLOOKUP($A27,'OI(Value)'!$A$7:$O$323,11,0)</f>
        <v>701</v>
      </c>
      <c r="O27" s="103">
        <f>VLOOKUP($A27,'OI(Value)'!$A$7:$O$323,12,0)</f>
        <v>99</v>
      </c>
      <c r="P27" s="179">
        <f>VLOOKUP(A27,'OI(Value)'!A27:O245,8,0)</f>
        <v>795</v>
      </c>
      <c r="Q27" s="179">
        <f>VLOOKUP(A27,'OI(Value)'!A27:O245,9,0)</f>
        <v>111</v>
      </c>
      <c r="R27" s="179">
        <f>VLOOKUP(A27,'OI(Value)'!A27:O245,11,0)</f>
        <v>701</v>
      </c>
      <c r="S27" s="179">
        <f>VLOOKUP(A27,'OI(Value)'!A27:O245,11,0)</f>
        <v>701</v>
      </c>
    </row>
    <row r="28" spans="1:19" x14ac:dyDescent="0.25">
      <c r="A28" s="105" t="str">
        <f>'Data Vlaue (Cr)'!C23</f>
        <v>BAJAJFINSV</v>
      </c>
      <c r="B28" s="143">
        <f>VLOOKUP($A28,'Data shares'!$C:$FA,118)</f>
        <v>1.1000000000000001</v>
      </c>
      <c r="C28" s="143">
        <f>VLOOKUP($A28,'Data shares'!$C:$FA,119)</f>
        <v>1.01</v>
      </c>
      <c r="D28" s="143">
        <f>VLOOKUP($A28,'Data shares'!$C:$FA,121)*100</f>
        <v>8.91</v>
      </c>
      <c r="E28" s="143">
        <f>VLOOKUP($A28,'Data shares'!$C:$FA,124)</f>
        <v>0.93</v>
      </c>
      <c r="F28" s="143">
        <f>VLOOKUP($A28,'Data shares'!$C:$FA,125)</f>
        <v>0.59</v>
      </c>
      <c r="G28" s="143">
        <f>VLOOKUP($A28,'Data shares'!$C:$FA,127)*100</f>
        <v>57.63</v>
      </c>
      <c r="H28" s="103">
        <f>VLOOKUP($A28,'OI(Volume)'!$A$7:$O$440,8)</f>
        <v>3050250</v>
      </c>
      <c r="I28" s="103">
        <f>VLOOKUP($A28,'OI(Volume)'!$A$7:$O$440,9)</f>
        <v>73500</v>
      </c>
      <c r="J28" s="103">
        <f>VLOOKUP($A28,'OI(Volume)'!$A$7:$O$440,11)</f>
        <v>3356000</v>
      </c>
      <c r="K28" s="103">
        <f>VLOOKUP($A28,'OI(Volume)'!$A$7:$O$440,12)</f>
        <v>353250</v>
      </c>
      <c r="L28" s="103">
        <f>VLOOKUP($A28,'OI(Value)'!$A$7:$O$323,8,0)</f>
        <v>541</v>
      </c>
      <c r="M28" s="103">
        <f>VLOOKUP($A28,'OI(Value)'!$A$7:$O$323,9,0)</f>
        <v>13</v>
      </c>
      <c r="N28" s="103">
        <f>VLOOKUP($A28,'OI(Value)'!$A$7:$O$323,11,0)</f>
        <v>595</v>
      </c>
      <c r="O28" s="103">
        <f>VLOOKUP($A28,'OI(Value)'!$A$7:$O$323,12,0)</f>
        <v>63</v>
      </c>
      <c r="P28" s="179">
        <f>VLOOKUP(A28,'OI(Value)'!A28:O246,8,0)</f>
        <v>541</v>
      </c>
      <c r="Q28" s="179">
        <f>VLOOKUP(A28,'OI(Value)'!A28:O246,9,0)</f>
        <v>13</v>
      </c>
      <c r="R28" s="179">
        <f>VLOOKUP(A28,'OI(Value)'!A28:O246,11,0)</f>
        <v>595</v>
      </c>
      <c r="S28" s="179">
        <f>VLOOKUP(A28,'OI(Value)'!A28:O246,11,0)</f>
        <v>595</v>
      </c>
    </row>
    <row r="29" spans="1:19" x14ac:dyDescent="0.25">
      <c r="A29" s="105" t="str">
        <f>'Data Vlaue (Cr)'!C24</f>
        <v>BAJAJHLDNG</v>
      </c>
      <c r="B29" s="143">
        <f>VLOOKUP($A29,'Data shares'!$C:$FA,118)</f>
        <v>0.67</v>
      </c>
      <c r="C29" s="143">
        <f>VLOOKUP($A29,'Data shares'!$C:$FA,119)</f>
        <v>0.67</v>
      </c>
      <c r="D29" s="143">
        <f>VLOOKUP($A29,'Data shares'!$C:$FA,121)*100</f>
        <v>0</v>
      </c>
      <c r="E29" s="143">
        <f>VLOOKUP($A29,'Data shares'!$C:$FA,124)</f>
        <v>0.45</v>
      </c>
      <c r="F29" s="143">
        <f>VLOOKUP($A29,'Data shares'!$C:$FA,125)</f>
        <v>0.26</v>
      </c>
      <c r="G29" s="143">
        <f>VLOOKUP($A29,'Data shares'!$C:$FA,127)*100</f>
        <v>73.08</v>
      </c>
      <c r="H29" s="103">
        <f>VLOOKUP($A29,'OI(Volume)'!$A$7:$O$440,8)</f>
        <v>51000</v>
      </c>
      <c r="I29" s="103">
        <f>VLOOKUP($A29,'OI(Volume)'!$A$7:$O$440,9)</f>
        <v>3500</v>
      </c>
      <c r="J29" s="103">
        <f>VLOOKUP($A29,'OI(Volume)'!$A$7:$O$440,11)</f>
        <v>34050</v>
      </c>
      <c r="K29" s="103">
        <f>VLOOKUP($A29,'OI(Volume)'!$A$7:$O$440,12)</f>
        <v>2000</v>
      </c>
      <c r="L29" s="103">
        <f>VLOOKUP($A29,'OI(Value)'!$A$7:$O$323,8,0)</f>
        <v>51</v>
      </c>
      <c r="M29" s="103">
        <f>VLOOKUP($A29,'OI(Value)'!$A$7:$O$323,9,0)</f>
        <v>3</v>
      </c>
      <c r="N29" s="103">
        <f>VLOOKUP($A29,'OI(Value)'!$A$7:$O$323,11,0)</f>
        <v>34</v>
      </c>
      <c r="O29" s="103">
        <f>VLOOKUP($A29,'OI(Value)'!$A$7:$O$323,12,0)</f>
        <v>2</v>
      </c>
      <c r="P29" s="179">
        <f>VLOOKUP(A29,'OI(Value)'!A29:O247,8,0)</f>
        <v>51</v>
      </c>
      <c r="Q29" s="179">
        <f>VLOOKUP(A29,'OI(Value)'!A29:O247,9,0)</f>
        <v>3</v>
      </c>
      <c r="R29" s="179">
        <f>VLOOKUP(A29,'OI(Value)'!A29:O247,11,0)</f>
        <v>34</v>
      </c>
      <c r="S29" s="179">
        <f>VLOOKUP(A29,'OI(Value)'!A29:O247,11,0)</f>
        <v>34</v>
      </c>
    </row>
    <row r="30" spans="1:19" x14ac:dyDescent="0.25">
      <c r="A30" s="105" t="str">
        <f>'Data Vlaue (Cr)'!C25</f>
        <v>BAJFINANCE</v>
      </c>
      <c r="B30" s="143">
        <f>VLOOKUP($A30,'Data shares'!$C:$FA,118)</f>
        <v>0.83</v>
      </c>
      <c r="C30" s="143">
        <f>VLOOKUP($A30,'Data shares'!$C:$FA,119)</f>
        <v>0.82</v>
      </c>
      <c r="D30" s="143">
        <f>VLOOKUP($A30,'Data shares'!$C:$FA,121)*100</f>
        <v>1.22</v>
      </c>
      <c r="E30" s="143">
        <f>VLOOKUP($A30,'Data shares'!$C:$FA,124)</f>
        <v>0.9</v>
      </c>
      <c r="F30" s="143">
        <f>VLOOKUP($A30,'Data shares'!$C:$FA,125)</f>
        <v>0.65</v>
      </c>
      <c r="G30" s="143">
        <f>VLOOKUP($A30,'Data shares'!$C:$FA,127)*100</f>
        <v>38.46</v>
      </c>
      <c r="H30" s="103">
        <f>VLOOKUP($A30,'OI(Volume)'!$A$7:$O$440,8)</f>
        <v>17810250</v>
      </c>
      <c r="I30" s="103">
        <f>VLOOKUP($A30,'OI(Volume)'!$A$7:$O$440,9)</f>
        <v>875250</v>
      </c>
      <c r="J30" s="103">
        <f>VLOOKUP($A30,'OI(Volume)'!$A$7:$O$440,11)</f>
        <v>14820750</v>
      </c>
      <c r="K30" s="103">
        <f>VLOOKUP($A30,'OI(Volume)'!$A$7:$O$440,12)</f>
        <v>853500</v>
      </c>
      <c r="L30" s="103">
        <f>VLOOKUP($A30,'OI(Value)'!$A$7:$O$323,8,0)</f>
        <v>1610</v>
      </c>
      <c r="M30" s="103">
        <f>VLOOKUP($A30,'OI(Value)'!$A$7:$O$323,9,0)</f>
        <v>79</v>
      </c>
      <c r="N30" s="103">
        <f>VLOOKUP($A30,'OI(Value)'!$A$7:$O$323,11,0)</f>
        <v>1340</v>
      </c>
      <c r="O30" s="103">
        <f>VLOOKUP($A30,'OI(Value)'!$A$7:$O$323,12,0)</f>
        <v>77</v>
      </c>
      <c r="P30" s="179">
        <f>VLOOKUP(A30,'OI(Value)'!A30:O248,8,0)</f>
        <v>1610</v>
      </c>
      <c r="Q30" s="179">
        <f>VLOOKUP(A30,'OI(Value)'!A30:O248,9,0)</f>
        <v>79</v>
      </c>
      <c r="R30" s="179">
        <f>VLOOKUP(A30,'OI(Value)'!A30:O248,11,0)</f>
        <v>1340</v>
      </c>
      <c r="S30" s="179">
        <f>VLOOKUP(A30,'OI(Value)'!A30:O248,11,0)</f>
        <v>1340</v>
      </c>
    </row>
    <row r="31" spans="1:19" x14ac:dyDescent="0.25">
      <c r="A31" s="105" t="str">
        <f>'Data Vlaue (Cr)'!C26</f>
        <v>BANDHANBNK</v>
      </c>
      <c r="B31" s="143">
        <f>VLOOKUP($A31,'Data shares'!$C:$FA,118)</f>
        <v>0.76</v>
      </c>
      <c r="C31" s="143">
        <f>VLOOKUP($A31,'Data shares'!$C:$FA,119)</f>
        <v>0.76</v>
      </c>
      <c r="D31" s="143">
        <f>VLOOKUP($A31,'Data shares'!$C:$FA,121)*100</f>
        <v>0</v>
      </c>
      <c r="E31" s="143">
        <f>VLOOKUP($A31,'Data shares'!$C:$FA,124)</f>
        <v>0.64</v>
      </c>
      <c r="F31" s="143">
        <f>VLOOKUP($A31,'Data shares'!$C:$FA,125)</f>
        <v>0.65</v>
      </c>
      <c r="G31" s="143">
        <f>VLOOKUP($A31,'Data shares'!$C:$FA,127)*100</f>
        <v>-1.54</v>
      </c>
      <c r="H31" s="103">
        <f>VLOOKUP($A31,'OI(Volume)'!$A$7:$O$440,8)</f>
        <v>22654800</v>
      </c>
      <c r="I31" s="103">
        <f>VLOOKUP($A31,'OI(Volume)'!$A$7:$O$440,9)</f>
        <v>1904400</v>
      </c>
      <c r="J31" s="103">
        <f>VLOOKUP($A31,'OI(Volume)'!$A$7:$O$440,11)</f>
        <v>17323200</v>
      </c>
      <c r="K31" s="103">
        <f>VLOOKUP($A31,'OI(Volume)'!$A$7:$O$440,12)</f>
        <v>1468800</v>
      </c>
      <c r="L31" s="103">
        <f>VLOOKUP($A31,'OI(Value)'!$A$7:$O$323,8,0)</f>
        <v>377</v>
      </c>
      <c r="M31" s="103">
        <f>VLOOKUP($A31,'OI(Value)'!$A$7:$O$323,9,0)</f>
        <v>32</v>
      </c>
      <c r="N31" s="103">
        <f>VLOOKUP($A31,'OI(Value)'!$A$7:$O$323,11,0)</f>
        <v>288</v>
      </c>
      <c r="O31" s="103">
        <f>VLOOKUP($A31,'OI(Value)'!$A$7:$O$323,12,0)</f>
        <v>24</v>
      </c>
      <c r="P31" s="179">
        <f>VLOOKUP(A31,'OI(Value)'!A31:O249,8,0)</f>
        <v>377</v>
      </c>
      <c r="Q31" s="179">
        <f>VLOOKUP(A31,'OI(Value)'!A31:O249,9,0)</f>
        <v>32</v>
      </c>
      <c r="R31" s="179">
        <f>VLOOKUP(A31,'OI(Value)'!A31:O249,11,0)</f>
        <v>288</v>
      </c>
      <c r="S31" s="179">
        <f>VLOOKUP(A31,'OI(Value)'!A31:O249,11,0)</f>
        <v>288</v>
      </c>
    </row>
    <row r="32" spans="1:19" x14ac:dyDescent="0.25">
      <c r="A32" s="105" t="str">
        <f>'Data Vlaue (Cr)'!C27</f>
        <v>BANKBARODA</v>
      </c>
      <c r="B32" s="143">
        <f>VLOOKUP($A32,'Data shares'!$C:$FA,118)</f>
        <v>0.93</v>
      </c>
      <c r="C32" s="143">
        <f>VLOOKUP($A32,'Data shares'!$C:$FA,119)</f>
        <v>0.97</v>
      </c>
      <c r="D32" s="143">
        <f>VLOOKUP($A32,'Data shares'!$C:$FA,121)*100</f>
        <v>-4.12</v>
      </c>
      <c r="E32" s="143">
        <f>VLOOKUP($A32,'Data shares'!$C:$FA,124)</f>
        <v>0.7</v>
      </c>
      <c r="F32" s="143">
        <f>VLOOKUP($A32,'Data shares'!$C:$FA,125)</f>
        <v>0.73</v>
      </c>
      <c r="G32" s="143">
        <f>VLOOKUP($A32,'Data shares'!$C:$FA,127)*100</f>
        <v>-4.1099999999999994</v>
      </c>
      <c r="H32" s="103">
        <f>VLOOKUP($A32,'OI(Volume)'!$A$7:$O$440,8)</f>
        <v>35617725</v>
      </c>
      <c r="I32" s="103">
        <f>VLOOKUP($A32,'OI(Volume)'!$A$7:$O$440,9)</f>
        <v>2761200</v>
      </c>
      <c r="J32" s="103">
        <f>VLOOKUP($A32,'OI(Volume)'!$A$7:$O$440,11)</f>
        <v>33090525</v>
      </c>
      <c r="K32" s="103">
        <f>VLOOKUP($A32,'OI(Volume)'!$A$7:$O$440,12)</f>
        <v>1228500</v>
      </c>
      <c r="L32" s="103">
        <f>VLOOKUP($A32,'OI(Value)'!$A$7:$O$323,8,0)</f>
        <v>978</v>
      </c>
      <c r="M32" s="103">
        <f>VLOOKUP($A32,'OI(Value)'!$A$7:$O$323,9,0)</f>
        <v>76</v>
      </c>
      <c r="N32" s="103">
        <f>VLOOKUP($A32,'OI(Value)'!$A$7:$O$323,11,0)</f>
        <v>908</v>
      </c>
      <c r="O32" s="103">
        <f>VLOOKUP($A32,'OI(Value)'!$A$7:$O$323,12,0)</f>
        <v>34</v>
      </c>
      <c r="P32" s="179">
        <f>VLOOKUP(A32,'OI(Value)'!A32:O250,8,0)</f>
        <v>978</v>
      </c>
      <c r="Q32" s="179">
        <f>VLOOKUP(A32,'OI(Value)'!A32:O250,9,0)</f>
        <v>76</v>
      </c>
      <c r="R32" s="179">
        <f>VLOOKUP(A32,'OI(Value)'!A32:O250,11,0)</f>
        <v>908</v>
      </c>
      <c r="S32" s="179">
        <f>VLOOKUP(A32,'OI(Value)'!A32:O250,11,0)</f>
        <v>908</v>
      </c>
    </row>
    <row r="33" spans="1:19" x14ac:dyDescent="0.25">
      <c r="A33" s="105" t="str">
        <f>'Data Vlaue (Cr)'!C28</f>
        <v>BANKINDIA</v>
      </c>
      <c r="B33" s="143">
        <f>VLOOKUP($A33,'Data shares'!$C:$FA,118)</f>
        <v>1.19</v>
      </c>
      <c r="C33" s="143">
        <f>VLOOKUP($A33,'Data shares'!$C:$FA,119)</f>
        <v>1.04</v>
      </c>
      <c r="D33" s="143">
        <f>VLOOKUP($A33,'Data shares'!$C:$FA,121)*100</f>
        <v>14.42</v>
      </c>
      <c r="E33" s="143">
        <f>VLOOKUP($A33,'Data shares'!$C:$FA,124)</f>
        <v>0.75</v>
      </c>
      <c r="F33" s="143">
        <f>VLOOKUP($A33,'Data shares'!$C:$FA,125)</f>
        <v>0.53</v>
      </c>
      <c r="G33" s="143">
        <f>VLOOKUP($A33,'Data shares'!$C:$FA,127)*100</f>
        <v>41.510000000000005</v>
      </c>
      <c r="H33" s="103">
        <f>VLOOKUP($A33,'OI(Volume)'!$A$7:$O$440,8)</f>
        <v>17492800</v>
      </c>
      <c r="I33" s="103">
        <f>VLOOKUP($A33,'OI(Volume)'!$A$7:$O$440,9)</f>
        <v>1123200</v>
      </c>
      <c r="J33" s="103">
        <f>VLOOKUP($A33,'OI(Volume)'!$A$7:$O$440,11)</f>
        <v>20862400</v>
      </c>
      <c r="K33" s="103">
        <f>VLOOKUP($A33,'OI(Volume)'!$A$7:$O$440,12)</f>
        <v>3837600</v>
      </c>
      <c r="L33" s="103">
        <f>VLOOKUP($A33,'OI(Value)'!$A$7:$O$323,8,0)</f>
        <v>253</v>
      </c>
      <c r="M33" s="103">
        <f>VLOOKUP($A33,'OI(Value)'!$A$7:$O$323,9,0)</f>
        <v>16</v>
      </c>
      <c r="N33" s="103">
        <f>VLOOKUP($A33,'OI(Value)'!$A$7:$O$323,11,0)</f>
        <v>302</v>
      </c>
      <c r="O33" s="103">
        <f>VLOOKUP($A33,'OI(Value)'!$A$7:$O$323,12,0)</f>
        <v>56</v>
      </c>
      <c r="P33" s="179">
        <f>VLOOKUP(A33,'OI(Value)'!A33:O251,8,0)</f>
        <v>253</v>
      </c>
      <c r="Q33" s="179">
        <f>VLOOKUP(A33,'OI(Value)'!A33:O251,9,0)</f>
        <v>16</v>
      </c>
      <c r="R33" s="179">
        <f>VLOOKUP(A33,'OI(Value)'!A33:O251,11,0)</f>
        <v>302</v>
      </c>
      <c r="S33" s="179">
        <f>VLOOKUP(A33,'OI(Value)'!A33:O251,11,0)</f>
        <v>302</v>
      </c>
    </row>
    <row r="34" spans="1:19" x14ac:dyDescent="0.25">
      <c r="A34" s="105" t="str">
        <f>'Data Vlaue (Cr)'!C29</f>
        <v>BANKNIFTY</v>
      </c>
      <c r="B34" s="143">
        <f>VLOOKUP($A34,'Data shares'!$C:$FA,118)</f>
        <v>0.77</v>
      </c>
      <c r="C34" s="143">
        <f>VLOOKUP($A34,'Data shares'!$C:$FA,119)</f>
        <v>0.8</v>
      </c>
      <c r="D34" s="143">
        <f>VLOOKUP($A34,'Data shares'!$C:$FA,121)*100</f>
        <v>-3.75</v>
      </c>
      <c r="E34" s="143">
        <f>VLOOKUP($A34,'Data shares'!$C:$FA,124)</f>
        <v>0.86</v>
      </c>
      <c r="F34" s="143">
        <f>VLOOKUP($A34,'Data shares'!$C:$FA,125)</f>
        <v>0.68</v>
      </c>
      <c r="G34" s="143">
        <f>VLOOKUP($A34,'Data shares'!$C:$FA,127)*100</f>
        <v>26.47</v>
      </c>
      <c r="H34" s="103">
        <f>VLOOKUP($A34,'OI(Volume)'!$A$7:$O$440,8)</f>
        <v>16838670</v>
      </c>
      <c r="I34" s="103">
        <f>VLOOKUP($A34,'OI(Volume)'!$A$7:$O$440,9)</f>
        <v>1083420</v>
      </c>
      <c r="J34" s="103">
        <f>VLOOKUP($A34,'OI(Volume)'!$A$7:$O$440,11)</f>
        <v>13005900</v>
      </c>
      <c r="K34" s="103">
        <f>VLOOKUP($A34,'OI(Volume)'!$A$7:$O$440,12)</f>
        <v>331650</v>
      </c>
      <c r="L34" s="103">
        <f>VLOOKUP($A34,'OI(Value)'!$A$7:$O$323,8,0)</f>
        <v>92747</v>
      </c>
      <c r="M34" s="103">
        <f>VLOOKUP($A34,'OI(Value)'!$A$7:$O$323,9,0)</f>
        <v>5967</v>
      </c>
      <c r="N34" s="103">
        <f>VLOOKUP($A34,'OI(Value)'!$A$7:$O$323,11,0)</f>
        <v>71636</v>
      </c>
      <c r="O34" s="103">
        <f>VLOOKUP($A34,'OI(Value)'!$A$7:$O$323,12,0)</f>
        <v>1827</v>
      </c>
      <c r="P34" s="179">
        <f>VLOOKUP(A34,'OI(Value)'!A34:O252,8,0)</f>
        <v>92747</v>
      </c>
      <c r="Q34" s="179">
        <f>VLOOKUP(A34,'OI(Value)'!A34:O252,9,0)</f>
        <v>5967</v>
      </c>
      <c r="R34" s="179">
        <f>VLOOKUP(A34,'OI(Value)'!A34:O252,11,0)</f>
        <v>71636</v>
      </c>
      <c r="S34" s="179">
        <f>VLOOKUP(A34,'OI(Value)'!A34:O252,11,0)</f>
        <v>71636</v>
      </c>
    </row>
    <row r="35" spans="1:19" x14ac:dyDescent="0.25">
      <c r="A35" s="105" t="str">
        <f>'Data Vlaue (Cr)'!C30</f>
        <v>BDL</v>
      </c>
      <c r="B35" s="143">
        <f>VLOOKUP($A35,'Data shares'!$C:$FA,118)</f>
        <v>0.84</v>
      </c>
      <c r="C35" s="143">
        <f>VLOOKUP($A35,'Data shares'!$C:$FA,119)</f>
        <v>0.77</v>
      </c>
      <c r="D35" s="143">
        <f>VLOOKUP($A35,'Data shares'!$C:$FA,121)*100</f>
        <v>9.09</v>
      </c>
      <c r="E35" s="143">
        <f>VLOOKUP($A35,'Data shares'!$C:$FA,124)</f>
        <v>0.64</v>
      </c>
      <c r="F35" s="143">
        <f>VLOOKUP($A35,'Data shares'!$C:$FA,125)</f>
        <v>0.94</v>
      </c>
      <c r="G35" s="143">
        <f>VLOOKUP($A35,'Data shares'!$C:$FA,127)*100</f>
        <v>-31.91</v>
      </c>
      <c r="H35" s="103">
        <f>VLOOKUP($A35,'OI(Volume)'!$A$7:$O$440,8)</f>
        <v>2551150</v>
      </c>
      <c r="I35" s="103">
        <f>VLOOKUP($A35,'OI(Volume)'!$A$7:$O$440,9)</f>
        <v>4550</v>
      </c>
      <c r="J35" s="103">
        <f>VLOOKUP($A35,'OI(Volume)'!$A$7:$O$440,11)</f>
        <v>2146900</v>
      </c>
      <c r="K35" s="103">
        <f>VLOOKUP($A35,'OI(Volume)'!$A$7:$O$440,12)</f>
        <v>178850</v>
      </c>
      <c r="L35" s="103">
        <f>VLOOKUP($A35,'OI(Value)'!$A$7:$O$323,8,0)</f>
        <v>338</v>
      </c>
      <c r="M35" s="103">
        <f>VLOOKUP($A35,'OI(Value)'!$A$7:$O$323,9,0)</f>
        <v>1</v>
      </c>
      <c r="N35" s="103">
        <f>VLOOKUP($A35,'OI(Value)'!$A$7:$O$323,11,0)</f>
        <v>285</v>
      </c>
      <c r="O35" s="103">
        <f>VLOOKUP($A35,'OI(Value)'!$A$7:$O$323,12,0)</f>
        <v>24</v>
      </c>
      <c r="P35" s="179">
        <f>VLOOKUP(A35,'OI(Value)'!A35:O253,8,0)</f>
        <v>338</v>
      </c>
      <c r="Q35" s="179">
        <f>VLOOKUP(A35,'OI(Value)'!A35:O253,9,0)</f>
        <v>1</v>
      </c>
      <c r="R35" s="179">
        <f>VLOOKUP(A35,'OI(Value)'!A35:O253,11,0)</f>
        <v>285</v>
      </c>
      <c r="S35" s="179">
        <f>VLOOKUP(A35,'OI(Value)'!A35:O253,11,0)</f>
        <v>285</v>
      </c>
    </row>
    <row r="36" spans="1:19" x14ac:dyDescent="0.25">
      <c r="A36" s="105" t="str">
        <f>'Data Vlaue (Cr)'!C31</f>
        <v>BEL</v>
      </c>
      <c r="B36" s="143">
        <f>VLOOKUP($A36,'Data shares'!$C:$FA,118)</f>
        <v>0.66</v>
      </c>
      <c r="C36" s="143">
        <f>VLOOKUP($A36,'Data shares'!$C:$FA,119)</f>
        <v>0.61</v>
      </c>
      <c r="D36" s="143">
        <f>VLOOKUP($A36,'Data shares'!$C:$FA,121)*100</f>
        <v>8.2000000000000011</v>
      </c>
      <c r="E36" s="143">
        <f>VLOOKUP($A36,'Data shares'!$C:$FA,124)</f>
        <v>0.4</v>
      </c>
      <c r="F36" s="143">
        <f>VLOOKUP($A36,'Data shares'!$C:$FA,125)</f>
        <v>0.49</v>
      </c>
      <c r="G36" s="143">
        <f>VLOOKUP($A36,'Data shares'!$C:$FA,127)*100</f>
        <v>-18.37</v>
      </c>
      <c r="H36" s="103">
        <f>VLOOKUP($A36,'OI(Volume)'!$A$7:$O$440,8)</f>
        <v>39213150</v>
      </c>
      <c r="I36" s="103">
        <f>VLOOKUP($A36,'OI(Volume)'!$A$7:$O$440,9)</f>
        <v>1422150</v>
      </c>
      <c r="J36" s="103">
        <f>VLOOKUP($A36,'OI(Volume)'!$A$7:$O$440,11)</f>
        <v>25734075</v>
      </c>
      <c r="K36" s="103">
        <f>VLOOKUP($A36,'OI(Volume)'!$A$7:$O$440,12)</f>
        <v>2617725</v>
      </c>
      <c r="L36" s="103">
        <f>VLOOKUP($A36,'OI(Value)'!$A$7:$O$323,8,0)</f>
        <v>1733</v>
      </c>
      <c r="M36" s="103">
        <f>VLOOKUP($A36,'OI(Value)'!$A$7:$O$323,9,0)</f>
        <v>63</v>
      </c>
      <c r="N36" s="103">
        <f>VLOOKUP($A36,'OI(Value)'!$A$7:$O$323,11,0)</f>
        <v>1137</v>
      </c>
      <c r="O36" s="103">
        <f>VLOOKUP($A36,'OI(Value)'!$A$7:$O$323,12,0)</f>
        <v>116</v>
      </c>
      <c r="P36" s="179">
        <f>VLOOKUP(A36,'OI(Value)'!A36:O254,8,0)</f>
        <v>1733</v>
      </c>
      <c r="Q36" s="179">
        <f>VLOOKUP(A36,'OI(Value)'!A36:O254,9,0)</f>
        <v>63</v>
      </c>
      <c r="R36" s="179">
        <f>VLOOKUP(A36,'OI(Value)'!A36:O254,11,0)</f>
        <v>1137</v>
      </c>
      <c r="S36" s="179">
        <f>VLOOKUP(A36,'OI(Value)'!A36:O254,11,0)</f>
        <v>1137</v>
      </c>
    </row>
    <row r="37" spans="1:19" x14ac:dyDescent="0.25">
      <c r="A37" s="105" t="str">
        <f>'Data Vlaue (Cr)'!C32</f>
        <v>BHARATFORG</v>
      </c>
      <c r="B37" s="143">
        <f>VLOOKUP($A37,'Data shares'!$C:$FA,118)</f>
        <v>0.54</v>
      </c>
      <c r="C37" s="143">
        <f>VLOOKUP($A37,'Data shares'!$C:$FA,119)</f>
        <v>0.59</v>
      </c>
      <c r="D37" s="143">
        <f>VLOOKUP($A37,'Data shares'!$C:$FA,121)*100</f>
        <v>-8.4699999999999989</v>
      </c>
      <c r="E37" s="143">
        <f>VLOOKUP($A37,'Data shares'!$C:$FA,124)</f>
        <v>0.56999999999999995</v>
      </c>
      <c r="F37" s="143">
        <f>VLOOKUP($A37,'Data shares'!$C:$FA,125)</f>
        <v>0.44</v>
      </c>
      <c r="G37" s="143">
        <f>VLOOKUP($A37,'Data shares'!$C:$FA,127)*100</f>
        <v>29.549999999999997</v>
      </c>
      <c r="H37" s="103">
        <f>VLOOKUP($A37,'OI(Volume)'!$A$7:$O$440,8)</f>
        <v>2945500</v>
      </c>
      <c r="I37" s="103">
        <f>VLOOKUP($A37,'OI(Volume)'!$A$7:$O$440,9)</f>
        <v>231500</v>
      </c>
      <c r="J37" s="103">
        <f>VLOOKUP($A37,'OI(Volume)'!$A$7:$O$440,11)</f>
        <v>1580000</v>
      </c>
      <c r="K37" s="103">
        <f>VLOOKUP($A37,'OI(Volume)'!$A$7:$O$440,12)</f>
        <v>-11500</v>
      </c>
      <c r="L37" s="103">
        <f>VLOOKUP($A37,'OI(Value)'!$A$7:$O$323,8,0)</f>
        <v>515</v>
      </c>
      <c r="M37" s="103">
        <f>VLOOKUP($A37,'OI(Value)'!$A$7:$O$323,9,0)</f>
        <v>40</v>
      </c>
      <c r="N37" s="103">
        <f>VLOOKUP($A37,'OI(Value)'!$A$7:$O$323,11,0)</f>
        <v>276</v>
      </c>
      <c r="O37" s="103">
        <f>VLOOKUP($A37,'OI(Value)'!$A$7:$O$323,12,0)</f>
        <v>-2</v>
      </c>
      <c r="P37" s="179">
        <f>VLOOKUP(A37,'OI(Value)'!A37:O255,8,0)</f>
        <v>515</v>
      </c>
      <c r="Q37" s="179">
        <f>VLOOKUP(A37,'OI(Value)'!A37:O255,9,0)</f>
        <v>40</v>
      </c>
      <c r="R37" s="179">
        <f>VLOOKUP(A37,'OI(Value)'!A37:O255,11,0)</f>
        <v>276</v>
      </c>
      <c r="S37" s="179">
        <f>VLOOKUP(A37,'OI(Value)'!A37:O255,11,0)</f>
        <v>276</v>
      </c>
    </row>
    <row r="38" spans="1:19" x14ac:dyDescent="0.25">
      <c r="A38" s="105" t="str">
        <f>'Data Vlaue (Cr)'!C33</f>
        <v>BHARTIARTL</v>
      </c>
      <c r="B38" s="143">
        <f>VLOOKUP($A38,'Data shares'!$C:$FA,118)</f>
        <v>0.88</v>
      </c>
      <c r="C38" s="143">
        <f>VLOOKUP($A38,'Data shares'!$C:$FA,119)</f>
        <v>0.87</v>
      </c>
      <c r="D38" s="143">
        <f>VLOOKUP($A38,'Data shares'!$C:$FA,121)*100</f>
        <v>1.1499999999999999</v>
      </c>
      <c r="E38" s="143">
        <f>VLOOKUP($A38,'Data shares'!$C:$FA,124)</f>
        <v>0.56999999999999995</v>
      </c>
      <c r="F38" s="143">
        <f>VLOOKUP($A38,'Data shares'!$C:$FA,125)</f>
        <v>0.41</v>
      </c>
      <c r="G38" s="143">
        <f>VLOOKUP($A38,'Data shares'!$C:$FA,127)*100</f>
        <v>39.019999999999996</v>
      </c>
      <c r="H38" s="103">
        <f>VLOOKUP($A38,'OI(Volume)'!$A$7:$O$440,8)</f>
        <v>8754250</v>
      </c>
      <c r="I38" s="103">
        <f>VLOOKUP($A38,'OI(Volume)'!$A$7:$O$440,9)</f>
        <v>73150</v>
      </c>
      <c r="J38" s="103">
        <f>VLOOKUP($A38,'OI(Volume)'!$A$7:$O$440,11)</f>
        <v>7681225</v>
      </c>
      <c r="K38" s="103">
        <f>VLOOKUP($A38,'OI(Volume)'!$A$7:$O$440,12)</f>
        <v>93575</v>
      </c>
      <c r="L38" s="103">
        <f>VLOOKUP($A38,'OI(Value)'!$A$7:$O$323,8,0)</f>
        <v>1634</v>
      </c>
      <c r="M38" s="103">
        <f>VLOOKUP($A38,'OI(Value)'!$A$7:$O$323,9,0)</f>
        <v>14</v>
      </c>
      <c r="N38" s="103">
        <f>VLOOKUP($A38,'OI(Value)'!$A$7:$O$323,11,0)</f>
        <v>1433</v>
      </c>
      <c r="O38" s="103">
        <f>VLOOKUP($A38,'OI(Value)'!$A$7:$O$323,12,0)</f>
        <v>17</v>
      </c>
      <c r="P38" s="179">
        <f>VLOOKUP(A38,'OI(Value)'!A38:O256,8,0)</f>
        <v>1634</v>
      </c>
      <c r="Q38" s="179">
        <f>VLOOKUP(A38,'OI(Value)'!A38:O256,9,0)</f>
        <v>14</v>
      </c>
      <c r="R38" s="179">
        <f>VLOOKUP(A38,'OI(Value)'!A38:O256,11,0)</f>
        <v>1433</v>
      </c>
      <c r="S38" s="179">
        <f>VLOOKUP(A38,'OI(Value)'!A38:O256,11,0)</f>
        <v>1433</v>
      </c>
    </row>
    <row r="39" spans="1:19" x14ac:dyDescent="0.25">
      <c r="A39" s="105" t="str">
        <f>'Data Vlaue (Cr)'!C34</f>
        <v>BHEL</v>
      </c>
      <c r="B39" s="143">
        <f>VLOOKUP($A39,'Data shares'!$C:$FA,118)</f>
        <v>0.81</v>
      </c>
      <c r="C39" s="143">
        <f>VLOOKUP($A39,'Data shares'!$C:$FA,119)</f>
        <v>0.81</v>
      </c>
      <c r="D39" s="143">
        <f>VLOOKUP($A39,'Data shares'!$C:$FA,121)*100</f>
        <v>0</v>
      </c>
      <c r="E39" s="143">
        <f>VLOOKUP($A39,'Data shares'!$C:$FA,124)</f>
        <v>0.42</v>
      </c>
      <c r="F39" s="143">
        <f>VLOOKUP($A39,'Data shares'!$C:$FA,125)</f>
        <v>0.53</v>
      </c>
      <c r="G39" s="143">
        <f>VLOOKUP($A39,'Data shares'!$C:$FA,127)*100</f>
        <v>-20.75</v>
      </c>
      <c r="H39" s="103">
        <f>VLOOKUP($A39,'OI(Volume)'!$A$7:$O$440,8)</f>
        <v>31410750</v>
      </c>
      <c r="I39" s="103">
        <f>VLOOKUP($A39,'OI(Volume)'!$A$7:$O$440,9)</f>
        <v>2328375</v>
      </c>
      <c r="J39" s="103">
        <f>VLOOKUP($A39,'OI(Volume)'!$A$7:$O$440,11)</f>
        <v>25507125</v>
      </c>
      <c r="K39" s="103">
        <f>VLOOKUP($A39,'OI(Volume)'!$A$7:$O$440,12)</f>
        <v>1989750</v>
      </c>
      <c r="L39" s="103">
        <f>VLOOKUP($A39,'OI(Value)'!$A$7:$O$323,8,0)</f>
        <v>872</v>
      </c>
      <c r="M39" s="103">
        <f>VLOOKUP($A39,'OI(Value)'!$A$7:$O$323,9,0)</f>
        <v>65</v>
      </c>
      <c r="N39" s="103">
        <f>VLOOKUP($A39,'OI(Value)'!$A$7:$O$323,11,0)</f>
        <v>709</v>
      </c>
      <c r="O39" s="103">
        <f>VLOOKUP($A39,'OI(Value)'!$A$7:$O$323,12,0)</f>
        <v>55</v>
      </c>
      <c r="P39" s="179">
        <f>VLOOKUP(A39,'OI(Value)'!A39:O257,8,0)</f>
        <v>872</v>
      </c>
      <c r="Q39" s="179">
        <f>VLOOKUP(A39,'OI(Value)'!A39:O257,9,0)</f>
        <v>65</v>
      </c>
      <c r="R39" s="179">
        <f>VLOOKUP(A39,'OI(Value)'!A39:O257,11,0)</f>
        <v>709</v>
      </c>
      <c r="S39" s="179">
        <f>VLOOKUP(A39,'OI(Value)'!A39:O257,11,0)</f>
        <v>709</v>
      </c>
    </row>
    <row r="40" spans="1:19" x14ac:dyDescent="0.25">
      <c r="A40" s="105" t="str">
        <f>'Data Vlaue (Cr)'!C35</f>
        <v>BIOCON</v>
      </c>
      <c r="B40" s="143">
        <f>VLOOKUP($A40,'Data shares'!$C:$FA,118)</f>
        <v>0.7</v>
      </c>
      <c r="C40" s="143">
        <f>VLOOKUP($A40,'Data shares'!$C:$FA,119)</f>
        <v>0.74</v>
      </c>
      <c r="D40" s="143">
        <f>VLOOKUP($A40,'Data shares'!$C:$FA,121)*100</f>
        <v>-5.41</v>
      </c>
      <c r="E40" s="143">
        <f>VLOOKUP($A40,'Data shares'!$C:$FA,124)</f>
        <v>0.4</v>
      </c>
      <c r="F40" s="143">
        <f>VLOOKUP($A40,'Data shares'!$C:$FA,125)</f>
        <v>0.55000000000000004</v>
      </c>
      <c r="G40" s="143">
        <f>VLOOKUP($A40,'Data shares'!$C:$FA,127)*100</f>
        <v>-27.27</v>
      </c>
      <c r="H40" s="103">
        <f>VLOOKUP($A40,'OI(Volume)'!$A$7:$O$440,8)</f>
        <v>20432500</v>
      </c>
      <c r="I40" s="103">
        <f>VLOOKUP($A40,'OI(Volume)'!$A$7:$O$440,9)</f>
        <v>1897500</v>
      </c>
      <c r="J40" s="103">
        <f>VLOOKUP($A40,'OI(Volume)'!$A$7:$O$440,11)</f>
        <v>14260000</v>
      </c>
      <c r="K40" s="103">
        <f>VLOOKUP($A40,'OI(Volume)'!$A$7:$O$440,12)</f>
        <v>605000</v>
      </c>
      <c r="L40" s="103">
        <f>VLOOKUP($A40,'OI(Value)'!$A$7:$O$323,8,0)</f>
        <v>709</v>
      </c>
      <c r="M40" s="103">
        <f>VLOOKUP($A40,'OI(Value)'!$A$7:$O$323,9,0)</f>
        <v>66</v>
      </c>
      <c r="N40" s="103">
        <f>VLOOKUP($A40,'OI(Value)'!$A$7:$O$323,11,0)</f>
        <v>495</v>
      </c>
      <c r="O40" s="103">
        <f>VLOOKUP($A40,'OI(Value)'!$A$7:$O$323,12,0)</f>
        <v>21</v>
      </c>
      <c r="P40" s="179">
        <f>VLOOKUP(A40,'OI(Value)'!A40:O258,8,0)</f>
        <v>709</v>
      </c>
      <c r="Q40" s="179">
        <f>VLOOKUP(A40,'OI(Value)'!A40:O258,9,0)</f>
        <v>66</v>
      </c>
      <c r="R40" s="179">
        <f>VLOOKUP(A40,'OI(Value)'!A40:O258,11,0)</f>
        <v>495</v>
      </c>
      <c r="S40" s="179">
        <f>VLOOKUP(A40,'OI(Value)'!A40:O258,11,0)</f>
        <v>495</v>
      </c>
    </row>
    <row r="41" spans="1:19" x14ac:dyDescent="0.25">
      <c r="A41" s="105" t="str">
        <f>'Data Vlaue (Cr)'!C36</f>
        <v>BLUESTARCO</v>
      </c>
      <c r="B41" s="143">
        <f>VLOOKUP($A41,'Data shares'!$C:$FA,118)</f>
        <v>0.59</v>
      </c>
      <c r="C41" s="143">
        <f>VLOOKUP($A41,'Data shares'!$C:$FA,119)</f>
        <v>0.55000000000000004</v>
      </c>
      <c r="D41" s="143">
        <f>VLOOKUP($A41,'Data shares'!$C:$FA,121)*100</f>
        <v>7.2700000000000005</v>
      </c>
      <c r="E41" s="143">
        <f>VLOOKUP($A41,'Data shares'!$C:$FA,124)</f>
        <v>0.35</v>
      </c>
      <c r="F41" s="143">
        <f>VLOOKUP($A41,'Data shares'!$C:$FA,125)</f>
        <v>0.69</v>
      </c>
      <c r="G41" s="143">
        <f>VLOOKUP($A41,'Data shares'!$C:$FA,127)*100</f>
        <v>-49.28</v>
      </c>
      <c r="H41" s="103">
        <f>VLOOKUP($A41,'OI(Volume)'!$A$7:$O$440,8)</f>
        <v>1053325</v>
      </c>
      <c r="I41" s="103">
        <f>VLOOKUP($A41,'OI(Volume)'!$A$7:$O$440,9)</f>
        <v>-55575</v>
      </c>
      <c r="J41" s="103">
        <f>VLOOKUP($A41,'OI(Volume)'!$A$7:$O$440,11)</f>
        <v>625950</v>
      </c>
      <c r="K41" s="103">
        <f>VLOOKUP($A41,'OI(Volume)'!$A$7:$O$440,12)</f>
        <v>20475</v>
      </c>
      <c r="L41" s="103">
        <f>VLOOKUP($A41,'OI(Value)'!$A$7:$O$323,8,0)</f>
        <v>174</v>
      </c>
      <c r="M41" s="103">
        <f>VLOOKUP($A41,'OI(Value)'!$A$7:$O$323,9,0)</f>
        <v>-9</v>
      </c>
      <c r="N41" s="103">
        <f>VLOOKUP($A41,'OI(Value)'!$A$7:$O$323,11,0)</f>
        <v>103</v>
      </c>
      <c r="O41" s="103">
        <f>VLOOKUP($A41,'OI(Value)'!$A$7:$O$323,12,0)</f>
        <v>3</v>
      </c>
      <c r="P41" s="179">
        <f>VLOOKUP(A41,'OI(Value)'!A41:O259,8,0)</f>
        <v>174</v>
      </c>
      <c r="Q41" s="179">
        <f>VLOOKUP(A41,'OI(Value)'!A41:O259,9,0)</f>
        <v>-9</v>
      </c>
      <c r="R41" s="179">
        <f>VLOOKUP(A41,'OI(Value)'!A41:O259,11,0)</f>
        <v>103</v>
      </c>
      <c r="S41" s="179">
        <f>VLOOKUP(A41,'OI(Value)'!A41:O259,11,0)</f>
        <v>103</v>
      </c>
    </row>
    <row r="42" spans="1:19" x14ac:dyDescent="0.25">
      <c r="A42" s="105" t="str">
        <f>'Data Vlaue (Cr)'!C37</f>
        <v>BOSCHLTD</v>
      </c>
      <c r="B42" s="143">
        <f>VLOOKUP($A42,'Data shares'!$C:$FA,118)</f>
        <v>0.71</v>
      </c>
      <c r="C42" s="143">
        <f>VLOOKUP($A42,'Data shares'!$C:$FA,119)</f>
        <v>0.63</v>
      </c>
      <c r="D42" s="143">
        <f>VLOOKUP($A42,'Data shares'!$C:$FA,121)*100</f>
        <v>12.7</v>
      </c>
      <c r="E42" s="143">
        <f>VLOOKUP($A42,'Data shares'!$C:$FA,124)</f>
        <v>0.33</v>
      </c>
      <c r="F42" s="143">
        <f>VLOOKUP($A42,'Data shares'!$C:$FA,125)</f>
        <v>0.28000000000000003</v>
      </c>
      <c r="G42" s="143">
        <f>VLOOKUP($A42,'Data shares'!$C:$FA,127)*100</f>
        <v>17.86</v>
      </c>
      <c r="H42" s="103">
        <f>VLOOKUP($A42,'OI(Volume)'!$A$7:$O$440,8)</f>
        <v>261675</v>
      </c>
      <c r="I42" s="103">
        <f>VLOOKUP($A42,'OI(Volume)'!$A$7:$O$440,9)</f>
        <v>15500</v>
      </c>
      <c r="J42" s="103">
        <f>VLOOKUP($A42,'OI(Volume)'!$A$7:$O$440,11)</f>
        <v>184625</v>
      </c>
      <c r="K42" s="103">
        <f>VLOOKUP($A42,'OI(Volume)'!$A$7:$O$440,12)</f>
        <v>30500</v>
      </c>
      <c r="L42" s="103">
        <f>VLOOKUP($A42,'OI(Value)'!$A$7:$O$323,8,0)</f>
        <v>964</v>
      </c>
      <c r="M42" s="103">
        <f>VLOOKUP($A42,'OI(Value)'!$A$7:$O$323,9,0)</f>
        <v>57</v>
      </c>
      <c r="N42" s="103">
        <f>VLOOKUP($A42,'OI(Value)'!$A$7:$O$323,11,0)</f>
        <v>680</v>
      </c>
      <c r="O42" s="103">
        <f>VLOOKUP($A42,'OI(Value)'!$A$7:$O$323,12,0)</f>
        <v>112</v>
      </c>
      <c r="P42" s="179">
        <f>VLOOKUP(A42,'OI(Value)'!A42:O260,8,0)</f>
        <v>964</v>
      </c>
      <c r="Q42" s="179">
        <f>VLOOKUP(A42,'OI(Value)'!A42:O260,9,0)</f>
        <v>57</v>
      </c>
      <c r="R42" s="179">
        <f>VLOOKUP(A42,'OI(Value)'!A42:O260,11,0)</f>
        <v>680</v>
      </c>
      <c r="S42" s="179">
        <f>VLOOKUP(A42,'OI(Value)'!A42:O260,11,0)</f>
        <v>680</v>
      </c>
    </row>
    <row r="43" spans="1:19" x14ac:dyDescent="0.25">
      <c r="A43" s="105" t="str">
        <f>'Data Vlaue (Cr)'!C38</f>
        <v>BPCL</v>
      </c>
      <c r="B43" s="143">
        <f>VLOOKUP($A43,'Data shares'!$C:$FA,118)</f>
        <v>0.82</v>
      </c>
      <c r="C43" s="143">
        <f>VLOOKUP($A43,'Data shares'!$C:$FA,119)</f>
        <v>0.63</v>
      </c>
      <c r="D43" s="143">
        <f>VLOOKUP($A43,'Data shares'!$C:$FA,121)*100</f>
        <v>30.159999999999997</v>
      </c>
      <c r="E43" s="143">
        <f>VLOOKUP($A43,'Data shares'!$C:$FA,124)</f>
        <v>0.7</v>
      </c>
      <c r="F43" s="143">
        <f>VLOOKUP($A43,'Data shares'!$C:$FA,125)</f>
        <v>0.44</v>
      </c>
      <c r="G43" s="143">
        <f>VLOOKUP($A43,'Data shares'!$C:$FA,127)*100</f>
        <v>59.089999999999996</v>
      </c>
      <c r="H43" s="103">
        <f>VLOOKUP($A43,'OI(Volume)'!$A$7:$O$440,8)</f>
        <v>19667050</v>
      </c>
      <c r="I43" s="103">
        <f>VLOOKUP($A43,'OI(Volume)'!$A$7:$O$440,9)</f>
        <v>-671500</v>
      </c>
      <c r="J43" s="103">
        <f>VLOOKUP($A43,'OI(Volume)'!$A$7:$O$440,11)</f>
        <v>16214750</v>
      </c>
      <c r="K43" s="103">
        <f>VLOOKUP($A43,'OI(Volume)'!$A$7:$O$440,12)</f>
        <v>3436500</v>
      </c>
      <c r="L43" s="103">
        <f>VLOOKUP($A43,'OI(Value)'!$A$7:$O$323,8,0)</f>
        <v>586</v>
      </c>
      <c r="M43" s="103">
        <f>VLOOKUP($A43,'OI(Value)'!$A$7:$O$323,9,0)</f>
        <v>-20</v>
      </c>
      <c r="N43" s="103">
        <f>VLOOKUP($A43,'OI(Value)'!$A$7:$O$323,11,0)</f>
        <v>483</v>
      </c>
      <c r="O43" s="103">
        <f>VLOOKUP($A43,'OI(Value)'!$A$7:$O$323,12,0)</f>
        <v>102</v>
      </c>
      <c r="P43" s="179">
        <f>VLOOKUP(A43,'OI(Value)'!A43:O261,8,0)</f>
        <v>586</v>
      </c>
      <c r="Q43" s="179">
        <f>VLOOKUP(A43,'OI(Value)'!A43:O261,9,0)</f>
        <v>-20</v>
      </c>
      <c r="R43" s="179">
        <f>VLOOKUP(A43,'OI(Value)'!A43:O261,11,0)</f>
        <v>483</v>
      </c>
      <c r="S43" s="179">
        <f>VLOOKUP(A43,'OI(Value)'!A43:O261,11,0)</f>
        <v>483</v>
      </c>
    </row>
    <row r="44" spans="1:19" x14ac:dyDescent="0.25">
      <c r="A44" s="105" t="str">
        <f>'Data Vlaue (Cr)'!C39</f>
        <v>BRITANNIA</v>
      </c>
      <c r="B44" s="143">
        <f>VLOOKUP($A44,'Data shares'!$C:$FA,118)</f>
        <v>1.1200000000000001</v>
      </c>
      <c r="C44" s="143">
        <f>VLOOKUP($A44,'Data shares'!$C:$FA,119)</f>
        <v>1.32</v>
      </c>
      <c r="D44" s="143">
        <f>VLOOKUP($A44,'Data shares'!$C:$FA,121)*100</f>
        <v>-15.15</v>
      </c>
      <c r="E44" s="143">
        <f>VLOOKUP($A44,'Data shares'!$C:$FA,124)</f>
        <v>0.68</v>
      </c>
      <c r="F44" s="143">
        <f>VLOOKUP($A44,'Data shares'!$C:$FA,125)</f>
        <v>0.39</v>
      </c>
      <c r="G44" s="143">
        <f>VLOOKUP($A44,'Data shares'!$C:$FA,127)*100</f>
        <v>74.36</v>
      </c>
      <c r="H44" s="103">
        <f>VLOOKUP($A44,'OI(Volume)'!$A$7:$O$440,8)</f>
        <v>519625</v>
      </c>
      <c r="I44" s="103">
        <f>VLOOKUP($A44,'OI(Volume)'!$A$7:$O$440,9)</f>
        <v>193625</v>
      </c>
      <c r="J44" s="103">
        <f>VLOOKUP($A44,'OI(Volume)'!$A$7:$O$440,11)</f>
        <v>583375</v>
      </c>
      <c r="K44" s="103">
        <f>VLOOKUP($A44,'OI(Volume)'!$A$7:$O$440,12)</f>
        <v>153125</v>
      </c>
      <c r="L44" s="103">
        <f>VLOOKUP($A44,'OI(Value)'!$A$7:$O$323,8,0)</f>
        <v>285</v>
      </c>
      <c r="M44" s="103">
        <f>VLOOKUP($A44,'OI(Value)'!$A$7:$O$323,9,0)</f>
        <v>106</v>
      </c>
      <c r="N44" s="103">
        <f>VLOOKUP($A44,'OI(Value)'!$A$7:$O$323,11,0)</f>
        <v>320</v>
      </c>
      <c r="O44" s="103">
        <f>VLOOKUP($A44,'OI(Value)'!$A$7:$O$323,12,0)</f>
        <v>84</v>
      </c>
      <c r="P44" s="179">
        <f>VLOOKUP(A44,'OI(Value)'!A44:O262,8,0)</f>
        <v>285</v>
      </c>
      <c r="Q44" s="179">
        <f>VLOOKUP(A44,'OI(Value)'!A44:O262,9,0)</f>
        <v>106</v>
      </c>
      <c r="R44" s="179">
        <f>VLOOKUP(A44,'OI(Value)'!A44:O262,11,0)</f>
        <v>320</v>
      </c>
      <c r="S44" s="179">
        <f>VLOOKUP(A44,'OI(Value)'!A44:O262,11,0)</f>
        <v>320</v>
      </c>
    </row>
    <row r="45" spans="1:19" x14ac:dyDescent="0.25">
      <c r="A45" s="105" t="str">
        <f>'Data Vlaue (Cr)'!C40</f>
        <v>BSE</v>
      </c>
      <c r="B45" s="143">
        <f>VLOOKUP($A45,'Data shares'!$C:$FA,118)</f>
        <v>1.08</v>
      </c>
      <c r="C45" s="143">
        <f>VLOOKUP($A45,'Data shares'!$C:$FA,119)</f>
        <v>1.05</v>
      </c>
      <c r="D45" s="143">
        <f>VLOOKUP($A45,'Data shares'!$C:$FA,121)*100</f>
        <v>2.86</v>
      </c>
      <c r="E45" s="143">
        <f>VLOOKUP($A45,'Data shares'!$C:$FA,124)</f>
        <v>0.54</v>
      </c>
      <c r="F45" s="143">
        <f>VLOOKUP($A45,'Data shares'!$C:$FA,125)</f>
        <v>0.54</v>
      </c>
      <c r="G45" s="143">
        <f>VLOOKUP($A45,'Data shares'!$C:$FA,127)*100</f>
        <v>0</v>
      </c>
      <c r="H45" s="103">
        <f>VLOOKUP($A45,'OI(Volume)'!$A$7:$O$440,8)</f>
        <v>5812125</v>
      </c>
      <c r="I45" s="103">
        <f>VLOOKUP($A45,'OI(Volume)'!$A$7:$O$440,9)</f>
        <v>841875</v>
      </c>
      <c r="J45" s="103">
        <f>VLOOKUP($A45,'OI(Volume)'!$A$7:$O$440,11)</f>
        <v>6286125</v>
      </c>
      <c r="K45" s="103">
        <f>VLOOKUP($A45,'OI(Volume)'!$A$7:$O$440,12)</f>
        <v>1072875</v>
      </c>
      <c r="L45" s="103">
        <f>VLOOKUP($A45,'OI(Value)'!$A$7:$O$323,8,0)</f>
        <v>1903</v>
      </c>
      <c r="M45" s="103">
        <f>VLOOKUP($A45,'OI(Value)'!$A$7:$O$323,9,0)</f>
        <v>276</v>
      </c>
      <c r="N45" s="103">
        <f>VLOOKUP($A45,'OI(Value)'!$A$7:$O$323,11,0)</f>
        <v>2058</v>
      </c>
      <c r="O45" s="103">
        <f>VLOOKUP($A45,'OI(Value)'!$A$7:$O$323,12,0)</f>
        <v>351</v>
      </c>
      <c r="P45" s="179">
        <f>VLOOKUP(A45,'OI(Value)'!A45:O263,8,0)</f>
        <v>1903</v>
      </c>
      <c r="Q45" s="179">
        <f>VLOOKUP(A45,'OI(Value)'!A45:O263,9,0)</f>
        <v>276</v>
      </c>
      <c r="R45" s="179">
        <f>VLOOKUP(A45,'OI(Value)'!A45:O263,11,0)</f>
        <v>2058</v>
      </c>
      <c r="S45" s="179">
        <f>VLOOKUP(A45,'OI(Value)'!A45:O263,11,0)</f>
        <v>2058</v>
      </c>
    </row>
    <row r="46" spans="1:19" x14ac:dyDescent="0.25">
      <c r="A46" s="105" t="str">
        <f>'Data Vlaue (Cr)'!C41</f>
        <v>CAMS</v>
      </c>
      <c r="B46" s="143">
        <f>VLOOKUP($A46,'Data shares'!$C:$FA,118)</f>
        <v>0.79</v>
      </c>
      <c r="C46" s="143">
        <f>VLOOKUP($A46,'Data shares'!$C:$FA,119)</f>
        <v>0.69</v>
      </c>
      <c r="D46" s="143">
        <f>VLOOKUP($A46,'Data shares'!$C:$FA,121)*100</f>
        <v>14.49</v>
      </c>
      <c r="E46" s="143">
        <f>VLOOKUP($A46,'Data shares'!$C:$FA,124)</f>
        <v>0.46</v>
      </c>
      <c r="F46" s="143">
        <f>VLOOKUP($A46,'Data shares'!$C:$FA,125)</f>
        <v>0.53</v>
      </c>
      <c r="G46" s="143">
        <f>VLOOKUP($A46,'Data shares'!$C:$FA,127)*100</f>
        <v>-13.209999999999999</v>
      </c>
      <c r="H46" s="103">
        <f>VLOOKUP($A46,'OI(Volume)'!$A$7:$O$440,8)</f>
        <v>2114250</v>
      </c>
      <c r="I46" s="103">
        <f>VLOOKUP($A46,'OI(Volume)'!$A$7:$O$440,9)</f>
        <v>208500</v>
      </c>
      <c r="J46" s="103">
        <f>VLOOKUP($A46,'OI(Volume)'!$A$7:$O$440,11)</f>
        <v>1663500</v>
      </c>
      <c r="K46" s="103">
        <f>VLOOKUP($A46,'OI(Volume)'!$A$7:$O$440,12)</f>
        <v>349500</v>
      </c>
      <c r="L46" s="103">
        <f>VLOOKUP($A46,'OI(Value)'!$A$7:$O$323,8,0)</f>
        <v>148</v>
      </c>
      <c r="M46" s="103">
        <f>VLOOKUP($A46,'OI(Value)'!$A$7:$O$323,9,0)</f>
        <v>15</v>
      </c>
      <c r="N46" s="103">
        <f>VLOOKUP($A46,'OI(Value)'!$A$7:$O$323,11,0)</f>
        <v>116</v>
      </c>
      <c r="O46" s="103">
        <f>VLOOKUP($A46,'OI(Value)'!$A$7:$O$323,12,0)</f>
        <v>24</v>
      </c>
      <c r="P46" s="179">
        <f>VLOOKUP(A46,'OI(Value)'!A46:O264,8,0)</f>
        <v>148</v>
      </c>
      <c r="Q46" s="179">
        <f>VLOOKUP(A46,'OI(Value)'!A46:O264,9,0)</f>
        <v>15</v>
      </c>
      <c r="R46" s="179">
        <f>VLOOKUP(A46,'OI(Value)'!A46:O264,11,0)</f>
        <v>116</v>
      </c>
      <c r="S46" s="179">
        <f>VLOOKUP(A46,'OI(Value)'!A46:O264,11,0)</f>
        <v>116</v>
      </c>
    </row>
    <row r="47" spans="1:19" x14ac:dyDescent="0.25">
      <c r="A47" s="105" t="str">
        <f>'Data Vlaue (Cr)'!C42</f>
        <v>CANBK</v>
      </c>
      <c r="B47" s="143">
        <f>VLOOKUP($A47,'Data shares'!$C:$FA,118)</f>
        <v>0.9</v>
      </c>
      <c r="C47" s="143">
        <f>VLOOKUP($A47,'Data shares'!$C:$FA,119)</f>
        <v>0.94</v>
      </c>
      <c r="D47" s="143">
        <f>VLOOKUP($A47,'Data shares'!$C:$FA,121)*100</f>
        <v>-4.26</v>
      </c>
      <c r="E47" s="143">
        <f>VLOOKUP($A47,'Data shares'!$C:$FA,124)</f>
        <v>0.6</v>
      </c>
      <c r="F47" s="143">
        <f>VLOOKUP($A47,'Data shares'!$C:$FA,125)</f>
        <v>0.62</v>
      </c>
      <c r="G47" s="143">
        <f>VLOOKUP($A47,'Data shares'!$C:$FA,127)*100</f>
        <v>-3.2300000000000004</v>
      </c>
      <c r="H47" s="103">
        <f>VLOOKUP($A47,'OI(Volume)'!$A$7:$O$440,8)</f>
        <v>65218500</v>
      </c>
      <c r="I47" s="103">
        <f>VLOOKUP($A47,'OI(Volume)'!$A$7:$O$440,9)</f>
        <v>6142500</v>
      </c>
      <c r="J47" s="103">
        <f>VLOOKUP($A47,'OI(Volume)'!$A$7:$O$440,11)</f>
        <v>58846500</v>
      </c>
      <c r="K47" s="103">
        <f>VLOOKUP($A47,'OI(Volume)'!$A$7:$O$440,12)</f>
        <v>3044250</v>
      </c>
      <c r="L47" s="103">
        <f>VLOOKUP($A47,'OI(Value)'!$A$7:$O$323,8,0)</f>
        <v>901</v>
      </c>
      <c r="M47" s="103">
        <f>VLOOKUP($A47,'OI(Value)'!$A$7:$O$323,9,0)</f>
        <v>85</v>
      </c>
      <c r="N47" s="103">
        <f>VLOOKUP($A47,'OI(Value)'!$A$7:$O$323,11,0)</f>
        <v>813</v>
      </c>
      <c r="O47" s="103">
        <f>VLOOKUP($A47,'OI(Value)'!$A$7:$O$323,12,0)</f>
        <v>42</v>
      </c>
      <c r="P47" s="179">
        <f>VLOOKUP(A47,'OI(Value)'!A47:O265,8,0)</f>
        <v>901</v>
      </c>
      <c r="Q47" s="179">
        <f>VLOOKUP(A47,'OI(Value)'!A47:O265,9,0)</f>
        <v>85</v>
      </c>
      <c r="R47" s="179">
        <f>VLOOKUP(A47,'OI(Value)'!A47:O265,11,0)</f>
        <v>813</v>
      </c>
      <c r="S47" s="179">
        <f>VLOOKUP(A47,'OI(Value)'!A47:O265,11,0)</f>
        <v>813</v>
      </c>
    </row>
    <row r="48" spans="1:19" x14ac:dyDescent="0.25">
      <c r="A48" s="105" t="str">
        <f>'Data Vlaue (Cr)'!C43</f>
        <v>CDSL</v>
      </c>
      <c r="B48" s="143">
        <f>VLOOKUP($A48,'Data shares'!$C:$FA,118)</f>
        <v>0.8</v>
      </c>
      <c r="C48" s="143">
        <f>VLOOKUP($A48,'Data shares'!$C:$FA,119)</f>
        <v>0.83</v>
      </c>
      <c r="D48" s="143">
        <f>VLOOKUP($A48,'Data shares'!$C:$FA,121)*100</f>
        <v>-3.61</v>
      </c>
      <c r="E48" s="143">
        <f>VLOOKUP($A48,'Data shares'!$C:$FA,124)</f>
        <v>0.38</v>
      </c>
      <c r="F48" s="143">
        <f>VLOOKUP($A48,'Data shares'!$C:$FA,125)</f>
        <v>0.43</v>
      </c>
      <c r="G48" s="143">
        <f>VLOOKUP($A48,'Data shares'!$C:$FA,127)*100</f>
        <v>-11.63</v>
      </c>
      <c r="H48" s="103">
        <f>VLOOKUP($A48,'OI(Volume)'!$A$7:$O$440,8)</f>
        <v>4348150</v>
      </c>
      <c r="I48" s="103">
        <f>VLOOKUP($A48,'OI(Volume)'!$A$7:$O$440,9)</f>
        <v>256975</v>
      </c>
      <c r="J48" s="103">
        <f>VLOOKUP($A48,'OI(Volume)'!$A$7:$O$440,11)</f>
        <v>3499325</v>
      </c>
      <c r="K48" s="103">
        <f>VLOOKUP($A48,'OI(Volume)'!$A$7:$O$440,12)</f>
        <v>99275</v>
      </c>
      <c r="L48" s="103">
        <f>VLOOKUP($A48,'OI(Value)'!$A$7:$O$323,8,0)</f>
        <v>556</v>
      </c>
      <c r="M48" s="103">
        <f>VLOOKUP($A48,'OI(Value)'!$A$7:$O$323,9,0)</f>
        <v>33</v>
      </c>
      <c r="N48" s="103">
        <f>VLOOKUP($A48,'OI(Value)'!$A$7:$O$323,11,0)</f>
        <v>447</v>
      </c>
      <c r="O48" s="103">
        <f>VLOOKUP($A48,'OI(Value)'!$A$7:$O$323,12,0)</f>
        <v>13</v>
      </c>
      <c r="P48" s="179">
        <f>VLOOKUP(A48,'OI(Value)'!A48:O266,8,0)</f>
        <v>556</v>
      </c>
      <c r="Q48" s="179">
        <f>VLOOKUP(A48,'OI(Value)'!A48:O266,9,0)</f>
        <v>33</v>
      </c>
      <c r="R48" s="179">
        <f>VLOOKUP(A48,'OI(Value)'!A48:O266,11,0)</f>
        <v>447</v>
      </c>
      <c r="S48" s="179">
        <f>VLOOKUP(A48,'OI(Value)'!A48:O266,11,0)</f>
        <v>447</v>
      </c>
    </row>
    <row r="49" spans="1:19" x14ac:dyDescent="0.25">
      <c r="A49" s="105" t="str">
        <f>'Data Vlaue (Cr)'!C44</f>
        <v>CGPOWER</v>
      </c>
      <c r="B49" s="143">
        <f>VLOOKUP($A49,'Data shares'!$C:$FA,118)</f>
        <v>0.71</v>
      </c>
      <c r="C49" s="143">
        <f>VLOOKUP($A49,'Data shares'!$C:$FA,119)</f>
        <v>0.75</v>
      </c>
      <c r="D49" s="143">
        <f>VLOOKUP($A49,'Data shares'!$C:$FA,121)*100</f>
        <v>-5.33</v>
      </c>
      <c r="E49" s="143">
        <f>VLOOKUP($A49,'Data shares'!$C:$FA,124)</f>
        <v>0.59</v>
      </c>
      <c r="F49" s="143">
        <f>VLOOKUP($A49,'Data shares'!$C:$FA,125)</f>
        <v>0.66</v>
      </c>
      <c r="G49" s="143">
        <f>VLOOKUP($A49,'Data shares'!$C:$FA,127)*100</f>
        <v>-10.61</v>
      </c>
      <c r="H49" s="103">
        <f>VLOOKUP($A49,'OI(Volume)'!$A$7:$O$440,8)</f>
        <v>2780350</v>
      </c>
      <c r="I49" s="103">
        <f>VLOOKUP($A49,'OI(Volume)'!$A$7:$O$440,9)</f>
        <v>316200</v>
      </c>
      <c r="J49" s="103">
        <f>VLOOKUP($A49,'OI(Volume)'!$A$7:$O$440,11)</f>
        <v>1967750</v>
      </c>
      <c r="K49" s="103">
        <f>VLOOKUP($A49,'OI(Volume)'!$A$7:$O$440,12)</f>
        <v>120700</v>
      </c>
      <c r="L49" s="103">
        <f>VLOOKUP($A49,'OI(Value)'!$A$7:$O$323,8,0)</f>
        <v>201</v>
      </c>
      <c r="M49" s="103">
        <f>VLOOKUP($A49,'OI(Value)'!$A$7:$O$323,9,0)</f>
        <v>23</v>
      </c>
      <c r="N49" s="103">
        <f>VLOOKUP($A49,'OI(Value)'!$A$7:$O$323,11,0)</f>
        <v>142</v>
      </c>
      <c r="O49" s="103">
        <f>VLOOKUP($A49,'OI(Value)'!$A$7:$O$323,12,0)</f>
        <v>9</v>
      </c>
      <c r="P49" s="179">
        <f>VLOOKUP(A49,'OI(Value)'!A49:O267,8,0)</f>
        <v>201</v>
      </c>
      <c r="Q49" s="179">
        <f>VLOOKUP(A49,'OI(Value)'!A49:O267,9,0)</f>
        <v>23</v>
      </c>
      <c r="R49" s="179">
        <f>VLOOKUP(A49,'OI(Value)'!A49:O267,11,0)</f>
        <v>142</v>
      </c>
      <c r="S49" s="179">
        <f>VLOOKUP(A49,'OI(Value)'!A49:O267,11,0)</f>
        <v>142</v>
      </c>
    </row>
    <row r="50" spans="1:19" x14ac:dyDescent="0.25">
      <c r="A50" s="105" t="str">
        <f>'Data Vlaue (Cr)'!C45</f>
        <v>CHOLAFIN</v>
      </c>
      <c r="B50" s="143">
        <f>VLOOKUP($A50,'Data shares'!$C:$FA,118)</f>
        <v>0.85</v>
      </c>
      <c r="C50" s="143">
        <f>VLOOKUP($A50,'Data shares'!$C:$FA,119)</f>
        <v>0.83</v>
      </c>
      <c r="D50" s="143">
        <f>VLOOKUP($A50,'Data shares'!$C:$FA,121)*100</f>
        <v>2.41</v>
      </c>
      <c r="E50" s="143">
        <f>VLOOKUP($A50,'Data shares'!$C:$FA,124)</f>
        <v>1</v>
      </c>
      <c r="F50" s="143">
        <f>VLOOKUP($A50,'Data shares'!$C:$FA,125)</f>
        <v>0.62</v>
      </c>
      <c r="G50" s="143">
        <f>VLOOKUP($A50,'Data shares'!$C:$FA,127)*100</f>
        <v>61.29</v>
      </c>
      <c r="H50" s="103">
        <f>VLOOKUP($A50,'OI(Volume)'!$A$7:$O$440,8)</f>
        <v>3479375</v>
      </c>
      <c r="I50" s="103">
        <f>VLOOKUP($A50,'OI(Volume)'!$A$7:$O$440,9)</f>
        <v>305625</v>
      </c>
      <c r="J50" s="103">
        <f>VLOOKUP($A50,'OI(Volume)'!$A$7:$O$440,11)</f>
        <v>2958750</v>
      </c>
      <c r="K50" s="103">
        <f>VLOOKUP($A50,'OI(Volume)'!$A$7:$O$440,12)</f>
        <v>336250</v>
      </c>
      <c r="L50" s="103">
        <f>VLOOKUP($A50,'OI(Value)'!$A$7:$O$323,8,0)</f>
        <v>534</v>
      </c>
      <c r="M50" s="103">
        <f>VLOOKUP($A50,'OI(Value)'!$A$7:$O$323,9,0)</f>
        <v>47</v>
      </c>
      <c r="N50" s="103">
        <f>VLOOKUP($A50,'OI(Value)'!$A$7:$O$323,11,0)</f>
        <v>454</v>
      </c>
      <c r="O50" s="103">
        <f>VLOOKUP($A50,'OI(Value)'!$A$7:$O$323,12,0)</f>
        <v>52</v>
      </c>
      <c r="P50" s="179">
        <f>VLOOKUP(A50,'OI(Value)'!A50:O268,8,0)</f>
        <v>534</v>
      </c>
      <c r="Q50" s="179">
        <f>VLOOKUP(A50,'OI(Value)'!A50:O268,9,0)</f>
        <v>47</v>
      </c>
      <c r="R50" s="179">
        <f>VLOOKUP(A50,'OI(Value)'!A50:O268,11,0)</f>
        <v>454</v>
      </c>
      <c r="S50" s="179">
        <f>VLOOKUP(A50,'OI(Value)'!A50:O268,11,0)</f>
        <v>454</v>
      </c>
    </row>
    <row r="51" spans="1:19" x14ac:dyDescent="0.25">
      <c r="A51" s="105" t="str">
        <f>'Data Vlaue (Cr)'!C46</f>
        <v>CIPLA</v>
      </c>
      <c r="B51" s="143">
        <f>VLOOKUP($A51,'Data shares'!$C:$FA,118)</f>
        <v>0.78</v>
      </c>
      <c r="C51" s="143">
        <f>VLOOKUP($A51,'Data shares'!$C:$FA,119)</f>
        <v>0.82</v>
      </c>
      <c r="D51" s="143">
        <f>VLOOKUP($A51,'Data shares'!$C:$FA,121)*100</f>
        <v>-4.88</v>
      </c>
      <c r="E51" s="143">
        <f>VLOOKUP($A51,'Data shares'!$C:$FA,124)</f>
        <v>0.26</v>
      </c>
      <c r="F51" s="143">
        <f>VLOOKUP($A51,'Data shares'!$C:$FA,125)</f>
        <v>0.28000000000000003</v>
      </c>
      <c r="G51" s="143">
        <f>VLOOKUP($A51,'Data shares'!$C:$FA,127)*100</f>
        <v>-7.1400000000000006</v>
      </c>
      <c r="H51" s="103">
        <f>VLOOKUP($A51,'OI(Volume)'!$A$7:$O$440,8)</f>
        <v>4484625</v>
      </c>
      <c r="I51" s="103">
        <f>VLOOKUP($A51,'OI(Volume)'!$A$7:$O$440,9)</f>
        <v>310500</v>
      </c>
      <c r="J51" s="103">
        <f>VLOOKUP($A51,'OI(Volume)'!$A$7:$O$440,11)</f>
        <v>3490125</v>
      </c>
      <c r="K51" s="103">
        <f>VLOOKUP($A51,'OI(Volume)'!$A$7:$O$440,12)</f>
        <v>58500</v>
      </c>
      <c r="L51" s="103">
        <f>VLOOKUP($A51,'OI(Value)'!$A$7:$O$323,8,0)</f>
        <v>550</v>
      </c>
      <c r="M51" s="103">
        <f>VLOOKUP($A51,'OI(Value)'!$A$7:$O$323,9,0)</f>
        <v>38</v>
      </c>
      <c r="N51" s="103">
        <f>VLOOKUP($A51,'OI(Value)'!$A$7:$O$323,11,0)</f>
        <v>428</v>
      </c>
      <c r="O51" s="103">
        <f>VLOOKUP($A51,'OI(Value)'!$A$7:$O$323,12,0)</f>
        <v>7</v>
      </c>
      <c r="P51" s="179">
        <f>VLOOKUP(A51,'OI(Value)'!A51:O269,8,0)</f>
        <v>550</v>
      </c>
      <c r="Q51" s="179">
        <f>VLOOKUP(A51,'OI(Value)'!A51:O269,9,0)</f>
        <v>38</v>
      </c>
      <c r="R51" s="179">
        <f>VLOOKUP(A51,'OI(Value)'!A51:O269,11,0)</f>
        <v>428</v>
      </c>
      <c r="S51" s="179">
        <f>VLOOKUP(A51,'OI(Value)'!A51:O269,11,0)</f>
        <v>428</v>
      </c>
    </row>
    <row r="52" spans="1:19" x14ac:dyDescent="0.25">
      <c r="A52" s="105" t="str">
        <f>'Data Vlaue (Cr)'!C47</f>
        <v>COALINDIA</v>
      </c>
      <c r="B52" s="143">
        <f>VLOOKUP($A52,'Data shares'!$C:$FA,118)</f>
        <v>0.64</v>
      </c>
      <c r="C52" s="143">
        <f>VLOOKUP($A52,'Data shares'!$C:$FA,119)</f>
        <v>0.55000000000000004</v>
      </c>
      <c r="D52" s="143">
        <f>VLOOKUP($A52,'Data shares'!$C:$FA,121)*100</f>
        <v>16.36</v>
      </c>
      <c r="E52" s="143">
        <f>VLOOKUP($A52,'Data shares'!$C:$FA,124)</f>
        <v>0.37</v>
      </c>
      <c r="F52" s="143">
        <f>VLOOKUP($A52,'Data shares'!$C:$FA,125)</f>
        <v>0.46</v>
      </c>
      <c r="G52" s="143">
        <f>VLOOKUP($A52,'Data shares'!$C:$FA,127)*100</f>
        <v>-19.57</v>
      </c>
      <c r="H52" s="103">
        <f>VLOOKUP($A52,'OI(Volume)'!$A$7:$O$440,8)</f>
        <v>27876150</v>
      </c>
      <c r="I52" s="103">
        <f>VLOOKUP($A52,'OI(Volume)'!$A$7:$O$440,9)</f>
        <v>-1703700</v>
      </c>
      <c r="J52" s="103">
        <f>VLOOKUP($A52,'OI(Volume)'!$A$7:$O$440,11)</f>
        <v>17832150</v>
      </c>
      <c r="K52" s="103">
        <f>VLOOKUP($A52,'OI(Volume)'!$A$7:$O$440,12)</f>
        <v>1606500</v>
      </c>
      <c r="L52" s="103">
        <f>VLOOKUP($A52,'OI(Value)'!$A$7:$O$323,8,0)</f>
        <v>1263</v>
      </c>
      <c r="M52" s="103">
        <f>VLOOKUP($A52,'OI(Value)'!$A$7:$O$323,9,0)</f>
        <v>-77</v>
      </c>
      <c r="N52" s="103">
        <f>VLOOKUP($A52,'OI(Value)'!$A$7:$O$323,11,0)</f>
        <v>808</v>
      </c>
      <c r="O52" s="103">
        <f>VLOOKUP($A52,'OI(Value)'!$A$7:$O$323,12,0)</f>
        <v>73</v>
      </c>
      <c r="P52" s="179">
        <f>VLOOKUP(A52,'OI(Value)'!A52:O270,8,0)</f>
        <v>1263</v>
      </c>
      <c r="Q52" s="179">
        <f>VLOOKUP(A52,'OI(Value)'!A52:O270,9,0)</f>
        <v>-77</v>
      </c>
      <c r="R52" s="179">
        <f>VLOOKUP(A52,'OI(Value)'!A52:O270,11,0)</f>
        <v>808</v>
      </c>
      <c r="S52" s="179">
        <f>VLOOKUP(A52,'OI(Value)'!A52:O270,11,0)</f>
        <v>808</v>
      </c>
    </row>
    <row r="53" spans="1:19" x14ac:dyDescent="0.25">
      <c r="A53" s="105" t="str">
        <f>'Data Vlaue (Cr)'!C48</f>
        <v>COCHINSHIP</v>
      </c>
      <c r="B53" s="143">
        <f>VLOOKUP($A53,'Data shares'!$C:$FA,118)</f>
        <v>0.61</v>
      </c>
      <c r="C53" s="143">
        <f>VLOOKUP($A53,'Data shares'!$C:$FA,119)</f>
        <v>0.64</v>
      </c>
      <c r="D53" s="143">
        <f>VLOOKUP($A53,'Data shares'!$C:$FA,121)*100</f>
        <v>-4.6899999999999995</v>
      </c>
      <c r="E53" s="143">
        <f>VLOOKUP($A53,'Data shares'!$C:$FA,124)</f>
        <v>0.28000000000000003</v>
      </c>
      <c r="F53" s="143">
        <f>VLOOKUP($A53,'Data shares'!$C:$FA,125)</f>
        <v>0.37</v>
      </c>
      <c r="G53" s="143">
        <f>VLOOKUP($A53,'Data shares'!$C:$FA,127)*100</f>
        <v>-24.32</v>
      </c>
      <c r="H53" s="103">
        <f>VLOOKUP($A53,'OI(Volume)'!$A$7:$O$440,8)</f>
        <v>702400</v>
      </c>
      <c r="I53" s="103">
        <f>VLOOKUP($A53,'OI(Volume)'!$A$7:$O$440,9)</f>
        <v>279600</v>
      </c>
      <c r="J53" s="103">
        <f>VLOOKUP($A53,'OI(Volume)'!$A$7:$O$440,11)</f>
        <v>426400</v>
      </c>
      <c r="K53" s="103">
        <f>VLOOKUP($A53,'OI(Volume)'!$A$7:$O$440,12)</f>
        <v>154400</v>
      </c>
      <c r="L53" s="103">
        <f>VLOOKUP($A53,'OI(Value)'!$A$7:$O$323,8,0)</f>
        <v>100</v>
      </c>
      <c r="M53" s="103">
        <f>VLOOKUP($A53,'OI(Value)'!$A$7:$O$323,9,0)</f>
        <v>40</v>
      </c>
      <c r="N53" s="103">
        <f>VLOOKUP($A53,'OI(Value)'!$A$7:$O$323,11,0)</f>
        <v>61</v>
      </c>
      <c r="O53" s="103">
        <f>VLOOKUP($A53,'OI(Value)'!$A$7:$O$323,12,0)</f>
        <v>22</v>
      </c>
      <c r="P53" s="179">
        <f>VLOOKUP(A53,'OI(Value)'!A53:O271,8,0)</f>
        <v>100</v>
      </c>
      <c r="Q53" s="179">
        <f>VLOOKUP(A53,'OI(Value)'!A53:O271,9,0)</f>
        <v>40</v>
      </c>
      <c r="R53" s="179">
        <f>VLOOKUP(A53,'OI(Value)'!A53:O271,11,0)</f>
        <v>61</v>
      </c>
      <c r="S53" s="179">
        <f>VLOOKUP(A53,'OI(Value)'!A53:O271,11,0)</f>
        <v>61</v>
      </c>
    </row>
    <row r="54" spans="1:19" x14ac:dyDescent="0.25">
      <c r="A54" s="105" t="str">
        <f>'Data Vlaue (Cr)'!C49</f>
        <v>COFORGE</v>
      </c>
      <c r="B54" s="143">
        <f>VLOOKUP($A54,'Data shares'!$C:$FA,118)</f>
        <v>0.65</v>
      </c>
      <c r="C54" s="143">
        <f>VLOOKUP($A54,'Data shares'!$C:$FA,119)</f>
        <v>0.62</v>
      </c>
      <c r="D54" s="143">
        <f>VLOOKUP($A54,'Data shares'!$C:$FA,121)*100</f>
        <v>4.84</v>
      </c>
      <c r="E54" s="143">
        <f>VLOOKUP($A54,'Data shares'!$C:$FA,124)</f>
        <v>0.49</v>
      </c>
      <c r="F54" s="143">
        <f>VLOOKUP($A54,'Data shares'!$C:$FA,125)</f>
        <v>0.38</v>
      </c>
      <c r="G54" s="143">
        <f>VLOOKUP($A54,'Data shares'!$C:$FA,127)*100</f>
        <v>28.95</v>
      </c>
      <c r="H54" s="103">
        <f>VLOOKUP($A54,'OI(Volume)'!$A$7:$O$440,8)</f>
        <v>6459375</v>
      </c>
      <c r="I54" s="103">
        <f>VLOOKUP($A54,'OI(Volume)'!$A$7:$O$440,9)</f>
        <v>273750</v>
      </c>
      <c r="J54" s="103">
        <f>VLOOKUP($A54,'OI(Volume)'!$A$7:$O$440,11)</f>
        <v>4205625</v>
      </c>
      <c r="K54" s="103">
        <f>VLOOKUP($A54,'OI(Volume)'!$A$7:$O$440,12)</f>
        <v>378375</v>
      </c>
      <c r="L54" s="103">
        <f>VLOOKUP($A54,'OI(Value)'!$A$7:$O$323,8,0)</f>
        <v>820</v>
      </c>
      <c r="M54" s="103">
        <f>VLOOKUP($A54,'OI(Value)'!$A$7:$O$323,9,0)</f>
        <v>35</v>
      </c>
      <c r="N54" s="103">
        <f>VLOOKUP($A54,'OI(Value)'!$A$7:$O$323,11,0)</f>
        <v>534</v>
      </c>
      <c r="O54" s="103">
        <f>VLOOKUP($A54,'OI(Value)'!$A$7:$O$323,12,0)</f>
        <v>48</v>
      </c>
      <c r="P54" s="179">
        <f>VLOOKUP(A54,'OI(Value)'!A54:O272,8,0)</f>
        <v>820</v>
      </c>
      <c r="Q54" s="179">
        <f>VLOOKUP(A54,'OI(Value)'!A54:O272,9,0)</f>
        <v>35</v>
      </c>
      <c r="R54" s="179">
        <f>VLOOKUP(A54,'OI(Value)'!A54:O272,11,0)</f>
        <v>534</v>
      </c>
      <c r="S54" s="179">
        <f>VLOOKUP(A54,'OI(Value)'!A54:O272,11,0)</f>
        <v>534</v>
      </c>
    </row>
    <row r="55" spans="1:19" x14ac:dyDescent="0.25">
      <c r="A55" s="105" t="str">
        <f>'Data Vlaue (Cr)'!C50</f>
        <v>COLPAL</v>
      </c>
      <c r="B55" s="143">
        <f>VLOOKUP($A55,'Data shares'!$C:$FA,118)</f>
        <v>0.69</v>
      </c>
      <c r="C55" s="143">
        <f>VLOOKUP($A55,'Data shares'!$C:$FA,119)</f>
        <v>0.63</v>
      </c>
      <c r="D55" s="143">
        <f>VLOOKUP($A55,'Data shares'!$C:$FA,121)*100</f>
        <v>9.5200000000000014</v>
      </c>
      <c r="E55" s="143">
        <f>VLOOKUP($A55,'Data shares'!$C:$FA,124)</f>
        <v>0.31</v>
      </c>
      <c r="F55" s="143">
        <f>VLOOKUP($A55,'Data shares'!$C:$FA,125)</f>
        <v>0.28999999999999998</v>
      </c>
      <c r="G55" s="143">
        <f>VLOOKUP($A55,'Data shares'!$C:$FA,127)*100</f>
        <v>6.9</v>
      </c>
      <c r="H55" s="103">
        <f>VLOOKUP($A55,'OI(Volume)'!$A$7:$O$440,8)</f>
        <v>1610550</v>
      </c>
      <c r="I55" s="103">
        <f>VLOOKUP($A55,'OI(Volume)'!$A$7:$O$440,9)</f>
        <v>-96525</v>
      </c>
      <c r="J55" s="103">
        <f>VLOOKUP($A55,'OI(Volume)'!$A$7:$O$440,11)</f>
        <v>1110150</v>
      </c>
      <c r="K55" s="103">
        <f>VLOOKUP($A55,'OI(Volume)'!$A$7:$O$440,12)</f>
        <v>28350</v>
      </c>
      <c r="L55" s="103">
        <f>VLOOKUP($A55,'OI(Value)'!$A$7:$O$323,8,0)</f>
        <v>309</v>
      </c>
      <c r="M55" s="103">
        <f>VLOOKUP($A55,'OI(Value)'!$A$7:$O$323,9,0)</f>
        <v>-18</v>
      </c>
      <c r="N55" s="103">
        <f>VLOOKUP($A55,'OI(Value)'!$A$7:$O$323,11,0)</f>
        <v>213</v>
      </c>
      <c r="O55" s="103">
        <f>VLOOKUP($A55,'OI(Value)'!$A$7:$O$323,12,0)</f>
        <v>5</v>
      </c>
      <c r="P55" s="179">
        <f>VLOOKUP(A55,'OI(Value)'!A55:O273,8,0)</f>
        <v>309</v>
      </c>
      <c r="Q55" s="179">
        <f>VLOOKUP(A55,'OI(Value)'!A55:O273,9,0)</f>
        <v>-18</v>
      </c>
      <c r="R55" s="179">
        <f>VLOOKUP(A55,'OI(Value)'!A55:O273,11,0)</f>
        <v>213</v>
      </c>
      <c r="S55" s="179">
        <f>VLOOKUP(A55,'OI(Value)'!A55:O273,11,0)</f>
        <v>213</v>
      </c>
    </row>
    <row r="56" spans="1:19" x14ac:dyDescent="0.25">
      <c r="A56" s="105" t="str">
        <f>'Data Vlaue (Cr)'!C51</f>
        <v>CONCOR</v>
      </c>
      <c r="B56" s="143">
        <f>VLOOKUP($A56,'Data shares'!$C:$FA,118)</f>
        <v>0.78</v>
      </c>
      <c r="C56" s="143">
        <f>VLOOKUP($A56,'Data shares'!$C:$FA,119)</f>
        <v>0.86</v>
      </c>
      <c r="D56" s="143">
        <f>VLOOKUP($A56,'Data shares'!$C:$FA,121)*100</f>
        <v>-9.3000000000000007</v>
      </c>
      <c r="E56" s="143">
        <f>VLOOKUP($A56,'Data shares'!$C:$FA,124)</f>
        <v>0.21</v>
      </c>
      <c r="F56" s="143">
        <f>VLOOKUP($A56,'Data shares'!$C:$FA,125)</f>
        <v>0.28999999999999998</v>
      </c>
      <c r="G56" s="143">
        <f>VLOOKUP($A56,'Data shares'!$C:$FA,127)*100</f>
        <v>-27.589999999999996</v>
      </c>
      <c r="H56" s="103">
        <f>VLOOKUP($A56,'OI(Volume)'!$A$7:$O$440,8)</f>
        <v>5617500</v>
      </c>
      <c r="I56" s="103">
        <f>VLOOKUP($A56,'OI(Volume)'!$A$7:$O$440,9)</f>
        <v>495000</v>
      </c>
      <c r="J56" s="103">
        <f>VLOOKUP($A56,'OI(Volume)'!$A$7:$O$440,11)</f>
        <v>4383750</v>
      </c>
      <c r="K56" s="103">
        <f>VLOOKUP($A56,'OI(Volume)'!$A$7:$O$440,12)</f>
        <v>-35000</v>
      </c>
      <c r="L56" s="103">
        <f>VLOOKUP($A56,'OI(Value)'!$A$7:$O$323,8,0)</f>
        <v>271</v>
      </c>
      <c r="M56" s="103">
        <f>VLOOKUP($A56,'OI(Value)'!$A$7:$O$323,9,0)</f>
        <v>24</v>
      </c>
      <c r="N56" s="103">
        <f>VLOOKUP($A56,'OI(Value)'!$A$7:$O$323,11,0)</f>
        <v>212</v>
      </c>
      <c r="O56" s="103">
        <f>VLOOKUP($A56,'OI(Value)'!$A$7:$O$323,12,0)</f>
        <v>-2</v>
      </c>
      <c r="P56" s="179">
        <f>VLOOKUP(A56,'OI(Value)'!A56:O274,8,0)</f>
        <v>271</v>
      </c>
      <c r="Q56" s="179">
        <f>VLOOKUP(A56,'OI(Value)'!A56:O274,9,0)</f>
        <v>24</v>
      </c>
      <c r="R56" s="179">
        <f>VLOOKUP(A56,'OI(Value)'!A56:O274,11,0)</f>
        <v>212</v>
      </c>
      <c r="S56" s="179">
        <f>VLOOKUP(A56,'OI(Value)'!A56:O274,11,0)</f>
        <v>212</v>
      </c>
    </row>
    <row r="57" spans="1:19" x14ac:dyDescent="0.25">
      <c r="A57" s="105" t="str">
        <f>'Data Vlaue (Cr)'!C52</f>
        <v>CROMPTON</v>
      </c>
      <c r="B57" s="143">
        <f>VLOOKUP($A57,'Data shares'!$C:$FA,118)</f>
        <v>0.75</v>
      </c>
      <c r="C57" s="143">
        <f>VLOOKUP($A57,'Data shares'!$C:$FA,119)</f>
        <v>0.9</v>
      </c>
      <c r="D57" s="143">
        <f>VLOOKUP($A57,'Data shares'!$C:$FA,121)*100</f>
        <v>-16.669999999999998</v>
      </c>
      <c r="E57" s="143">
        <f>VLOOKUP($A57,'Data shares'!$C:$FA,124)</f>
        <v>0.56000000000000005</v>
      </c>
      <c r="F57" s="143">
        <f>VLOOKUP($A57,'Data shares'!$C:$FA,125)</f>
        <v>0.48</v>
      </c>
      <c r="G57" s="143">
        <f>VLOOKUP($A57,'Data shares'!$C:$FA,127)*100</f>
        <v>16.669999999999998</v>
      </c>
      <c r="H57" s="103">
        <f>VLOOKUP($A57,'OI(Volume)'!$A$7:$O$440,8)</f>
        <v>7417800</v>
      </c>
      <c r="I57" s="103">
        <f>VLOOKUP($A57,'OI(Volume)'!$A$7:$O$440,9)</f>
        <v>1503000</v>
      </c>
      <c r="J57" s="103">
        <f>VLOOKUP($A57,'OI(Volume)'!$A$7:$O$440,11)</f>
        <v>5589000</v>
      </c>
      <c r="K57" s="103">
        <f>VLOOKUP($A57,'OI(Volume)'!$A$7:$O$440,12)</f>
        <v>243000</v>
      </c>
      <c r="L57" s="103">
        <f>VLOOKUP($A57,'OI(Value)'!$A$7:$O$323,8,0)</f>
        <v>177</v>
      </c>
      <c r="M57" s="103">
        <f>VLOOKUP($A57,'OI(Value)'!$A$7:$O$323,9,0)</f>
        <v>36</v>
      </c>
      <c r="N57" s="103">
        <f>VLOOKUP($A57,'OI(Value)'!$A$7:$O$323,11,0)</f>
        <v>133</v>
      </c>
      <c r="O57" s="103">
        <f>VLOOKUP($A57,'OI(Value)'!$A$7:$O$323,12,0)</f>
        <v>6</v>
      </c>
      <c r="P57" s="179">
        <f>VLOOKUP(A57,'OI(Value)'!A57:O275,8,0)</f>
        <v>177</v>
      </c>
      <c r="Q57" s="179">
        <f>VLOOKUP(A57,'OI(Value)'!A57:O275,9,0)</f>
        <v>36</v>
      </c>
      <c r="R57" s="179">
        <f>VLOOKUP(A57,'OI(Value)'!A57:O275,11,0)</f>
        <v>133</v>
      </c>
      <c r="S57" s="179">
        <f>VLOOKUP(A57,'OI(Value)'!A57:O275,11,0)</f>
        <v>133</v>
      </c>
    </row>
    <row r="58" spans="1:19" x14ac:dyDescent="0.25">
      <c r="A58" s="105" t="str">
        <f>'Data Vlaue (Cr)'!C53</f>
        <v>CUMMINSIND</v>
      </c>
      <c r="B58" s="143">
        <f>VLOOKUP($A58,'Data shares'!$C:$FA,118)</f>
        <v>0.65</v>
      </c>
      <c r="C58" s="143">
        <f>VLOOKUP($A58,'Data shares'!$C:$FA,119)</f>
        <v>0.63</v>
      </c>
      <c r="D58" s="143">
        <f>VLOOKUP($A58,'Data shares'!$C:$FA,121)*100</f>
        <v>3.17</v>
      </c>
      <c r="E58" s="143">
        <f>VLOOKUP($A58,'Data shares'!$C:$FA,124)</f>
        <v>0.33</v>
      </c>
      <c r="F58" s="143">
        <f>VLOOKUP($A58,'Data shares'!$C:$FA,125)</f>
        <v>0.26</v>
      </c>
      <c r="G58" s="143">
        <f>VLOOKUP($A58,'Data shares'!$C:$FA,127)*100</f>
        <v>26.919999999999998</v>
      </c>
      <c r="H58" s="103">
        <f>VLOOKUP($A58,'OI(Volume)'!$A$7:$O$440,8)</f>
        <v>907800</v>
      </c>
      <c r="I58" s="103">
        <f>VLOOKUP($A58,'OI(Volume)'!$A$7:$O$440,9)</f>
        <v>101400</v>
      </c>
      <c r="J58" s="103">
        <f>VLOOKUP($A58,'OI(Volume)'!$A$7:$O$440,11)</f>
        <v>588600</v>
      </c>
      <c r="K58" s="103">
        <f>VLOOKUP($A58,'OI(Volume)'!$A$7:$O$440,12)</f>
        <v>79400</v>
      </c>
      <c r="L58" s="103">
        <f>VLOOKUP($A58,'OI(Value)'!$A$7:$O$323,8,0)</f>
        <v>446</v>
      </c>
      <c r="M58" s="103">
        <f>VLOOKUP($A58,'OI(Value)'!$A$7:$O$323,9,0)</f>
        <v>50</v>
      </c>
      <c r="N58" s="103">
        <f>VLOOKUP($A58,'OI(Value)'!$A$7:$O$323,11,0)</f>
        <v>289</v>
      </c>
      <c r="O58" s="103">
        <f>VLOOKUP($A58,'OI(Value)'!$A$7:$O$323,12,0)</f>
        <v>39</v>
      </c>
      <c r="P58" s="179">
        <f>VLOOKUP(A58,'OI(Value)'!A58:O276,8,0)</f>
        <v>446</v>
      </c>
      <c r="Q58" s="179">
        <f>VLOOKUP(A58,'OI(Value)'!A58:O276,9,0)</f>
        <v>50</v>
      </c>
      <c r="R58" s="179">
        <f>VLOOKUP(A58,'OI(Value)'!A58:O276,11,0)</f>
        <v>289</v>
      </c>
      <c r="S58" s="179">
        <f>VLOOKUP(A58,'OI(Value)'!A58:O276,11,0)</f>
        <v>289</v>
      </c>
    </row>
    <row r="59" spans="1:19" x14ac:dyDescent="0.25">
      <c r="A59" s="105" t="str">
        <f>'Data Vlaue (Cr)'!C54</f>
        <v>DABUR</v>
      </c>
      <c r="B59" s="143">
        <f>VLOOKUP($A59,'Data shares'!$C:$FA,118)</f>
        <v>0.75</v>
      </c>
      <c r="C59" s="143">
        <f>VLOOKUP($A59,'Data shares'!$C:$FA,119)</f>
        <v>0.73</v>
      </c>
      <c r="D59" s="143">
        <f>VLOOKUP($A59,'Data shares'!$C:$FA,121)*100</f>
        <v>2.74</v>
      </c>
      <c r="E59" s="143">
        <f>VLOOKUP($A59,'Data shares'!$C:$FA,124)</f>
        <v>0.28999999999999998</v>
      </c>
      <c r="F59" s="143">
        <f>VLOOKUP($A59,'Data shares'!$C:$FA,125)</f>
        <v>0.36</v>
      </c>
      <c r="G59" s="143">
        <f>VLOOKUP($A59,'Data shares'!$C:$FA,127)*100</f>
        <v>-19.439999999999998</v>
      </c>
      <c r="H59" s="103">
        <f>VLOOKUP($A59,'OI(Volume)'!$A$7:$O$440,8)</f>
        <v>7873750</v>
      </c>
      <c r="I59" s="103">
        <f>VLOOKUP($A59,'OI(Volume)'!$A$7:$O$440,9)</f>
        <v>-38750</v>
      </c>
      <c r="J59" s="103">
        <f>VLOOKUP($A59,'OI(Volume)'!$A$7:$O$440,11)</f>
        <v>5912500</v>
      </c>
      <c r="K59" s="103">
        <f>VLOOKUP($A59,'OI(Volume)'!$A$7:$O$440,12)</f>
        <v>128750</v>
      </c>
      <c r="L59" s="103">
        <f>VLOOKUP($A59,'OI(Value)'!$A$7:$O$323,8,0)</f>
        <v>339</v>
      </c>
      <c r="M59" s="103">
        <f>VLOOKUP($A59,'OI(Value)'!$A$7:$O$323,9,0)</f>
        <v>-2</v>
      </c>
      <c r="N59" s="103">
        <f>VLOOKUP($A59,'OI(Value)'!$A$7:$O$323,11,0)</f>
        <v>254</v>
      </c>
      <c r="O59" s="103">
        <f>VLOOKUP($A59,'OI(Value)'!$A$7:$O$323,12,0)</f>
        <v>6</v>
      </c>
      <c r="P59" s="179">
        <f>VLOOKUP(A59,'OI(Value)'!A59:O277,8,0)</f>
        <v>339</v>
      </c>
      <c r="Q59" s="179">
        <f>VLOOKUP(A59,'OI(Value)'!A59:O277,9,0)</f>
        <v>-2</v>
      </c>
      <c r="R59" s="179">
        <f>VLOOKUP(A59,'OI(Value)'!A59:O277,11,0)</f>
        <v>254</v>
      </c>
      <c r="S59" s="179">
        <f>VLOOKUP(A59,'OI(Value)'!A59:O277,11,0)</f>
        <v>254</v>
      </c>
    </row>
    <row r="60" spans="1:19" x14ac:dyDescent="0.25">
      <c r="A60" s="105" t="str">
        <f>'Data Vlaue (Cr)'!C55</f>
        <v>DALBHARAT</v>
      </c>
      <c r="B60" s="143">
        <f>VLOOKUP($A60,'Data shares'!$C:$FA,118)</f>
        <v>1.36</v>
      </c>
      <c r="C60" s="143">
        <f>VLOOKUP($A60,'Data shares'!$C:$FA,119)</f>
        <v>1.38</v>
      </c>
      <c r="D60" s="143">
        <f>VLOOKUP($A60,'Data shares'!$C:$FA,121)*100</f>
        <v>-1.4500000000000002</v>
      </c>
      <c r="E60" s="143">
        <f>VLOOKUP($A60,'Data shares'!$C:$FA,124)</f>
        <v>0.64</v>
      </c>
      <c r="F60" s="143">
        <f>VLOOKUP($A60,'Data shares'!$C:$FA,125)</f>
        <v>1.44</v>
      </c>
      <c r="G60" s="143">
        <f>VLOOKUP($A60,'Data shares'!$C:$FA,127)*100</f>
        <v>-55.559999999999995</v>
      </c>
      <c r="H60" s="103">
        <f>VLOOKUP($A60,'OI(Volume)'!$A$7:$O$440,8)</f>
        <v>654875</v>
      </c>
      <c r="I60" s="103">
        <f>VLOOKUP($A60,'OI(Volume)'!$A$7:$O$440,9)</f>
        <v>18200</v>
      </c>
      <c r="J60" s="103">
        <f>VLOOKUP($A60,'OI(Volume)'!$A$7:$O$440,11)</f>
        <v>892125</v>
      </c>
      <c r="K60" s="103">
        <f>VLOOKUP($A60,'OI(Volume)'!$A$7:$O$440,12)</f>
        <v>12675</v>
      </c>
      <c r="L60" s="103">
        <f>VLOOKUP($A60,'OI(Value)'!$A$7:$O$323,8,0)</f>
        <v>125</v>
      </c>
      <c r="M60" s="103">
        <f>VLOOKUP($A60,'OI(Value)'!$A$7:$O$323,9,0)</f>
        <v>3</v>
      </c>
      <c r="N60" s="103">
        <f>VLOOKUP($A60,'OI(Value)'!$A$7:$O$323,11,0)</f>
        <v>171</v>
      </c>
      <c r="O60" s="103">
        <f>VLOOKUP($A60,'OI(Value)'!$A$7:$O$323,12,0)</f>
        <v>2</v>
      </c>
      <c r="P60" s="179">
        <f>VLOOKUP(A60,'OI(Value)'!A60:O278,8,0)</f>
        <v>125</v>
      </c>
      <c r="Q60" s="179">
        <f>VLOOKUP(A60,'OI(Value)'!A60:O278,9,0)</f>
        <v>3</v>
      </c>
      <c r="R60" s="179">
        <f>VLOOKUP(A60,'OI(Value)'!A60:O278,11,0)</f>
        <v>171</v>
      </c>
      <c r="S60" s="179">
        <f>VLOOKUP(A60,'OI(Value)'!A60:O278,11,0)</f>
        <v>171</v>
      </c>
    </row>
    <row r="61" spans="1:19" x14ac:dyDescent="0.25">
      <c r="A61" s="105" t="str">
        <f>'Data Vlaue (Cr)'!C56</f>
        <v>DELHIVERY</v>
      </c>
      <c r="B61" s="143">
        <f>VLOOKUP($A61,'Data shares'!$C:$FA,118)</f>
        <v>0.56000000000000005</v>
      </c>
      <c r="C61" s="143">
        <f>VLOOKUP($A61,'Data shares'!$C:$FA,119)</f>
        <v>0.51</v>
      </c>
      <c r="D61" s="143">
        <f>VLOOKUP($A61,'Data shares'!$C:$FA,121)*100</f>
        <v>9.8000000000000007</v>
      </c>
      <c r="E61" s="143">
        <f>VLOOKUP($A61,'Data shares'!$C:$FA,124)</f>
        <v>0.4</v>
      </c>
      <c r="F61" s="143">
        <f>VLOOKUP($A61,'Data shares'!$C:$FA,125)</f>
        <v>0.43</v>
      </c>
      <c r="G61" s="143">
        <f>VLOOKUP($A61,'Data shares'!$C:$FA,127)*100</f>
        <v>-6.98</v>
      </c>
      <c r="H61" s="103">
        <f>VLOOKUP($A61,'OI(Volume)'!$A$7:$O$440,8)</f>
        <v>7158750</v>
      </c>
      <c r="I61" s="103">
        <f>VLOOKUP($A61,'OI(Volume)'!$A$7:$O$440,9)</f>
        <v>1282350</v>
      </c>
      <c r="J61" s="103">
        <f>VLOOKUP($A61,'OI(Volume)'!$A$7:$O$440,11)</f>
        <v>3996450</v>
      </c>
      <c r="K61" s="103">
        <f>VLOOKUP($A61,'OI(Volume)'!$A$7:$O$440,12)</f>
        <v>1018825</v>
      </c>
      <c r="L61" s="103">
        <f>VLOOKUP($A61,'OI(Value)'!$A$7:$O$323,8,0)</f>
        <v>337</v>
      </c>
      <c r="M61" s="103">
        <f>VLOOKUP($A61,'OI(Value)'!$A$7:$O$323,9,0)</f>
        <v>60</v>
      </c>
      <c r="N61" s="103">
        <f>VLOOKUP($A61,'OI(Value)'!$A$7:$O$323,11,0)</f>
        <v>188</v>
      </c>
      <c r="O61" s="103">
        <f>VLOOKUP($A61,'OI(Value)'!$A$7:$O$323,12,0)</f>
        <v>48</v>
      </c>
      <c r="P61" s="179">
        <f>VLOOKUP(A61,'OI(Value)'!A61:O279,8,0)</f>
        <v>337</v>
      </c>
      <c r="Q61" s="179">
        <f>VLOOKUP(A61,'OI(Value)'!A61:O279,9,0)</f>
        <v>60</v>
      </c>
      <c r="R61" s="179">
        <f>VLOOKUP(A61,'OI(Value)'!A61:O279,11,0)</f>
        <v>188</v>
      </c>
      <c r="S61" s="179">
        <f>VLOOKUP(A61,'OI(Value)'!A61:O279,11,0)</f>
        <v>188</v>
      </c>
    </row>
    <row r="62" spans="1:19" x14ac:dyDescent="0.25">
      <c r="A62" s="105" t="str">
        <f>'Data Vlaue (Cr)'!C57</f>
        <v>DIVISLAB</v>
      </c>
      <c r="B62" s="143">
        <f>VLOOKUP($A62,'Data shares'!$C:$FA,118)</f>
        <v>1.06</v>
      </c>
      <c r="C62" s="143">
        <f>VLOOKUP($A62,'Data shares'!$C:$FA,119)</f>
        <v>0.99</v>
      </c>
      <c r="D62" s="143">
        <f>VLOOKUP($A62,'Data shares'!$C:$FA,121)*100</f>
        <v>7.07</v>
      </c>
      <c r="E62" s="143">
        <f>VLOOKUP($A62,'Data shares'!$C:$FA,124)</f>
        <v>0.37</v>
      </c>
      <c r="F62" s="143">
        <f>VLOOKUP($A62,'Data shares'!$C:$FA,125)</f>
        <v>0.37</v>
      </c>
      <c r="G62" s="143">
        <f>VLOOKUP($A62,'Data shares'!$C:$FA,127)*100</f>
        <v>0</v>
      </c>
      <c r="H62" s="103">
        <f>VLOOKUP($A62,'OI(Volume)'!$A$7:$O$440,8)</f>
        <v>629700</v>
      </c>
      <c r="I62" s="103">
        <f>VLOOKUP($A62,'OI(Volume)'!$A$7:$O$440,9)</f>
        <v>-30000</v>
      </c>
      <c r="J62" s="103">
        <f>VLOOKUP($A62,'OI(Volume)'!$A$7:$O$440,11)</f>
        <v>670000</v>
      </c>
      <c r="K62" s="103">
        <f>VLOOKUP($A62,'OI(Volume)'!$A$7:$O$440,12)</f>
        <v>14500</v>
      </c>
      <c r="L62" s="103">
        <f>VLOOKUP($A62,'OI(Value)'!$A$7:$O$323,8,0)</f>
        <v>376</v>
      </c>
      <c r="M62" s="103">
        <f>VLOOKUP($A62,'OI(Value)'!$A$7:$O$323,9,0)</f>
        <v>-18</v>
      </c>
      <c r="N62" s="103">
        <f>VLOOKUP($A62,'OI(Value)'!$A$7:$O$323,11,0)</f>
        <v>400</v>
      </c>
      <c r="O62" s="103">
        <f>VLOOKUP($A62,'OI(Value)'!$A$7:$O$323,12,0)</f>
        <v>9</v>
      </c>
      <c r="P62" s="179">
        <f>VLOOKUP(A62,'OI(Value)'!A62:O280,8,0)</f>
        <v>376</v>
      </c>
      <c r="Q62" s="179">
        <f>VLOOKUP(A62,'OI(Value)'!A62:O280,9,0)</f>
        <v>-18</v>
      </c>
      <c r="R62" s="179">
        <f>VLOOKUP(A62,'OI(Value)'!A62:O280,11,0)</f>
        <v>400</v>
      </c>
      <c r="S62" s="179">
        <f>VLOOKUP(A62,'OI(Value)'!A62:O280,11,0)</f>
        <v>400</v>
      </c>
    </row>
    <row r="63" spans="1:19" x14ac:dyDescent="0.25">
      <c r="A63" s="105" t="str">
        <f>'Data Vlaue (Cr)'!C58</f>
        <v>DIXON</v>
      </c>
      <c r="B63" s="143">
        <f>VLOOKUP($A63,'Data shares'!$C:$FA,118)</f>
        <v>0.77</v>
      </c>
      <c r="C63" s="143">
        <f>VLOOKUP($A63,'Data shares'!$C:$FA,119)</f>
        <v>0.74</v>
      </c>
      <c r="D63" s="143">
        <f>VLOOKUP($A63,'Data shares'!$C:$FA,121)*100</f>
        <v>4.05</v>
      </c>
      <c r="E63" s="143">
        <f>VLOOKUP($A63,'Data shares'!$C:$FA,124)</f>
        <v>0.52</v>
      </c>
      <c r="F63" s="143">
        <f>VLOOKUP($A63,'Data shares'!$C:$FA,125)</f>
        <v>0.46</v>
      </c>
      <c r="G63" s="143">
        <f>VLOOKUP($A63,'Data shares'!$C:$FA,127)*100</f>
        <v>13.04</v>
      </c>
      <c r="H63" s="103">
        <f>VLOOKUP($A63,'OI(Volume)'!$A$7:$O$440,8)</f>
        <v>1636950</v>
      </c>
      <c r="I63" s="103">
        <f>VLOOKUP($A63,'OI(Volume)'!$A$7:$O$440,9)</f>
        <v>-20950</v>
      </c>
      <c r="J63" s="103">
        <f>VLOOKUP($A63,'OI(Volume)'!$A$7:$O$440,11)</f>
        <v>1264000</v>
      </c>
      <c r="K63" s="103">
        <f>VLOOKUP($A63,'OI(Volume)'!$A$7:$O$440,12)</f>
        <v>35600</v>
      </c>
      <c r="L63" s="103">
        <f>VLOOKUP($A63,'OI(Value)'!$A$7:$O$323,8,0)</f>
        <v>1745</v>
      </c>
      <c r="M63" s="103">
        <f>VLOOKUP($A63,'OI(Value)'!$A$7:$O$323,9,0)</f>
        <v>-22</v>
      </c>
      <c r="N63" s="103">
        <f>VLOOKUP($A63,'OI(Value)'!$A$7:$O$323,11,0)</f>
        <v>1347</v>
      </c>
      <c r="O63" s="103">
        <f>VLOOKUP($A63,'OI(Value)'!$A$7:$O$323,12,0)</f>
        <v>38</v>
      </c>
      <c r="P63" s="179">
        <f>VLOOKUP(A63,'OI(Value)'!A63:O281,8,0)</f>
        <v>1745</v>
      </c>
      <c r="Q63" s="179">
        <f>VLOOKUP(A63,'OI(Value)'!A63:O281,9,0)</f>
        <v>-22</v>
      </c>
      <c r="R63" s="179">
        <f>VLOOKUP(A63,'OI(Value)'!A63:O281,11,0)</f>
        <v>1347</v>
      </c>
      <c r="S63" s="179">
        <f>VLOOKUP(A63,'OI(Value)'!A63:O281,11,0)</f>
        <v>1347</v>
      </c>
    </row>
    <row r="64" spans="1:19" x14ac:dyDescent="0.25">
      <c r="A64" s="105" t="str">
        <f>'Data Vlaue (Cr)'!C59</f>
        <v>DLF</v>
      </c>
      <c r="B64" s="143">
        <f>VLOOKUP($A64,'Data shares'!$C:$FA,118)</f>
        <v>0.99</v>
      </c>
      <c r="C64" s="143">
        <f>VLOOKUP($A64,'Data shares'!$C:$FA,119)</f>
        <v>1.01</v>
      </c>
      <c r="D64" s="143">
        <f>VLOOKUP($A64,'Data shares'!$C:$FA,121)*100</f>
        <v>-1.9800000000000002</v>
      </c>
      <c r="E64" s="143">
        <f>VLOOKUP($A64,'Data shares'!$C:$FA,124)</f>
        <v>0.63</v>
      </c>
      <c r="F64" s="143">
        <f>VLOOKUP($A64,'Data shares'!$C:$FA,125)</f>
        <v>0.62</v>
      </c>
      <c r="G64" s="143">
        <f>VLOOKUP($A64,'Data shares'!$C:$FA,127)*100</f>
        <v>1.6099999999999999</v>
      </c>
      <c r="H64" s="103">
        <f>VLOOKUP($A64,'OI(Volume)'!$A$7:$O$440,8)</f>
        <v>9537000</v>
      </c>
      <c r="I64" s="103">
        <f>VLOOKUP($A64,'OI(Volume)'!$A$7:$O$440,9)</f>
        <v>445500</v>
      </c>
      <c r="J64" s="103">
        <f>VLOOKUP($A64,'OI(Volume)'!$A$7:$O$440,11)</f>
        <v>9405825</v>
      </c>
      <c r="K64" s="103">
        <f>VLOOKUP($A64,'OI(Volume)'!$A$7:$O$440,12)</f>
        <v>228525</v>
      </c>
      <c r="L64" s="103">
        <f>VLOOKUP($A64,'OI(Value)'!$A$7:$O$323,8,0)</f>
        <v>539</v>
      </c>
      <c r="M64" s="103">
        <f>VLOOKUP($A64,'OI(Value)'!$A$7:$O$323,9,0)</f>
        <v>25</v>
      </c>
      <c r="N64" s="103">
        <f>VLOOKUP($A64,'OI(Value)'!$A$7:$O$323,11,0)</f>
        <v>531</v>
      </c>
      <c r="O64" s="103">
        <f>VLOOKUP($A64,'OI(Value)'!$A$7:$O$323,12,0)</f>
        <v>13</v>
      </c>
      <c r="P64" s="179">
        <f>VLOOKUP(A64,'OI(Value)'!A64:O282,8,0)</f>
        <v>539</v>
      </c>
      <c r="Q64" s="179">
        <f>VLOOKUP(A64,'OI(Value)'!A64:O282,9,0)</f>
        <v>25</v>
      </c>
      <c r="R64" s="179">
        <f>VLOOKUP(A64,'OI(Value)'!A64:O282,11,0)</f>
        <v>531</v>
      </c>
      <c r="S64" s="179">
        <f>VLOOKUP(A64,'OI(Value)'!A64:O282,11,0)</f>
        <v>531</v>
      </c>
    </row>
    <row r="65" spans="1:19" x14ac:dyDescent="0.25">
      <c r="A65" s="105" t="str">
        <f>'Data Vlaue (Cr)'!C60</f>
        <v>DMART</v>
      </c>
      <c r="B65" s="143">
        <f>VLOOKUP($A65,'Data shares'!$C:$FA,118)</f>
        <v>0.81</v>
      </c>
      <c r="C65" s="143">
        <f>VLOOKUP($A65,'Data shares'!$C:$FA,119)</f>
        <v>0.84</v>
      </c>
      <c r="D65" s="143">
        <f>VLOOKUP($A65,'Data shares'!$C:$FA,121)*100</f>
        <v>-3.5700000000000003</v>
      </c>
      <c r="E65" s="143">
        <f>VLOOKUP($A65,'Data shares'!$C:$FA,124)</f>
        <v>0.57999999999999996</v>
      </c>
      <c r="F65" s="143">
        <f>VLOOKUP($A65,'Data shares'!$C:$FA,125)</f>
        <v>0.63</v>
      </c>
      <c r="G65" s="143">
        <f>VLOOKUP($A65,'Data shares'!$C:$FA,127)*100</f>
        <v>-7.9399999999999995</v>
      </c>
      <c r="H65" s="103">
        <f>VLOOKUP($A65,'OI(Volume)'!$A$7:$O$440,8)</f>
        <v>1746900</v>
      </c>
      <c r="I65" s="103">
        <f>VLOOKUP($A65,'OI(Volume)'!$A$7:$O$440,9)</f>
        <v>-95550</v>
      </c>
      <c r="J65" s="103">
        <f>VLOOKUP($A65,'OI(Volume)'!$A$7:$O$440,11)</f>
        <v>1412100</v>
      </c>
      <c r="K65" s="103">
        <f>VLOOKUP($A65,'OI(Volume)'!$A$7:$O$440,12)</f>
        <v>-127350</v>
      </c>
      <c r="L65" s="103">
        <f>VLOOKUP($A65,'OI(Value)'!$A$7:$O$323,8,0)</f>
        <v>774</v>
      </c>
      <c r="M65" s="103">
        <f>VLOOKUP($A65,'OI(Value)'!$A$7:$O$323,9,0)</f>
        <v>-42</v>
      </c>
      <c r="N65" s="103">
        <f>VLOOKUP($A65,'OI(Value)'!$A$7:$O$323,11,0)</f>
        <v>626</v>
      </c>
      <c r="O65" s="103">
        <f>VLOOKUP($A65,'OI(Value)'!$A$7:$O$323,12,0)</f>
        <v>-56</v>
      </c>
      <c r="P65" s="179">
        <f>VLOOKUP(A65,'OI(Value)'!A65:O283,8,0)</f>
        <v>774</v>
      </c>
      <c r="Q65" s="179">
        <f>VLOOKUP(A65,'OI(Value)'!A65:O283,9,0)</f>
        <v>-42</v>
      </c>
      <c r="R65" s="179">
        <f>VLOOKUP(A65,'OI(Value)'!A65:O283,11,0)</f>
        <v>626</v>
      </c>
      <c r="S65" s="179">
        <f>VLOOKUP(A65,'OI(Value)'!A65:O283,11,0)</f>
        <v>626</v>
      </c>
    </row>
    <row r="66" spans="1:19" x14ac:dyDescent="0.25">
      <c r="A66" s="105" t="str">
        <f>'Data Vlaue (Cr)'!C61</f>
        <v>DRREDDY</v>
      </c>
      <c r="B66" s="143">
        <f>VLOOKUP($A66,'Data shares'!$C:$FA,118)</f>
        <v>0.77</v>
      </c>
      <c r="C66" s="143">
        <f>VLOOKUP($A66,'Data shares'!$C:$FA,119)</f>
        <v>0.79</v>
      </c>
      <c r="D66" s="143">
        <f>VLOOKUP($A66,'Data shares'!$C:$FA,121)*100</f>
        <v>-2.5299999999999998</v>
      </c>
      <c r="E66" s="143">
        <f>VLOOKUP($A66,'Data shares'!$C:$FA,124)</f>
        <v>0.67</v>
      </c>
      <c r="F66" s="143">
        <f>VLOOKUP($A66,'Data shares'!$C:$FA,125)</f>
        <v>0.59</v>
      </c>
      <c r="G66" s="143">
        <f>VLOOKUP($A66,'Data shares'!$C:$FA,127)*100</f>
        <v>13.56</v>
      </c>
      <c r="H66" s="103">
        <f>VLOOKUP($A66,'OI(Volume)'!$A$7:$O$440,8)</f>
        <v>5693125</v>
      </c>
      <c r="I66" s="103">
        <f>VLOOKUP($A66,'OI(Volume)'!$A$7:$O$440,9)</f>
        <v>-758125</v>
      </c>
      <c r="J66" s="103">
        <f>VLOOKUP($A66,'OI(Volume)'!$A$7:$O$440,11)</f>
        <v>4359375</v>
      </c>
      <c r="K66" s="103">
        <f>VLOOKUP($A66,'OI(Volume)'!$A$7:$O$440,12)</f>
        <v>-744375</v>
      </c>
      <c r="L66" s="103">
        <f>VLOOKUP($A66,'OI(Value)'!$A$7:$O$323,8,0)</f>
        <v>693</v>
      </c>
      <c r="M66" s="103">
        <f>VLOOKUP($A66,'OI(Value)'!$A$7:$O$323,9,0)</f>
        <v>-92</v>
      </c>
      <c r="N66" s="103">
        <f>VLOOKUP($A66,'OI(Value)'!$A$7:$O$323,11,0)</f>
        <v>530</v>
      </c>
      <c r="O66" s="103">
        <f>VLOOKUP($A66,'OI(Value)'!$A$7:$O$323,12,0)</f>
        <v>-91</v>
      </c>
      <c r="P66" s="179">
        <f>VLOOKUP(A66,'OI(Value)'!A66:O284,8,0)</f>
        <v>693</v>
      </c>
      <c r="Q66" s="179">
        <f>VLOOKUP(A66,'OI(Value)'!A66:O284,9,0)</f>
        <v>-92</v>
      </c>
      <c r="R66" s="179">
        <f>VLOOKUP(A66,'OI(Value)'!A66:O284,11,0)</f>
        <v>530</v>
      </c>
      <c r="S66" s="179">
        <f>VLOOKUP(A66,'OI(Value)'!A66:O284,11,0)</f>
        <v>530</v>
      </c>
    </row>
    <row r="67" spans="1:19" x14ac:dyDescent="0.25">
      <c r="A67" s="105" t="str">
        <f>'Data Vlaue (Cr)'!C62</f>
        <v>EICHERMOT</v>
      </c>
      <c r="B67" s="143">
        <f>VLOOKUP($A67,'Data shares'!$C:$FA,118)</f>
        <v>0.88</v>
      </c>
      <c r="C67" s="143">
        <f>VLOOKUP($A67,'Data shares'!$C:$FA,119)</f>
        <v>0.78</v>
      </c>
      <c r="D67" s="143">
        <f>VLOOKUP($A67,'Data shares'!$C:$FA,121)*100</f>
        <v>12.82</v>
      </c>
      <c r="E67" s="143">
        <f>VLOOKUP($A67,'Data shares'!$C:$FA,124)</f>
        <v>0.79</v>
      </c>
      <c r="F67" s="143">
        <f>VLOOKUP($A67,'Data shares'!$C:$FA,125)</f>
        <v>0.44</v>
      </c>
      <c r="G67" s="143">
        <f>VLOOKUP($A67,'Data shares'!$C:$FA,127)*100</f>
        <v>79.55</v>
      </c>
      <c r="H67" s="103">
        <f>VLOOKUP($A67,'OI(Volume)'!$A$7:$O$440,8)</f>
        <v>1401800</v>
      </c>
      <c r="I67" s="103">
        <f>VLOOKUP($A67,'OI(Volume)'!$A$7:$O$440,9)</f>
        <v>12900</v>
      </c>
      <c r="J67" s="103">
        <f>VLOOKUP($A67,'OI(Volume)'!$A$7:$O$440,11)</f>
        <v>1233300</v>
      </c>
      <c r="K67" s="103">
        <f>VLOOKUP($A67,'OI(Volume)'!$A$7:$O$440,12)</f>
        <v>154300</v>
      </c>
      <c r="L67" s="103">
        <f>VLOOKUP($A67,'OI(Value)'!$A$7:$O$323,8,0)</f>
        <v>1004</v>
      </c>
      <c r="M67" s="103">
        <f>VLOOKUP($A67,'OI(Value)'!$A$7:$O$323,9,0)</f>
        <v>9</v>
      </c>
      <c r="N67" s="103">
        <f>VLOOKUP($A67,'OI(Value)'!$A$7:$O$323,11,0)</f>
        <v>883</v>
      </c>
      <c r="O67" s="103">
        <f>VLOOKUP($A67,'OI(Value)'!$A$7:$O$323,12,0)</f>
        <v>110</v>
      </c>
      <c r="P67" s="179">
        <f>VLOOKUP(A67,'OI(Value)'!A67:O285,8,0)</f>
        <v>1004</v>
      </c>
      <c r="Q67" s="179">
        <f>VLOOKUP(A67,'OI(Value)'!A67:O285,9,0)</f>
        <v>9</v>
      </c>
      <c r="R67" s="179">
        <f>VLOOKUP(A67,'OI(Value)'!A67:O285,11,0)</f>
        <v>883</v>
      </c>
      <c r="S67" s="179">
        <f>VLOOKUP(A67,'OI(Value)'!A67:O285,11,0)</f>
        <v>883</v>
      </c>
    </row>
    <row r="68" spans="1:19" x14ac:dyDescent="0.25">
      <c r="A68" s="105" t="str">
        <f>'Data Vlaue (Cr)'!C63</f>
        <v>ETERNAL</v>
      </c>
      <c r="B68" s="143">
        <f>VLOOKUP($A68,'Data shares'!$C:$FA,118)</f>
        <v>0.69</v>
      </c>
      <c r="C68" s="143">
        <f>VLOOKUP($A68,'Data shares'!$C:$FA,119)</f>
        <v>0.76</v>
      </c>
      <c r="D68" s="143">
        <f>VLOOKUP($A68,'Data shares'!$C:$FA,121)*100</f>
        <v>-9.2100000000000009</v>
      </c>
      <c r="E68" s="143">
        <f>VLOOKUP($A68,'Data shares'!$C:$FA,124)</f>
        <v>0.5</v>
      </c>
      <c r="F68" s="143">
        <f>VLOOKUP($A68,'Data shares'!$C:$FA,125)</f>
        <v>0.47</v>
      </c>
      <c r="G68" s="143">
        <f>VLOOKUP($A68,'Data shares'!$C:$FA,127)*100</f>
        <v>6.38</v>
      </c>
      <c r="H68" s="103">
        <f>VLOOKUP($A68,'OI(Volume)'!$A$7:$O$440,8)</f>
        <v>56897775</v>
      </c>
      <c r="I68" s="103">
        <f>VLOOKUP($A68,'OI(Volume)'!$A$7:$O$440,9)</f>
        <v>6811825</v>
      </c>
      <c r="J68" s="103">
        <f>VLOOKUP($A68,'OI(Volume)'!$A$7:$O$440,11)</f>
        <v>39382000</v>
      </c>
      <c r="K68" s="103">
        <f>VLOOKUP($A68,'OI(Volume)'!$A$7:$O$440,12)</f>
        <v>1413775</v>
      </c>
      <c r="L68" s="103">
        <f>VLOOKUP($A68,'OI(Value)'!$A$7:$O$323,8,0)</f>
        <v>1359</v>
      </c>
      <c r="M68" s="103">
        <f>VLOOKUP($A68,'OI(Value)'!$A$7:$O$323,9,0)</f>
        <v>163</v>
      </c>
      <c r="N68" s="103">
        <f>VLOOKUP($A68,'OI(Value)'!$A$7:$O$323,11,0)</f>
        <v>941</v>
      </c>
      <c r="O68" s="103">
        <f>VLOOKUP($A68,'OI(Value)'!$A$7:$O$323,12,0)</f>
        <v>34</v>
      </c>
      <c r="P68" s="179">
        <f>VLOOKUP(A68,'OI(Value)'!A68:O286,8,0)</f>
        <v>1359</v>
      </c>
      <c r="Q68" s="179">
        <f>VLOOKUP(A68,'OI(Value)'!A68:O286,9,0)</f>
        <v>163</v>
      </c>
      <c r="R68" s="179">
        <f>VLOOKUP(A68,'OI(Value)'!A68:O286,11,0)</f>
        <v>941</v>
      </c>
      <c r="S68" s="179">
        <f>VLOOKUP(A68,'OI(Value)'!A68:O286,11,0)</f>
        <v>941</v>
      </c>
    </row>
    <row r="69" spans="1:19" x14ac:dyDescent="0.25">
      <c r="A69" s="105" t="str">
        <f>'Data Vlaue (Cr)'!C64</f>
        <v>EXIDEIND</v>
      </c>
      <c r="B69" s="143">
        <f>VLOOKUP($A69,'Data shares'!$C:$FA,118)</f>
        <v>0.97</v>
      </c>
      <c r="C69" s="143">
        <f>VLOOKUP($A69,'Data shares'!$C:$FA,119)</f>
        <v>0.85</v>
      </c>
      <c r="D69" s="143">
        <f>VLOOKUP($A69,'Data shares'!$C:$FA,121)*100</f>
        <v>14.12</v>
      </c>
      <c r="E69" s="143">
        <f>VLOOKUP($A69,'Data shares'!$C:$FA,124)</f>
        <v>1.1599999999999999</v>
      </c>
      <c r="F69" s="143">
        <f>VLOOKUP($A69,'Data shares'!$C:$FA,125)</f>
        <v>0.41</v>
      </c>
      <c r="G69" s="143">
        <f>VLOOKUP($A69,'Data shares'!$C:$FA,127)*100</f>
        <v>182.93</v>
      </c>
      <c r="H69" s="103">
        <f>VLOOKUP($A69,'OI(Volume)'!$A$7:$O$440,8)</f>
        <v>11188800</v>
      </c>
      <c r="I69" s="103">
        <f>VLOOKUP($A69,'OI(Volume)'!$A$7:$O$440,9)</f>
        <v>1906200</v>
      </c>
      <c r="J69" s="103">
        <f>VLOOKUP($A69,'OI(Volume)'!$A$7:$O$440,11)</f>
        <v>10839600</v>
      </c>
      <c r="K69" s="103">
        <f>VLOOKUP($A69,'OI(Volume)'!$A$7:$O$440,12)</f>
        <v>2968200</v>
      </c>
      <c r="L69" s="103">
        <f>VLOOKUP($A69,'OI(Value)'!$A$7:$O$323,8,0)</f>
        <v>349</v>
      </c>
      <c r="M69" s="103">
        <f>VLOOKUP($A69,'OI(Value)'!$A$7:$O$323,9,0)</f>
        <v>59</v>
      </c>
      <c r="N69" s="103">
        <f>VLOOKUP($A69,'OI(Value)'!$A$7:$O$323,11,0)</f>
        <v>338</v>
      </c>
      <c r="O69" s="103">
        <f>VLOOKUP($A69,'OI(Value)'!$A$7:$O$323,12,0)</f>
        <v>93</v>
      </c>
      <c r="P69" s="179">
        <f>VLOOKUP(A69,'OI(Value)'!A69:O287,8,0)</f>
        <v>349</v>
      </c>
      <c r="Q69" s="179">
        <f>VLOOKUP(A69,'OI(Value)'!A69:O287,9,0)</f>
        <v>59</v>
      </c>
      <c r="R69" s="179">
        <f>VLOOKUP(A69,'OI(Value)'!A69:O287,11,0)</f>
        <v>338</v>
      </c>
      <c r="S69" s="179">
        <f>VLOOKUP(A69,'OI(Value)'!A69:O287,11,0)</f>
        <v>338</v>
      </c>
    </row>
    <row r="70" spans="1:19" x14ac:dyDescent="0.25">
      <c r="A70" s="105" t="str">
        <f>'Data Vlaue (Cr)'!C65</f>
        <v>FEDERALBNK</v>
      </c>
      <c r="B70" s="143">
        <f>VLOOKUP($A70,'Data shares'!$C:$FA,118)</f>
        <v>0.93</v>
      </c>
      <c r="C70" s="143">
        <f>VLOOKUP($A70,'Data shares'!$C:$FA,119)</f>
        <v>0.93</v>
      </c>
      <c r="D70" s="143">
        <f>VLOOKUP($A70,'Data shares'!$C:$FA,121)*100</f>
        <v>0</v>
      </c>
      <c r="E70" s="143">
        <f>VLOOKUP($A70,'Data shares'!$C:$FA,124)</f>
        <v>0.59</v>
      </c>
      <c r="F70" s="143">
        <f>VLOOKUP($A70,'Data shares'!$C:$FA,125)</f>
        <v>0.64</v>
      </c>
      <c r="G70" s="143">
        <f>VLOOKUP($A70,'Data shares'!$C:$FA,127)*100</f>
        <v>-7.8100000000000005</v>
      </c>
      <c r="H70" s="103">
        <f>VLOOKUP($A70,'OI(Volume)'!$A$7:$O$440,8)</f>
        <v>23530000</v>
      </c>
      <c r="I70" s="103">
        <f>VLOOKUP($A70,'OI(Volume)'!$A$7:$O$440,9)</f>
        <v>450000</v>
      </c>
      <c r="J70" s="103">
        <f>VLOOKUP($A70,'OI(Volume)'!$A$7:$O$440,11)</f>
        <v>21775000</v>
      </c>
      <c r="K70" s="103">
        <f>VLOOKUP($A70,'OI(Volume)'!$A$7:$O$440,12)</f>
        <v>250000</v>
      </c>
      <c r="L70" s="103">
        <f>VLOOKUP($A70,'OI(Value)'!$A$7:$O$323,8,0)</f>
        <v>668</v>
      </c>
      <c r="M70" s="103">
        <f>VLOOKUP($A70,'OI(Value)'!$A$7:$O$323,9,0)</f>
        <v>13</v>
      </c>
      <c r="N70" s="103">
        <f>VLOOKUP($A70,'OI(Value)'!$A$7:$O$323,11,0)</f>
        <v>618</v>
      </c>
      <c r="O70" s="103">
        <f>VLOOKUP($A70,'OI(Value)'!$A$7:$O$323,12,0)</f>
        <v>7</v>
      </c>
      <c r="P70" s="179">
        <f>VLOOKUP(A70,'OI(Value)'!A70:O288,8,0)</f>
        <v>668</v>
      </c>
      <c r="Q70" s="179">
        <f>VLOOKUP(A70,'OI(Value)'!A70:O288,9,0)</f>
        <v>13</v>
      </c>
      <c r="R70" s="179">
        <f>VLOOKUP(A70,'OI(Value)'!A70:O288,11,0)</f>
        <v>618</v>
      </c>
      <c r="S70" s="179">
        <f>VLOOKUP(A70,'OI(Value)'!A70:O288,11,0)</f>
        <v>618</v>
      </c>
    </row>
    <row r="71" spans="1:19" x14ac:dyDescent="0.25">
      <c r="A71" s="105" t="str">
        <f>'Data Vlaue (Cr)'!C66</f>
        <v>FINNIFTY</v>
      </c>
      <c r="B71" s="143">
        <f>VLOOKUP($A71,'Data shares'!$C:$FA,118)</f>
        <v>0.89</v>
      </c>
      <c r="C71" s="143">
        <f>VLOOKUP($A71,'Data shares'!$C:$FA,119)</f>
        <v>0.76</v>
      </c>
      <c r="D71" s="143">
        <f>VLOOKUP($A71,'Data shares'!$C:$FA,121)*100</f>
        <v>17.11</v>
      </c>
      <c r="E71" s="143">
        <f>VLOOKUP($A71,'Data shares'!$C:$FA,124)</f>
        <v>0.92</v>
      </c>
      <c r="F71" s="143">
        <f>VLOOKUP($A71,'Data shares'!$C:$FA,125)</f>
        <v>0.45</v>
      </c>
      <c r="G71" s="143">
        <f>VLOOKUP($A71,'Data shares'!$C:$FA,127)*100</f>
        <v>104.44</v>
      </c>
      <c r="H71" s="103">
        <f>VLOOKUP($A71,'OI(Volume)'!$A$7:$O$440,8)</f>
        <v>123120</v>
      </c>
      <c r="I71" s="103">
        <f>VLOOKUP($A71,'OI(Volume)'!$A$7:$O$440,9)</f>
        <v>10380</v>
      </c>
      <c r="J71" s="103">
        <f>VLOOKUP($A71,'OI(Volume)'!$A$7:$O$440,11)</f>
        <v>109320</v>
      </c>
      <c r="K71" s="103">
        <f>VLOOKUP($A71,'OI(Volume)'!$A$7:$O$440,12)</f>
        <v>24000</v>
      </c>
      <c r="L71" s="103">
        <f>VLOOKUP($A71,'OI(Value)'!$A$7:$O$323,8,0)</f>
        <v>318</v>
      </c>
      <c r="M71" s="103">
        <f>VLOOKUP($A71,'OI(Value)'!$A$7:$O$323,9,0)</f>
        <v>27</v>
      </c>
      <c r="N71" s="103">
        <f>VLOOKUP($A71,'OI(Value)'!$A$7:$O$323,11,0)</f>
        <v>282</v>
      </c>
      <c r="O71" s="103">
        <f>VLOOKUP($A71,'OI(Value)'!$A$7:$O$323,12,0)</f>
        <v>62</v>
      </c>
      <c r="P71" s="179">
        <f>VLOOKUP(A71,'OI(Value)'!A71:O289,8,0)</f>
        <v>318</v>
      </c>
      <c r="Q71" s="179">
        <f>VLOOKUP(A71,'OI(Value)'!A71:O289,9,0)</f>
        <v>27</v>
      </c>
      <c r="R71" s="179">
        <f>VLOOKUP(A71,'OI(Value)'!A71:O289,11,0)</f>
        <v>282</v>
      </c>
      <c r="S71" s="179">
        <f>VLOOKUP(A71,'OI(Value)'!A71:O289,11,0)</f>
        <v>282</v>
      </c>
    </row>
    <row r="72" spans="1:19" x14ac:dyDescent="0.25">
      <c r="A72" s="105" t="str">
        <f>'Data Vlaue (Cr)'!C67</f>
        <v>FORCEMOT</v>
      </c>
      <c r="B72" s="143">
        <f>VLOOKUP($A72,'Data shares'!$C:$FA,118)</f>
        <v>0.52</v>
      </c>
      <c r="C72" s="143">
        <f>VLOOKUP($A72,'Data shares'!$C:$FA,119)</f>
        <v>0.52</v>
      </c>
      <c r="D72" s="143">
        <f>VLOOKUP($A72,'Data shares'!$C:$FA,121)*100</f>
        <v>0</v>
      </c>
      <c r="E72" s="143">
        <f>VLOOKUP($A72,'Data shares'!$C:$FA,124)</f>
        <v>0.61</v>
      </c>
      <c r="F72" s="143">
        <f>VLOOKUP($A72,'Data shares'!$C:$FA,125)</f>
        <v>0.28000000000000003</v>
      </c>
      <c r="G72" s="143">
        <f>VLOOKUP($A72,'Data shares'!$C:$FA,127)*100</f>
        <v>117.86000000000001</v>
      </c>
      <c r="H72" s="103">
        <f>VLOOKUP($A72,'OI(Volume)'!$A$7:$O$440,8)</f>
        <v>36450</v>
      </c>
      <c r="I72" s="103">
        <f>VLOOKUP($A72,'OI(Volume)'!$A$7:$O$440,9)</f>
        <v>4100</v>
      </c>
      <c r="J72" s="103">
        <f>VLOOKUP($A72,'OI(Volume)'!$A$7:$O$440,11)</f>
        <v>19050</v>
      </c>
      <c r="K72" s="103">
        <f>VLOOKUP($A72,'OI(Volume)'!$A$7:$O$440,12)</f>
        <v>2075</v>
      </c>
      <c r="L72" s="103">
        <f>VLOOKUP($A72,'OI(Value)'!$A$7:$O$323,8,0)</f>
        <v>81</v>
      </c>
      <c r="M72" s="103">
        <f>VLOOKUP($A72,'OI(Value)'!$A$7:$O$323,9,0)</f>
        <v>9</v>
      </c>
      <c r="N72" s="103">
        <f>VLOOKUP($A72,'OI(Value)'!$A$7:$O$323,11,0)</f>
        <v>42</v>
      </c>
      <c r="O72" s="103">
        <f>VLOOKUP($A72,'OI(Value)'!$A$7:$O$323,12,0)</f>
        <v>5</v>
      </c>
      <c r="P72" s="179">
        <f>VLOOKUP(A72,'OI(Value)'!A72:O290,8,0)</f>
        <v>81</v>
      </c>
      <c r="Q72" s="179">
        <f>VLOOKUP(A72,'OI(Value)'!A72:O290,9,0)</f>
        <v>9</v>
      </c>
      <c r="R72" s="179">
        <f>VLOOKUP(A72,'OI(Value)'!A72:O290,11,0)</f>
        <v>42</v>
      </c>
      <c r="S72" s="179">
        <f>VLOOKUP(A72,'OI(Value)'!A72:O290,11,0)</f>
        <v>42</v>
      </c>
    </row>
    <row r="73" spans="1:19" x14ac:dyDescent="0.25">
      <c r="A73" s="105" t="str">
        <f>'Data Vlaue (Cr)'!C68</f>
        <v>FORTIS</v>
      </c>
      <c r="B73" s="143">
        <f>VLOOKUP($A73,'Data shares'!$C:$FA,118)</f>
        <v>0.7</v>
      </c>
      <c r="C73" s="143">
        <f>VLOOKUP($A73,'Data shares'!$C:$FA,119)</f>
        <v>0.64</v>
      </c>
      <c r="D73" s="143">
        <f>VLOOKUP($A73,'Data shares'!$C:$FA,121)*100</f>
        <v>9.370000000000001</v>
      </c>
      <c r="E73" s="143">
        <f>VLOOKUP($A73,'Data shares'!$C:$FA,124)</f>
        <v>0.27</v>
      </c>
      <c r="F73" s="143">
        <f>VLOOKUP($A73,'Data shares'!$C:$FA,125)</f>
        <v>0.47</v>
      </c>
      <c r="G73" s="143">
        <f>VLOOKUP($A73,'Data shares'!$C:$FA,127)*100</f>
        <v>-42.55</v>
      </c>
      <c r="H73" s="103">
        <f>VLOOKUP($A73,'OI(Volume)'!$A$7:$O$440,8)</f>
        <v>1756150</v>
      </c>
      <c r="I73" s="103">
        <f>VLOOKUP($A73,'OI(Volume)'!$A$7:$O$440,9)</f>
        <v>-87575</v>
      </c>
      <c r="J73" s="103">
        <f>VLOOKUP($A73,'OI(Volume)'!$A$7:$O$440,11)</f>
        <v>1229150</v>
      </c>
      <c r="K73" s="103">
        <f>VLOOKUP($A73,'OI(Volume)'!$A$7:$O$440,12)</f>
        <v>41850</v>
      </c>
      <c r="L73" s="103">
        <f>VLOOKUP($A73,'OI(Value)'!$A$7:$O$323,8,0)</f>
        <v>150</v>
      </c>
      <c r="M73" s="103">
        <f>VLOOKUP($A73,'OI(Value)'!$A$7:$O$323,9,0)</f>
        <v>-7</v>
      </c>
      <c r="N73" s="103">
        <f>VLOOKUP($A73,'OI(Value)'!$A$7:$O$323,11,0)</f>
        <v>105</v>
      </c>
      <c r="O73" s="103">
        <f>VLOOKUP($A73,'OI(Value)'!$A$7:$O$323,12,0)</f>
        <v>4</v>
      </c>
      <c r="P73" s="179">
        <f>VLOOKUP(A73,'OI(Value)'!A73:O291,8,0)</f>
        <v>150</v>
      </c>
      <c r="Q73" s="179">
        <f>VLOOKUP(A73,'OI(Value)'!A73:O291,9,0)</f>
        <v>-7</v>
      </c>
      <c r="R73" s="179">
        <f>VLOOKUP(A73,'OI(Value)'!A73:O291,11,0)</f>
        <v>105</v>
      </c>
      <c r="S73" s="179">
        <f>VLOOKUP(A73,'OI(Value)'!A73:O291,11,0)</f>
        <v>105</v>
      </c>
    </row>
    <row r="74" spans="1:19" x14ac:dyDescent="0.25">
      <c r="A74" s="105" t="str">
        <f>'Data Vlaue (Cr)'!C69</f>
        <v>GAIL</v>
      </c>
      <c r="B74" s="143">
        <f>VLOOKUP($A74,'Data shares'!$C:$FA,118)</f>
        <v>1.1100000000000001</v>
      </c>
      <c r="C74" s="143">
        <f>VLOOKUP($A74,'Data shares'!$C:$FA,119)</f>
        <v>1.1100000000000001</v>
      </c>
      <c r="D74" s="143">
        <f>VLOOKUP($A74,'Data shares'!$C:$FA,121)*100</f>
        <v>0</v>
      </c>
      <c r="E74" s="143">
        <f>VLOOKUP($A74,'Data shares'!$C:$FA,124)</f>
        <v>0.67</v>
      </c>
      <c r="F74" s="143">
        <f>VLOOKUP($A74,'Data shares'!$C:$FA,125)</f>
        <v>0.75</v>
      </c>
      <c r="G74" s="143">
        <f>VLOOKUP($A74,'Data shares'!$C:$FA,127)*100</f>
        <v>-10.67</v>
      </c>
      <c r="H74" s="103">
        <f>VLOOKUP($A74,'OI(Volume)'!$A$7:$O$440,8)</f>
        <v>26809650</v>
      </c>
      <c r="I74" s="103">
        <f>VLOOKUP($A74,'OI(Volume)'!$A$7:$O$440,9)</f>
        <v>110250</v>
      </c>
      <c r="J74" s="103">
        <f>VLOOKUP($A74,'OI(Volume)'!$A$7:$O$440,11)</f>
        <v>29808450</v>
      </c>
      <c r="K74" s="103">
        <f>VLOOKUP($A74,'OI(Volume)'!$A$7:$O$440,12)</f>
        <v>94500</v>
      </c>
      <c r="L74" s="103">
        <f>VLOOKUP($A74,'OI(Value)'!$A$7:$O$323,8,0)</f>
        <v>409</v>
      </c>
      <c r="M74" s="103">
        <f>VLOOKUP($A74,'OI(Value)'!$A$7:$O$323,9,0)</f>
        <v>2</v>
      </c>
      <c r="N74" s="103">
        <f>VLOOKUP($A74,'OI(Value)'!$A$7:$O$323,11,0)</f>
        <v>455</v>
      </c>
      <c r="O74" s="103">
        <f>VLOOKUP($A74,'OI(Value)'!$A$7:$O$323,12,0)</f>
        <v>1</v>
      </c>
      <c r="P74" s="179">
        <f>VLOOKUP(A74,'OI(Value)'!A74:O292,8,0)</f>
        <v>409</v>
      </c>
      <c r="Q74" s="179">
        <f>VLOOKUP(A74,'OI(Value)'!A74:O292,9,0)</f>
        <v>2</v>
      </c>
      <c r="R74" s="179">
        <f>VLOOKUP(A74,'OI(Value)'!A74:O292,11,0)</f>
        <v>455</v>
      </c>
      <c r="S74" s="179">
        <f>VLOOKUP(A74,'OI(Value)'!A74:O292,11,0)</f>
        <v>455</v>
      </c>
    </row>
    <row r="75" spans="1:19" x14ac:dyDescent="0.25">
      <c r="A75" s="105" t="str">
        <f>'Data Vlaue (Cr)'!C70</f>
        <v>GLENMARK</v>
      </c>
      <c r="B75" s="143">
        <f>VLOOKUP($A75,'Data shares'!$C:$FA,118)</f>
        <v>0.59</v>
      </c>
      <c r="C75" s="143">
        <f>VLOOKUP($A75,'Data shares'!$C:$FA,119)</f>
        <v>0.56999999999999995</v>
      </c>
      <c r="D75" s="143">
        <f>VLOOKUP($A75,'Data shares'!$C:$FA,121)*100</f>
        <v>3.51</v>
      </c>
      <c r="E75" s="143">
        <f>VLOOKUP($A75,'Data shares'!$C:$FA,124)</f>
        <v>0.76</v>
      </c>
      <c r="F75" s="143">
        <f>VLOOKUP($A75,'Data shares'!$C:$FA,125)</f>
        <v>0.46</v>
      </c>
      <c r="G75" s="143">
        <f>VLOOKUP($A75,'Data shares'!$C:$FA,127)*100</f>
        <v>65.22</v>
      </c>
      <c r="H75" s="103">
        <f>VLOOKUP($A75,'OI(Volume)'!$A$7:$O$440,8)</f>
        <v>1429125</v>
      </c>
      <c r="I75" s="103">
        <f>VLOOKUP($A75,'OI(Volume)'!$A$7:$O$440,9)</f>
        <v>61500</v>
      </c>
      <c r="J75" s="103">
        <f>VLOOKUP($A75,'OI(Volume)'!$A$7:$O$440,11)</f>
        <v>836625</v>
      </c>
      <c r="K75" s="103">
        <f>VLOOKUP($A75,'OI(Volume)'!$A$7:$O$440,12)</f>
        <v>60750</v>
      </c>
      <c r="L75" s="103">
        <f>VLOOKUP($A75,'OI(Value)'!$A$7:$O$323,8,0)</f>
        <v>311</v>
      </c>
      <c r="M75" s="103">
        <f>VLOOKUP($A75,'OI(Value)'!$A$7:$O$323,9,0)</f>
        <v>13</v>
      </c>
      <c r="N75" s="103">
        <f>VLOOKUP($A75,'OI(Value)'!$A$7:$O$323,11,0)</f>
        <v>182</v>
      </c>
      <c r="O75" s="103">
        <f>VLOOKUP($A75,'OI(Value)'!$A$7:$O$323,12,0)</f>
        <v>13</v>
      </c>
      <c r="P75" s="179">
        <f>VLOOKUP(A75,'OI(Value)'!A75:O293,8,0)</f>
        <v>311</v>
      </c>
      <c r="Q75" s="179">
        <f>VLOOKUP(A75,'OI(Value)'!A75:O293,9,0)</f>
        <v>13</v>
      </c>
      <c r="R75" s="179">
        <f>VLOOKUP(A75,'OI(Value)'!A75:O293,11,0)</f>
        <v>182</v>
      </c>
      <c r="S75" s="179">
        <f>VLOOKUP(A75,'OI(Value)'!A75:O293,11,0)</f>
        <v>182</v>
      </c>
    </row>
    <row r="76" spans="1:19" x14ac:dyDescent="0.25">
      <c r="A76" s="105" t="str">
        <f>'Data Vlaue (Cr)'!C71</f>
        <v>GMRAIRPORT</v>
      </c>
      <c r="B76" s="143">
        <f>VLOOKUP($A76,'Data shares'!$C:$FA,118)</f>
        <v>0.77</v>
      </c>
      <c r="C76" s="143">
        <f>VLOOKUP($A76,'Data shares'!$C:$FA,119)</f>
        <v>0.86</v>
      </c>
      <c r="D76" s="143">
        <f>VLOOKUP($A76,'Data shares'!$C:$FA,121)*100</f>
        <v>-10.47</v>
      </c>
      <c r="E76" s="143">
        <f>VLOOKUP($A76,'Data shares'!$C:$FA,124)</f>
        <v>0.5</v>
      </c>
      <c r="F76" s="143">
        <f>VLOOKUP($A76,'Data shares'!$C:$FA,125)</f>
        <v>0.59</v>
      </c>
      <c r="G76" s="143">
        <f>VLOOKUP($A76,'Data shares'!$C:$FA,127)*100</f>
        <v>-15.25</v>
      </c>
      <c r="H76" s="103">
        <f>VLOOKUP($A76,'OI(Volume)'!$A$7:$O$440,8)</f>
        <v>30948075</v>
      </c>
      <c r="I76" s="103">
        <f>VLOOKUP($A76,'OI(Volume)'!$A$7:$O$440,9)</f>
        <v>4345425</v>
      </c>
      <c r="J76" s="103">
        <f>VLOOKUP($A76,'OI(Volume)'!$A$7:$O$440,11)</f>
        <v>23791725</v>
      </c>
      <c r="K76" s="103">
        <f>VLOOKUP($A76,'OI(Volume)'!$A$7:$O$440,12)</f>
        <v>906750</v>
      </c>
      <c r="L76" s="103">
        <f>VLOOKUP($A76,'OI(Value)'!$A$7:$O$323,8,0)</f>
        <v>294</v>
      </c>
      <c r="M76" s="103">
        <f>VLOOKUP($A76,'OI(Value)'!$A$7:$O$323,9,0)</f>
        <v>41</v>
      </c>
      <c r="N76" s="103">
        <f>VLOOKUP($A76,'OI(Value)'!$A$7:$O$323,11,0)</f>
        <v>226</v>
      </c>
      <c r="O76" s="103">
        <f>VLOOKUP($A76,'OI(Value)'!$A$7:$O$323,12,0)</f>
        <v>9</v>
      </c>
      <c r="P76" s="179">
        <f>VLOOKUP(A76,'OI(Value)'!A76:O294,8,0)</f>
        <v>294</v>
      </c>
      <c r="Q76" s="179">
        <f>VLOOKUP(A76,'OI(Value)'!A76:O294,9,0)</f>
        <v>41</v>
      </c>
      <c r="R76" s="179">
        <f>VLOOKUP(A76,'OI(Value)'!A76:O294,11,0)</f>
        <v>226</v>
      </c>
      <c r="S76" s="179">
        <f>VLOOKUP(A76,'OI(Value)'!A76:O294,11,0)</f>
        <v>226</v>
      </c>
    </row>
    <row r="77" spans="1:19" x14ac:dyDescent="0.25">
      <c r="A77" s="105" t="str">
        <f>'Data Vlaue (Cr)'!C72</f>
        <v>GODFRYPHLP</v>
      </c>
      <c r="B77" s="143">
        <f>VLOOKUP($A77,'Data shares'!$C:$FA,118)</f>
        <v>0.5</v>
      </c>
      <c r="C77" s="143">
        <f>VLOOKUP($A77,'Data shares'!$C:$FA,119)</f>
        <v>0.99</v>
      </c>
      <c r="D77" s="143">
        <f>VLOOKUP($A77,'Data shares'!$C:$FA,121)*100</f>
        <v>-49.49</v>
      </c>
      <c r="E77" s="143">
        <f>VLOOKUP($A77,'Data shares'!$C:$FA,124)</f>
        <v>0.18</v>
      </c>
      <c r="F77" s="143">
        <f>VLOOKUP($A77,'Data shares'!$C:$FA,125)</f>
        <v>0.42</v>
      </c>
      <c r="G77" s="143">
        <f>VLOOKUP($A77,'Data shares'!$C:$FA,127)*100</f>
        <v>-57.14</v>
      </c>
      <c r="H77" s="103">
        <f>VLOOKUP($A77,'OI(Volume)'!$A$7:$O$440,8)</f>
        <v>155925</v>
      </c>
      <c r="I77" s="103">
        <f>VLOOKUP($A77,'OI(Volume)'!$A$7:$O$440,9)</f>
        <v>88550</v>
      </c>
      <c r="J77" s="103">
        <f>VLOOKUP($A77,'OI(Volume)'!$A$7:$O$440,11)</f>
        <v>78100</v>
      </c>
      <c r="K77" s="103">
        <f>VLOOKUP($A77,'OI(Volume)'!$A$7:$O$440,12)</f>
        <v>11550</v>
      </c>
      <c r="L77" s="103">
        <f>VLOOKUP($A77,'OI(Value)'!$A$7:$O$323,8,0)</f>
        <v>32</v>
      </c>
      <c r="M77" s="103">
        <f>VLOOKUP($A77,'OI(Value)'!$A$7:$O$323,9,0)</f>
        <v>18</v>
      </c>
      <c r="N77" s="103">
        <f>VLOOKUP($A77,'OI(Value)'!$A$7:$O$323,11,0)</f>
        <v>16</v>
      </c>
      <c r="O77" s="103">
        <f>VLOOKUP($A77,'OI(Value)'!$A$7:$O$323,12,0)</f>
        <v>2</v>
      </c>
      <c r="P77" s="179">
        <f>VLOOKUP(A77,'OI(Value)'!A77:O295,8,0)</f>
        <v>32</v>
      </c>
      <c r="Q77" s="179">
        <f>VLOOKUP(A77,'OI(Value)'!A77:O295,9,0)</f>
        <v>18</v>
      </c>
      <c r="R77" s="179">
        <f>VLOOKUP(A77,'OI(Value)'!A77:O295,11,0)</f>
        <v>16</v>
      </c>
      <c r="S77" s="179">
        <f>VLOOKUP(A77,'OI(Value)'!A77:O295,11,0)</f>
        <v>16</v>
      </c>
    </row>
    <row r="78" spans="1:19" x14ac:dyDescent="0.25">
      <c r="A78" s="105" t="str">
        <f>'Data Vlaue (Cr)'!C73</f>
        <v>GODREJCP</v>
      </c>
      <c r="B78" s="143">
        <f>VLOOKUP($A78,'Data shares'!$C:$FA,118)</f>
        <v>0.92</v>
      </c>
      <c r="C78" s="143">
        <f>VLOOKUP($A78,'Data shares'!$C:$FA,119)</f>
        <v>0.93</v>
      </c>
      <c r="D78" s="143">
        <f>VLOOKUP($A78,'Data shares'!$C:$FA,121)*100</f>
        <v>-1.08</v>
      </c>
      <c r="E78" s="143">
        <f>VLOOKUP($A78,'Data shares'!$C:$FA,124)</f>
        <v>0.66</v>
      </c>
      <c r="F78" s="143">
        <f>VLOOKUP($A78,'Data shares'!$C:$FA,125)</f>
        <v>0.55000000000000004</v>
      </c>
      <c r="G78" s="143">
        <f>VLOOKUP($A78,'Data shares'!$C:$FA,127)*100</f>
        <v>20</v>
      </c>
      <c r="H78" s="103">
        <f>VLOOKUP($A78,'OI(Volume)'!$A$7:$O$440,8)</f>
        <v>1142000</v>
      </c>
      <c r="I78" s="103">
        <f>VLOOKUP($A78,'OI(Volume)'!$A$7:$O$440,9)</f>
        <v>41500</v>
      </c>
      <c r="J78" s="103">
        <f>VLOOKUP($A78,'OI(Volume)'!$A$7:$O$440,11)</f>
        <v>1055500</v>
      </c>
      <c r="K78" s="103">
        <f>VLOOKUP($A78,'OI(Volume)'!$A$7:$O$440,12)</f>
        <v>30000</v>
      </c>
      <c r="L78" s="103">
        <f>VLOOKUP($A78,'OI(Value)'!$A$7:$O$323,8,0)</f>
        <v>122</v>
      </c>
      <c r="M78" s="103">
        <f>VLOOKUP($A78,'OI(Value)'!$A$7:$O$323,9,0)</f>
        <v>4</v>
      </c>
      <c r="N78" s="103">
        <f>VLOOKUP($A78,'OI(Value)'!$A$7:$O$323,11,0)</f>
        <v>113</v>
      </c>
      <c r="O78" s="103">
        <f>VLOOKUP($A78,'OI(Value)'!$A$7:$O$323,12,0)</f>
        <v>3</v>
      </c>
      <c r="P78" s="179">
        <f>VLOOKUP(A78,'OI(Value)'!A78:O296,8,0)</f>
        <v>122</v>
      </c>
      <c r="Q78" s="179">
        <f>VLOOKUP(A78,'OI(Value)'!A78:O296,9,0)</f>
        <v>4</v>
      </c>
      <c r="R78" s="179">
        <f>VLOOKUP(A78,'OI(Value)'!A78:O296,11,0)</f>
        <v>113</v>
      </c>
      <c r="S78" s="179">
        <f>VLOOKUP(A78,'OI(Value)'!A78:O296,11,0)</f>
        <v>113</v>
      </c>
    </row>
    <row r="79" spans="1:19" x14ac:dyDescent="0.25">
      <c r="A79" s="105" t="str">
        <f>'Data Vlaue (Cr)'!C74</f>
        <v>GODREJPROP</v>
      </c>
      <c r="B79" s="143">
        <f>VLOOKUP($A79,'Data shares'!$C:$FA,118)</f>
        <v>0.8</v>
      </c>
      <c r="C79" s="143">
        <f>VLOOKUP($A79,'Data shares'!$C:$FA,119)</f>
        <v>0.76</v>
      </c>
      <c r="D79" s="143">
        <f>VLOOKUP($A79,'Data shares'!$C:$FA,121)*100</f>
        <v>5.26</v>
      </c>
      <c r="E79" s="143">
        <f>VLOOKUP($A79,'Data shares'!$C:$FA,124)</f>
        <v>0.93</v>
      </c>
      <c r="F79" s="143">
        <f>VLOOKUP($A79,'Data shares'!$C:$FA,125)</f>
        <v>0.57999999999999996</v>
      </c>
      <c r="G79" s="143">
        <f>VLOOKUP($A79,'Data shares'!$C:$FA,127)*100</f>
        <v>60.34</v>
      </c>
      <c r="H79" s="103">
        <f>VLOOKUP($A79,'OI(Volume)'!$A$7:$O$440,8)</f>
        <v>2150225</v>
      </c>
      <c r="I79" s="103">
        <f>VLOOKUP($A79,'OI(Volume)'!$A$7:$O$440,9)</f>
        <v>-44550</v>
      </c>
      <c r="J79" s="103">
        <f>VLOOKUP($A79,'OI(Volume)'!$A$7:$O$440,11)</f>
        <v>1721500</v>
      </c>
      <c r="K79" s="103">
        <f>VLOOKUP($A79,'OI(Volume)'!$A$7:$O$440,12)</f>
        <v>49225</v>
      </c>
      <c r="L79" s="103">
        <f>VLOOKUP($A79,'OI(Value)'!$A$7:$O$323,8,0)</f>
        <v>366</v>
      </c>
      <c r="M79" s="103">
        <f>VLOOKUP($A79,'OI(Value)'!$A$7:$O$323,9,0)</f>
        <v>-8</v>
      </c>
      <c r="N79" s="103">
        <f>VLOOKUP($A79,'OI(Value)'!$A$7:$O$323,11,0)</f>
        <v>293</v>
      </c>
      <c r="O79" s="103">
        <f>VLOOKUP($A79,'OI(Value)'!$A$7:$O$323,12,0)</f>
        <v>8</v>
      </c>
      <c r="P79" s="179">
        <f>VLOOKUP(A79,'OI(Value)'!A79:O297,8,0)</f>
        <v>366</v>
      </c>
      <c r="Q79" s="179">
        <f>VLOOKUP(A79,'OI(Value)'!A79:O297,9,0)</f>
        <v>-8</v>
      </c>
      <c r="R79" s="179">
        <f>VLOOKUP(A79,'OI(Value)'!A79:O297,11,0)</f>
        <v>293</v>
      </c>
      <c r="S79" s="179">
        <f>VLOOKUP(A79,'OI(Value)'!A79:O297,11,0)</f>
        <v>293</v>
      </c>
    </row>
    <row r="80" spans="1:19" x14ac:dyDescent="0.25">
      <c r="A80" s="105" t="str">
        <f>'Data Vlaue (Cr)'!C75</f>
        <v>GRASIM</v>
      </c>
      <c r="B80" s="143">
        <f>VLOOKUP($A80,'Data shares'!$C:$FA,118)</f>
        <v>0.73</v>
      </c>
      <c r="C80" s="143">
        <f>VLOOKUP($A80,'Data shares'!$C:$FA,119)</f>
        <v>0.74</v>
      </c>
      <c r="D80" s="143">
        <f>VLOOKUP($A80,'Data shares'!$C:$FA,121)*100</f>
        <v>-1.35</v>
      </c>
      <c r="E80" s="143">
        <f>VLOOKUP($A80,'Data shares'!$C:$FA,124)</f>
        <v>0.76</v>
      </c>
      <c r="F80" s="143">
        <f>VLOOKUP($A80,'Data shares'!$C:$FA,125)</f>
        <v>0.67</v>
      </c>
      <c r="G80" s="143">
        <f>VLOOKUP($A80,'Data shares'!$C:$FA,127)*100</f>
        <v>13.43</v>
      </c>
      <c r="H80" s="103">
        <f>VLOOKUP($A80,'OI(Volume)'!$A$7:$O$440,8)</f>
        <v>1669000</v>
      </c>
      <c r="I80" s="103">
        <f>VLOOKUP($A80,'OI(Volume)'!$A$7:$O$440,9)</f>
        <v>123250</v>
      </c>
      <c r="J80" s="103">
        <f>VLOOKUP($A80,'OI(Volume)'!$A$7:$O$440,11)</f>
        <v>1220750</v>
      </c>
      <c r="K80" s="103">
        <f>VLOOKUP($A80,'OI(Volume)'!$A$7:$O$440,12)</f>
        <v>77000</v>
      </c>
      <c r="L80" s="103">
        <f>VLOOKUP($A80,'OI(Value)'!$A$7:$O$323,8,0)</f>
        <v>458</v>
      </c>
      <c r="M80" s="103">
        <f>VLOOKUP($A80,'OI(Value)'!$A$7:$O$323,9,0)</f>
        <v>34</v>
      </c>
      <c r="N80" s="103">
        <f>VLOOKUP($A80,'OI(Value)'!$A$7:$O$323,11,0)</f>
        <v>335</v>
      </c>
      <c r="O80" s="103">
        <f>VLOOKUP($A80,'OI(Value)'!$A$7:$O$323,12,0)</f>
        <v>21</v>
      </c>
      <c r="P80" s="179">
        <f>VLOOKUP(A80,'OI(Value)'!A80:O298,8,0)</f>
        <v>458</v>
      </c>
      <c r="Q80" s="179">
        <f>VLOOKUP(A80,'OI(Value)'!A80:O298,9,0)</f>
        <v>34</v>
      </c>
      <c r="R80" s="179">
        <f>VLOOKUP(A80,'OI(Value)'!A80:O298,11,0)</f>
        <v>335</v>
      </c>
      <c r="S80" s="179">
        <f>VLOOKUP(A80,'OI(Value)'!A80:O298,11,0)</f>
        <v>335</v>
      </c>
    </row>
    <row r="81" spans="1:19" x14ac:dyDescent="0.25">
      <c r="A81" s="105" t="str">
        <f>'Data Vlaue (Cr)'!C76</f>
        <v>HAL</v>
      </c>
      <c r="B81" s="143">
        <f>VLOOKUP($A81,'Data shares'!$C:$FA,118)</f>
        <v>0.87</v>
      </c>
      <c r="C81" s="143">
        <f>VLOOKUP($A81,'Data shares'!$C:$FA,119)</f>
        <v>0.91</v>
      </c>
      <c r="D81" s="143">
        <f>VLOOKUP($A81,'Data shares'!$C:$FA,121)*100</f>
        <v>-4.3999999999999995</v>
      </c>
      <c r="E81" s="143">
        <f>VLOOKUP($A81,'Data shares'!$C:$FA,124)</f>
        <v>0.37</v>
      </c>
      <c r="F81" s="143">
        <f>VLOOKUP($A81,'Data shares'!$C:$FA,125)</f>
        <v>0.5</v>
      </c>
      <c r="G81" s="143">
        <f>VLOOKUP($A81,'Data shares'!$C:$FA,127)*100</f>
        <v>-26</v>
      </c>
      <c r="H81" s="103">
        <f>VLOOKUP($A81,'OI(Volume)'!$A$7:$O$440,8)</f>
        <v>3264300</v>
      </c>
      <c r="I81" s="103">
        <f>VLOOKUP($A81,'OI(Volume)'!$A$7:$O$440,9)</f>
        <v>464700</v>
      </c>
      <c r="J81" s="103">
        <f>VLOOKUP($A81,'OI(Volume)'!$A$7:$O$440,11)</f>
        <v>2837550</v>
      </c>
      <c r="K81" s="103">
        <f>VLOOKUP($A81,'OI(Volume)'!$A$7:$O$440,12)</f>
        <v>294300</v>
      </c>
      <c r="L81" s="103">
        <f>VLOOKUP($A81,'OI(Value)'!$A$7:$O$323,8,0)</f>
        <v>1323</v>
      </c>
      <c r="M81" s="103">
        <f>VLOOKUP($A81,'OI(Value)'!$A$7:$O$323,9,0)</f>
        <v>188</v>
      </c>
      <c r="N81" s="103">
        <f>VLOOKUP($A81,'OI(Value)'!$A$7:$O$323,11,0)</f>
        <v>1150</v>
      </c>
      <c r="O81" s="103">
        <f>VLOOKUP($A81,'OI(Value)'!$A$7:$O$323,12,0)</f>
        <v>119</v>
      </c>
      <c r="P81" s="179">
        <f>VLOOKUP(A81,'OI(Value)'!A81:O299,8,0)</f>
        <v>1323</v>
      </c>
      <c r="Q81" s="179">
        <f>VLOOKUP(A81,'OI(Value)'!A81:O299,9,0)</f>
        <v>188</v>
      </c>
      <c r="R81" s="179">
        <f>VLOOKUP(A81,'OI(Value)'!A81:O299,11,0)</f>
        <v>1150</v>
      </c>
      <c r="S81" s="179">
        <f>VLOOKUP(A81,'OI(Value)'!A81:O299,11,0)</f>
        <v>1150</v>
      </c>
    </row>
    <row r="82" spans="1:19" x14ac:dyDescent="0.25">
      <c r="A82" s="105" t="str">
        <f>'Data Vlaue (Cr)'!C77</f>
        <v>HAVELLS</v>
      </c>
      <c r="B82" s="143">
        <f>VLOOKUP($A82,'Data shares'!$C:$FA,118)</f>
        <v>0.86</v>
      </c>
      <c r="C82" s="143">
        <f>VLOOKUP($A82,'Data shares'!$C:$FA,119)</f>
        <v>0.87</v>
      </c>
      <c r="D82" s="143">
        <f>VLOOKUP($A82,'Data shares'!$C:$FA,121)*100</f>
        <v>-1.1499999999999999</v>
      </c>
      <c r="E82" s="143">
        <f>VLOOKUP($A82,'Data shares'!$C:$FA,124)</f>
        <v>0.46</v>
      </c>
      <c r="F82" s="143">
        <f>VLOOKUP($A82,'Data shares'!$C:$FA,125)</f>
        <v>0.56999999999999995</v>
      </c>
      <c r="G82" s="143">
        <f>VLOOKUP($A82,'Data shares'!$C:$FA,127)*100</f>
        <v>-19.3</v>
      </c>
      <c r="H82" s="103">
        <f>VLOOKUP($A82,'OI(Volume)'!$A$7:$O$440,8)</f>
        <v>1866500</v>
      </c>
      <c r="I82" s="103">
        <f>VLOOKUP($A82,'OI(Volume)'!$A$7:$O$440,9)</f>
        <v>52500</v>
      </c>
      <c r="J82" s="103">
        <f>VLOOKUP($A82,'OI(Volume)'!$A$7:$O$440,11)</f>
        <v>1606500</v>
      </c>
      <c r="K82" s="103">
        <f>VLOOKUP($A82,'OI(Volume)'!$A$7:$O$440,12)</f>
        <v>22500</v>
      </c>
      <c r="L82" s="103">
        <f>VLOOKUP($A82,'OI(Value)'!$A$7:$O$323,8,0)</f>
        <v>235</v>
      </c>
      <c r="M82" s="103">
        <f>VLOOKUP($A82,'OI(Value)'!$A$7:$O$323,9,0)</f>
        <v>7</v>
      </c>
      <c r="N82" s="103">
        <f>VLOOKUP($A82,'OI(Value)'!$A$7:$O$323,11,0)</f>
        <v>202</v>
      </c>
      <c r="O82" s="103">
        <f>VLOOKUP($A82,'OI(Value)'!$A$7:$O$323,12,0)</f>
        <v>3</v>
      </c>
      <c r="P82" s="179">
        <f>VLOOKUP(A82,'OI(Value)'!A82:O300,8,0)</f>
        <v>235</v>
      </c>
      <c r="Q82" s="179">
        <f>VLOOKUP(A82,'OI(Value)'!A82:O300,9,0)</f>
        <v>7</v>
      </c>
      <c r="R82" s="179">
        <f>VLOOKUP(A82,'OI(Value)'!A82:O300,11,0)</f>
        <v>202</v>
      </c>
      <c r="S82" s="179">
        <f>VLOOKUP(A82,'OI(Value)'!A82:O300,11,0)</f>
        <v>202</v>
      </c>
    </row>
    <row r="83" spans="1:19" x14ac:dyDescent="0.25">
      <c r="A83" s="105" t="str">
        <f>'Data Vlaue (Cr)'!C78</f>
        <v>HCLTECH</v>
      </c>
      <c r="B83" s="143">
        <f>VLOOKUP($A83,'Data shares'!$C:$FA,118)</f>
        <v>1.02</v>
      </c>
      <c r="C83" s="143">
        <f>VLOOKUP($A83,'Data shares'!$C:$FA,119)</f>
        <v>0.98</v>
      </c>
      <c r="D83" s="143">
        <f>VLOOKUP($A83,'Data shares'!$C:$FA,121)*100</f>
        <v>4.08</v>
      </c>
      <c r="E83" s="143">
        <f>VLOOKUP($A83,'Data shares'!$C:$FA,124)</f>
        <v>0.66</v>
      </c>
      <c r="F83" s="143">
        <f>VLOOKUP($A83,'Data shares'!$C:$FA,125)</f>
        <v>0.51</v>
      </c>
      <c r="G83" s="143">
        <f>VLOOKUP($A83,'Data shares'!$C:$FA,127)*100</f>
        <v>29.409999999999997</v>
      </c>
      <c r="H83" s="103">
        <f>VLOOKUP($A83,'OI(Volume)'!$A$7:$O$440,8)</f>
        <v>4880050</v>
      </c>
      <c r="I83" s="103">
        <f>VLOOKUP($A83,'OI(Volume)'!$A$7:$O$440,9)</f>
        <v>1019900</v>
      </c>
      <c r="J83" s="103">
        <f>VLOOKUP($A83,'OI(Volume)'!$A$7:$O$440,11)</f>
        <v>4959150</v>
      </c>
      <c r="K83" s="103">
        <f>VLOOKUP($A83,'OI(Volume)'!$A$7:$O$440,12)</f>
        <v>1170400</v>
      </c>
      <c r="L83" s="103">
        <f>VLOOKUP($A83,'OI(Value)'!$A$7:$O$323,8,0)</f>
        <v>705</v>
      </c>
      <c r="M83" s="103">
        <f>VLOOKUP($A83,'OI(Value)'!$A$7:$O$323,9,0)</f>
        <v>147</v>
      </c>
      <c r="N83" s="103">
        <f>VLOOKUP($A83,'OI(Value)'!$A$7:$O$323,11,0)</f>
        <v>716</v>
      </c>
      <c r="O83" s="103">
        <f>VLOOKUP($A83,'OI(Value)'!$A$7:$O$323,12,0)</f>
        <v>169</v>
      </c>
      <c r="P83" s="179">
        <f>VLOOKUP(A83,'OI(Value)'!A83:O301,8,0)</f>
        <v>705</v>
      </c>
      <c r="Q83" s="179">
        <f>VLOOKUP(A83,'OI(Value)'!A83:O301,9,0)</f>
        <v>147</v>
      </c>
      <c r="R83" s="179">
        <f>VLOOKUP(A83,'OI(Value)'!A83:O301,11,0)</f>
        <v>716</v>
      </c>
      <c r="S83" s="179">
        <f>VLOOKUP(A83,'OI(Value)'!A83:O301,11,0)</f>
        <v>716</v>
      </c>
    </row>
    <row r="84" spans="1:19" x14ac:dyDescent="0.25">
      <c r="A84" s="105" t="str">
        <f>'Data Vlaue (Cr)'!C79</f>
        <v>HDFCAMC</v>
      </c>
      <c r="B84" s="143">
        <f>VLOOKUP($A84,'Data shares'!$C:$FA,118)</f>
        <v>0.77</v>
      </c>
      <c r="C84" s="143">
        <f>VLOOKUP($A84,'Data shares'!$C:$FA,119)</f>
        <v>0.83</v>
      </c>
      <c r="D84" s="143">
        <f>VLOOKUP($A84,'Data shares'!$C:$FA,121)*100</f>
        <v>-7.23</v>
      </c>
      <c r="E84" s="143">
        <f>VLOOKUP($A84,'Data shares'!$C:$FA,124)</f>
        <v>0.73</v>
      </c>
      <c r="F84" s="143">
        <f>VLOOKUP($A84,'Data shares'!$C:$FA,125)</f>
        <v>0.46</v>
      </c>
      <c r="G84" s="143">
        <f>VLOOKUP($A84,'Data shares'!$C:$FA,127)*100</f>
        <v>58.699999999999996</v>
      </c>
      <c r="H84" s="103">
        <f>VLOOKUP($A84,'OI(Volume)'!$A$7:$O$440,8)</f>
        <v>914100</v>
      </c>
      <c r="I84" s="103">
        <f>VLOOKUP($A84,'OI(Volume)'!$A$7:$O$440,9)</f>
        <v>58200</v>
      </c>
      <c r="J84" s="103">
        <f>VLOOKUP($A84,'OI(Volume)'!$A$7:$O$440,11)</f>
        <v>704700</v>
      </c>
      <c r="K84" s="103">
        <f>VLOOKUP($A84,'OI(Volume)'!$A$7:$O$440,12)</f>
        <v>-2100</v>
      </c>
      <c r="L84" s="103">
        <f>VLOOKUP($A84,'OI(Value)'!$A$7:$O$323,8,0)</f>
        <v>231</v>
      </c>
      <c r="M84" s="103">
        <f>VLOOKUP($A84,'OI(Value)'!$A$7:$O$323,9,0)</f>
        <v>15</v>
      </c>
      <c r="N84" s="103">
        <f>VLOOKUP($A84,'OI(Value)'!$A$7:$O$323,11,0)</f>
        <v>178</v>
      </c>
      <c r="O84" s="103">
        <f>VLOOKUP($A84,'OI(Value)'!$A$7:$O$323,12,0)</f>
        <v>-1</v>
      </c>
      <c r="P84" s="179">
        <f>VLOOKUP(A84,'OI(Value)'!A84:O302,8,0)</f>
        <v>231</v>
      </c>
      <c r="Q84" s="179">
        <f>VLOOKUP(A84,'OI(Value)'!A84:O302,9,0)</f>
        <v>15</v>
      </c>
      <c r="R84" s="179">
        <f>VLOOKUP(A84,'OI(Value)'!A84:O302,11,0)</f>
        <v>178</v>
      </c>
      <c r="S84" s="179">
        <f>VLOOKUP(A84,'OI(Value)'!A84:O302,11,0)</f>
        <v>178</v>
      </c>
    </row>
    <row r="85" spans="1:19" x14ac:dyDescent="0.25">
      <c r="A85" s="105" t="str">
        <f>'Data Vlaue (Cr)'!C80</f>
        <v>HDFCBANK</v>
      </c>
      <c r="B85" s="143">
        <f>VLOOKUP($A85,'Data shares'!$C:$FA,118)</f>
        <v>0.59</v>
      </c>
      <c r="C85" s="143">
        <f>VLOOKUP($A85,'Data shares'!$C:$FA,119)</f>
        <v>0.63</v>
      </c>
      <c r="D85" s="143">
        <f>VLOOKUP($A85,'Data shares'!$C:$FA,121)*100</f>
        <v>-6.35</v>
      </c>
      <c r="E85" s="143">
        <f>VLOOKUP($A85,'Data shares'!$C:$FA,124)</f>
        <v>0.65</v>
      </c>
      <c r="F85" s="143">
        <f>VLOOKUP($A85,'Data shares'!$C:$FA,125)</f>
        <v>0.56999999999999995</v>
      </c>
      <c r="G85" s="143">
        <f>VLOOKUP($A85,'Data shares'!$C:$FA,127)*100</f>
        <v>14.04</v>
      </c>
      <c r="H85" s="103">
        <f>VLOOKUP($A85,'OI(Volume)'!$A$7:$O$440,8)</f>
        <v>71218400</v>
      </c>
      <c r="I85" s="103">
        <f>VLOOKUP($A85,'OI(Volume)'!$A$7:$O$440,9)</f>
        <v>4637600</v>
      </c>
      <c r="J85" s="103">
        <f>VLOOKUP($A85,'OI(Volume)'!$A$7:$O$440,11)</f>
        <v>42053000</v>
      </c>
      <c r="K85" s="103">
        <f>VLOOKUP($A85,'OI(Volume)'!$A$7:$O$440,12)</f>
        <v>-47300</v>
      </c>
      <c r="L85" s="103">
        <f>VLOOKUP($A85,'OI(Value)'!$A$7:$O$323,8,0)</f>
        <v>5705</v>
      </c>
      <c r="M85" s="103">
        <f>VLOOKUP($A85,'OI(Value)'!$A$7:$O$323,9,0)</f>
        <v>372</v>
      </c>
      <c r="N85" s="103">
        <f>VLOOKUP($A85,'OI(Value)'!$A$7:$O$323,11,0)</f>
        <v>3369</v>
      </c>
      <c r="O85" s="103">
        <f>VLOOKUP($A85,'OI(Value)'!$A$7:$O$323,12,0)</f>
        <v>-4</v>
      </c>
      <c r="P85" s="179">
        <f>VLOOKUP(A85,'OI(Value)'!A85:O303,8,0)</f>
        <v>5705</v>
      </c>
      <c r="Q85" s="179">
        <f>VLOOKUP(A85,'OI(Value)'!A85:O303,9,0)</f>
        <v>372</v>
      </c>
      <c r="R85" s="179">
        <f>VLOOKUP(A85,'OI(Value)'!A85:O303,11,0)</f>
        <v>3369</v>
      </c>
      <c r="S85" s="179">
        <f>VLOOKUP(A85,'OI(Value)'!A85:O303,11,0)</f>
        <v>3369</v>
      </c>
    </row>
    <row r="86" spans="1:19" x14ac:dyDescent="0.25">
      <c r="A86" s="105" t="str">
        <f>'Data Vlaue (Cr)'!C81</f>
        <v>HDFCLIFE</v>
      </c>
      <c r="B86" s="143">
        <f>VLOOKUP($A86,'Data shares'!$C:$FA,118)</f>
        <v>0.62</v>
      </c>
      <c r="C86" s="143">
        <f>VLOOKUP($A86,'Data shares'!$C:$FA,119)</f>
        <v>0.59</v>
      </c>
      <c r="D86" s="143">
        <f>VLOOKUP($A86,'Data shares'!$C:$FA,121)*100</f>
        <v>5.08</v>
      </c>
      <c r="E86" s="143">
        <f>VLOOKUP($A86,'Data shares'!$C:$FA,124)</f>
        <v>0.47</v>
      </c>
      <c r="F86" s="143">
        <f>VLOOKUP($A86,'Data shares'!$C:$FA,125)</f>
        <v>0.45</v>
      </c>
      <c r="G86" s="143">
        <f>VLOOKUP($A86,'Data shares'!$C:$FA,127)*100</f>
        <v>4.4400000000000004</v>
      </c>
      <c r="H86" s="103">
        <f>VLOOKUP($A86,'OI(Volume)'!$A$7:$O$440,8)</f>
        <v>11159500</v>
      </c>
      <c r="I86" s="103">
        <f>VLOOKUP($A86,'OI(Volume)'!$A$7:$O$440,9)</f>
        <v>113300</v>
      </c>
      <c r="J86" s="103">
        <f>VLOOKUP($A86,'OI(Volume)'!$A$7:$O$440,11)</f>
        <v>6947600</v>
      </c>
      <c r="K86" s="103">
        <f>VLOOKUP($A86,'OI(Volume)'!$A$7:$O$440,12)</f>
        <v>408100</v>
      </c>
      <c r="L86" s="103">
        <f>VLOOKUP($A86,'OI(Value)'!$A$7:$O$323,8,0)</f>
        <v>662</v>
      </c>
      <c r="M86" s="103">
        <f>VLOOKUP($A86,'OI(Value)'!$A$7:$O$323,9,0)</f>
        <v>7</v>
      </c>
      <c r="N86" s="103">
        <f>VLOOKUP($A86,'OI(Value)'!$A$7:$O$323,11,0)</f>
        <v>412</v>
      </c>
      <c r="O86" s="103">
        <f>VLOOKUP($A86,'OI(Value)'!$A$7:$O$323,12,0)</f>
        <v>24</v>
      </c>
      <c r="P86" s="179">
        <f>VLOOKUP(A86,'OI(Value)'!A86:O304,8,0)</f>
        <v>662</v>
      </c>
      <c r="Q86" s="179">
        <f>VLOOKUP(A86,'OI(Value)'!A86:O304,9,0)</f>
        <v>7</v>
      </c>
      <c r="R86" s="179">
        <f>VLOOKUP(A86,'OI(Value)'!A86:O304,11,0)</f>
        <v>412</v>
      </c>
      <c r="S86" s="179">
        <f>VLOOKUP(A86,'OI(Value)'!A86:O304,11,0)</f>
        <v>412</v>
      </c>
    </row>
    <row r="87" spans="1:19" x14ac:dyDescent="0.25">
      <c r="A87" s="105" t="str">
        <f>'Data Vlaue (Cr)'!C82</f>
        <v>HEROMOTOCO</v>
      </c>
      <c r="B87" s="143">
        <f>VLOOKUP($A87,'Data shares'!$C:$FA,118)</f>
        <v>0.84</v>
      </c>
      <c r="C87" s="143">
        <f>VLOOKUP($A87,'Data shares'!$C:$FA,119)</f>
        <v>0.87</v>
      </c>
      <c r="D87" s="143">
        <f>VLOOKUP($A87,'Data shares'!$C:$FA,121)*100</f>
        <v>-3.45</v>
      </c>
      <c r="E87" s="143">
        <f>VLOOKUP($A87,'Data shares'!$C:$FA,124)</f>
        <v>0.56999999999999995</v>
      </c>
      <c r="F87" s="143">
        <f>VLOOKUP($A87,'Data shares'!$C:$FA,125)</f>
        <v>0.64</v>
      </c>
      <c r="G87" s="143">
        <f>VLOOKUP($A87,'Data shares'!$C:$FA,127)*100</f>
        <v>-10.94</v>
      </c>
      <c r="H87" s="103">
        <f>VLOOKUP($A87,'OI(Volume)'!$A$7:$O$440,8)</f>
        <v>1256100</v>
      </c>
      <c r="I87" s="103">
        <f>VLOOKUP($A87,'OI(Volume)'!$A$7:$O$440,9)</f>
        <v>91650</v>
      </c>
      <c r="J87" s="103">
        <f>VLOOKUP($A87,'OI(Volume)'!$A$7:$O$440,11)</f>
        <v>1052250</v>
      </c>
      <c r="K87" s="103">
        <f>VLOOKUP($A87,'OI(Volume)'!$A$7:$O$440,12)</f>
        <v>40650</v>
      </c>
      <c r="L87" s="103">
        <f>VLOOKUP($A87,'OI(Value)'!$A$7:$O$323,8,0)</f>
        <v>667</v>
      </c>
      <c r="M87" s="103">
        <f>VLOOKUP($A87,'OI(Value)'!$A$7:$O$323,9,0)</f>
        <v>49</v>
      </c>
      <c r="N87" s="103">
        <f>VLOOKUP($A87,'OI(Value)'!$A$7:$O$323,11,0)</f>
        <v>559</v>
      </c>
      <c r="O87" s="103">
        <f>VLOOKUP($A87,'OI(Value)'!$A$7:$O$323,12,0)</f>
        <v>22</v>
      </c>
      <c r="P87" s="179">
        <f>VLOOKUP(A87,'OI(Value)'!A87:O305,8,0)</f>
        <v>667</v>
      </c>
      <c r="Q87" s="179">
        <f>VLOOKUP(A87,'OI(Value)'!A87:O305,9,0)</f>
        <v>49</v>
      </c>
      <c r="R87" s="179">
        <f>VLOOKUP(A87,'OI(Value)'!A87:O305,11,0)</f>
        <v>559</v>
      </c>
      <c r="S87" s="179">
        <f>VLOOKUP(A87,'OI(Value)'!A87:O305,11,0)</f>
        <v>559</v>
      </c>
    </row>
    <row r="88" spans="1:19" x14ac:dyDescent="0.25">
      <c r="A88" s="105" t="str">
        <f>'Data Vlaue (Cr)'!C83</f>
        <v>HINDALCO</v>
      </c>
      <c r="B88" s="143">
        <f>VLOOKUP($A88,'Data shares'!$C:$FA,118)</f>
        <v>0.72</v>
      </c>
      <c r="C88" s="143">
        <f>VLOOKUP($A88,'Data shares'!$C:$FA,119)</f>
        <v>0.62</v>
      </c>
      <c r="D88" s="143">
        <f>VLOOKUP($A88,'Data shares'!$C:$FA,121)*100</f>
        <v>16.13</v>
      </c>
      <c r="E88" s="143">
        <f>VLOOKUP($A88,'Data shares'!$C:$FA,124)</f>
        <v>0.43</v>
      </c>
      <c r="F88" s="143">
        <f>VLOOKUP($A88,'Data shares'!$C:$FA,125)</f>
        <v>0.67</v>
      </c>
      <c r="G88" s="143">
        <f>VLOOKUP($A88,'Data shares'!$C:$FA,127)*100</f>
        <v>-35.82</v>
      </c>
      <c r="H88" s="103">
        <f>VLOOKUP($A88,'OI(Volume)'!$A$7:$O$440,8)</f>
        <v>13001100</v>
      </c>
      <c r="I88" s="103">
        <f>VLOOKUP($A88,'OI(Volume)'!$A$7:$O$440,9)</f>
        <v>158200</v>
      </c>
      <c r="J88" s="103">
        <f>VLOOKUP($A88,'OI(Volume)'!$A$7:$O$440,11)</f>
        <v>9327500</v>
      </c>
      <c r="K88" s="103">
        <f>VLOOKUP($A88,'OI(Volume)'!$A$7:$O$440,12)</f>
        <v>1411200</v>
      </c>
      <c r="L88" s="103">
        <f>VLOOKUP($A88,'OI(Value)'!$A$7:$O$323,8,0)</f>
        <v>1285</v>
      </c>
      <c r="M88" s="103">
        <f>VLOOKUP($A88,'OI(Value)'!$A$7:$O$323,9,0)</f>
        <v>16</v>
      </c>
      <c r="N88" s="103">
        <f>VLOOKUP($A88,'OI(Value)'!$A$7:$O$323,11,0)</f>
        <v>922</v>
      </c>
      <c r="O88" s="103">
        <f>VLOOKUP($A88,'OI(Value)'!$A$7:$O$323,12,0)</f>
        <v>139</v>
      </c>
      <c r="P88" s="179">
        <f>VLOOKUP(A88,'OI(Value)'!A88:O306,8,0)</f>
        <v>1285</v>
      </c>
      <c r="Q88" s="179">
        <f>VLOOKUP(A88,'OI(Value)'!A88:O306,9,0)</f>
        <v>16</v>
      </c>
      <c r="R88" s="179">
        <f>VLOOKUP(A88,'OI(Value)'!A88:O306,11,0)</f>
        <v>922</v>
      </c>
      <c r="S88" s="179">
        <f>VLOOKUP(A88,'OI(Value)'!A88:O306,11,0)</f>
        <v>922</v>
      </c>
    </row>
    <row r="89" spans="1:19" x14ac:dyDescent="0.25">
      <c r="A89" s="105" t="str">
        <f>'Data Vlaue (Cr)'!C84</f>
        <v>HINDPETRO</v>
      </c>
      <c r="B89" s="143">
        <f>VLOOKUP($A89,'Data shares'!$C:$FA,118)</f>
        <v>0.89</v>
      </c>
      <c r="C89" s="143">
        <f>VLOOKUP($A89,'Data shares'!$C:$FA,119)</f>
        <v>0.9</v>
      </c>
      <c r="D89" s="143">
        <f>VLOOKUP($A89,'Data shares'!$C:$FA,121)*100</f>
        <v>-1.1100000000000001</v>
      </c>
      <c r="E89" s="143">
        <f>VLOOKUP($A89,'Data shares'!$C:$FA,124)</f>
        <v>0.66</v>
      </c>
      <c r="F89" s="143">
        <f>VLOOKUP($A89,'Data shares'!$C:$FA,125)</f>
        <v>0.52</v>
      </c>
      <c r="G89" s="143">
        <f>VLOOKUP($A89,'Data shares'!$C:$FA,127)*100</f>
        <v>26.919999999999998</v>
      </c>
      <c r="H89" s="103">
        <f>VLOOKUP($A89,'OI(Volume)'!$A$7:$O$440,8)</f>
        <v>17633700</v>
      </c>
      <c r="I89" s="103">
        <f>VLOOKUP($A89,'OI(Volume)'!$A$7:$O$440,9)</f>
        <v>755325</v>
      </c>
      <c r="J89" s="103">
        <f>VLOOKUP($A89,'OI(Volume)'!$A$7:$O$440,11)</f>
        <v>15620850</v>
      </c>
      <c r="K89" s="103">
        <f>VLOOKUP($A89,'OI(Volume)'!$A$7:$O$440,12)</f>
        <v>386775</v>
      </c>
      <c r="L89" s="103">
        <f>VLOOKUP($A89,'OI(Value)'!$A$7:$O$323,8,0)</f>
        <v>633</v>
      </c>
      <c r="M89" s="103">
        <f>VLOOKUP($A89,'OI(Value)'!$A$7:$O$323,9,0)</f>
        <v>27</v>
      </c>
      <c r="N89" s="103">
        <f>VLOOKUP($A89,'OI(Value)'!$A$7:$O$323,11,0)</f>
        <v>561</v>
      </c>
      <c r="O89" s="103">
        <f>VLOOKUP($A89,'OI(Value)'!$A$7:$O$323,12,0)</f>
        <v>14</v>
      </c>
      <c r="P89" s="179">
        <f>VLOOKUP(A89,'OI(Value)'!A89:O307,8,0)</f>
        <v>633</v>
      </c>
      <c r="Q89" s="179">
        <f>VLOOKUP(A89,'OI(Value)'!A89:O307,9,0)</f>
        <v>27</v>
      </c>
      <c r="R89" s="179">
        <f>VLOOKUP(A89,'OI(Value)'!A89:O307,11,0)</f>
        <v>561</v>
      </c>
      <c r="S89" s="179">
        <f>VLOOKUP(A89,'OI(Value)'!A89:O307,11,0)</f>
        <v>561</v>
      </c>
    </row>
    <row r="90" spans="1:19" x14ac:dyDescent="0.25">
      <c r="A90" s="105" t="str">
        <f>'Data Vlaue (Cr)'!C85</f>
        <v>HINDUNILVR</v>
      </c>
      <c r="B90" s="143">
        <f>VLOOKUP($A90,'Data shares'!$C:$FA,118)</f>
        <v>0.77</v>
      </c>
      <c r="C90" s="143">
        <f>VLOOKUP($A90,'Data shares'!$C:$FA,119)</f>
        <v>0.83</v>
      </c>
      <c r="D90" s="143">
        <f>VLOOKUP($A90,'Data shares'!$C:$FA,121)*100</f>
        <v>-7.23</v>
      </c>
      <c r="E90" s="143">
        <f>VLOOKUP($A90,'Data shares'!$C:$FA,124)</f>
        <v>0.53</v>
      </c>
      <c r="F90" s="143">
        <f>VLOOKUP($A90,'Data shares'!$C:$FA,125)</f>
        <v>0.77</v>
      </c>
      <c r="G90" s="143">
        <f>VLOOKUP($A90,'Data shares'!$C:$FA,127)*100</f>
        <v>-31.169999999999998</v>
      </c>
      <c r="H90" s="103">
        <f>VLOOKUP($A90,'OI(Volume)'!$A$7:$O$440,8)</f>
        <v>4317000</v>
      </c>
      <c r="I90" s="103">
        <f>VLOOKUP($A90,'OI(Volume)'!$A$7:$O$440,9)</f>
        <v>380700</v>
      </c>
      <c r="J90" s="103">
        <f>VLOOKUP($A90,'OI(Volume)'!$A$7:$O$440,11)</f>
        <v>3335700</v>
      </c>
      <c r="K90" s="103">
        <f>VLOOKUP($A90,'OI(Volume)'!$A$7:$O$440,12)</f>
        <v>76200</v>
      </c>
      <c r="L90" s="103">
        <f>VLOOKUP($A90,'OI(Value)'!$A$7:$O$323,8,0)</f>
        <v>925</v>
      </c>
      <c r="M90" s="103">
        <f>VLOOKUP($A90,'OI(Value)'!$A$7:$O$323,9,0)</f>
        <v>82</v>
      </c>
      <c r="N90" s="103">
        <f>VLOOKUP($A90,'OI(Value)'!$A$7:$O$323,11,0)</f>
        <v>715</v>
      </c>
      <c r="O90" s="103">
        <f>VLOOKUP($A90,'OI(Value)'!$A$7:$O$323,12,0)</f>
        <v>16</v>
      </c>
      <c r="P90" s="179">
        <f>VLOOKUP(A90,'OI(Value)'!A90:O308,8,0)</f>
        <v>925</v>
      </c>
      <c r="Q90" s="179">
        <f>VLOOKUP(A90,'OI(Value)'!A90:O308,9,0)</f>
        <v>82</v>
      </c>
      <c r="R90" s="179">
        <f>VLOOKUP(A90,'OI(Value)'!A90:O308,11,0)</f>
        <v>715</v>
      </c>
      <c r="S90" s="179">
        <f>VLOOKUP(A90,'OI(Value)'!A90:O308,11,0)</f>
        <v>715</v>
      </c>
    </row>
    <row r="91" spans="1:19" x14ac:dyDescent="0.25">
      <c r="A91" s="105" t="str">
        <f>'Data Vlaue (Cr)'!C86</f>
        <v>HINDZINC</v>
      </c>
      <c r="B91" s="143">
        <f>VLOOKUP($A91,'Data shares'!$C:$FA,118)</f>
        <v>0.82</v>
      </c>
      <c r="C91" s="143">
        <f>VLOOKUP($A91,'Data shares'!$C:$FA,119)</f>
        <v>0.81</v>
      </c>
      <c r="D91" s="143">
        <f>VLOOKUP($A91,'Data shares'!$C:$FA,121)*100</f>
        <v>1.23</v>
      </c>
      <c r="E91" s="143">
        <f>VLOOKUP($A91,'Data shares'!$C:$FA,124)</f>
        <v>0.66</v>
      </c>
      <c r="F91" s="143">
        <f>VLOOKUP($A91,'Data shares'!$C:$FA,125)</f>
        <v>0.57999999999999996</v>
      </c>
      <c r="G91" s="143">
        <f>VLOOKUP($A91,'Data shares'!$C:$FA,127)*100</f>
        <v>13.79</v>
      </c>
      <c r="H91" s="103">
        <f>VLOOKUP($A91,'OI(Volume)'!$A$7:$O$440,8)</f>
        <v>15948275</v>
      </c>
      <c r="I91" s="103">
        <f>VLOOKUP($A91,'OI(Volume)'!$A$7:$O$440,9)</f>
        <v>363825</v>
      </c>
      <c r="J91" s="103">
        <f>VLOOKUP($A91,'OI(Volume)'!$A$7:$O$440,11)</f>
        <v>13123425</v>
      </c>
      <c r="K91" s="103">
        <f>VLOOKUP($A91,'OI(Volume)'!$A$7:$O$440,12)</f>
        <v>521850</v>
      </c>
      <c r="L91" s="103">
        <f>VLOOKUP($A91,'OI(Value)'!$A$7:$O$323,8,0)</f>
        <v>893</v>
      </c>
      <c r="M91" s="103">
        <f>VLOOKUP($A91,'OI(Value)'!$A$7:$O$323,9,0)</f>
        <v>20</v>
      </c>
      <c r="N91" s="103">
        <f>VLOOKUP($A91,'OI(Value)'!$A$7:$O$323,11,0)</f>
        <v>735</v>
      </c>
      <c r="O91" s="103">
        <f>VLOOKUP($A91,'OI(Value)'!$A$7:$O$323,12,0)</f>
        <v>29</v>
      </c>
      <c r="P91" s="179">
        <f>VLOOKUP(A91,'OI(Value)'!A91:O309,8,0)</f>
        <v>893</v>
      </c>
      <c r="Q91" s="179">
        <f>VLOOKUP(A91,'OI(Value)'!A91:O309,9,0)</f>
        <v>20</v>
      </c>
      <c r="R91" s="179">
        <f>VLOOKUP(A91,'OI(Value)'!A91:O309,11,0)</f>
        <v>735</v>
      </c>
      <c r="S91" s="179">
        <f>VLOOKUP(A91,'OI(Value)'!A91:O309,11,0)</f>
        <v>735</v>
      </c>
    </row>
    <row r="92" spans="1:19" x14ac:dyDescent="0.25">
      <c r="A92" s="105" t="str">
        <f>'Data Vlaue (Cr)'!C87</f>
        <v>HUDCO</v>
      </c>
      <c r="B92" s="143">
        <f>VLOOKUP($A92,'Data shares'!$C:$FA,118)</f>
        <v>0.84</v>
      </c>
      <c r="C92" s="143">
        <f>VLOOKUP($A92,'Data shares'!$C:$FA,119)</f>
        <v>0.85</v>
      </c>
      <c r="D92" s="143">
        <f>VLOOKUP($A92,'Data shares'!$C:$FA,121)*100</f>
        <v>-1.18</v>
      </c>
      <c r="E92" s="143">
        <f>VLOOKUP($A92,'Data shares'!$C:$FA,124)</f>
        <v>0.47</v>
      </c>
      <c r="F92" s="143">
        <f>VLOOKUP($A92,'Data shares'!$C:$FA,125)</f>
        <v>0.53</v>
      </c>
      <c r="G92" s="143">
        <f>VLOOKUP($A92,'Data shares'!$C:$FA,127)*100</f>
        <v>-11.32</v>
      </c>
      <c r="H92" s="103">
        <f>VLOOKUP($A92,'OI(Volume)'!$A$7:$O$440,8)</f>
        <v>8036400</v>
      </c>
      <c r="I92" s="103">
        <f>VLOOKUP($A92,'OI(Volume)'!$A$7:$O$440,9)</f>
        <v>790875</v>
      </c>
      <c r="J92" s="103">
        <f>VLOOKUP($A92,'OI(Volume)'!$A$7:$O$440,11)</f>
        <v>6782100</v>
      </c>
      <c r="K92" s="103">
        <f>VLOOKUP($A92,'OI(Volume)'!$A$7:$O$440,12)</f>
        <v>629925</v>
      </c>
      <c r="L92" s="103">
        <f>VLOOKUP($A92,'OI(Value)'!$A$7:$O$323,8,0)</f>
        <v>147</v>
      </c>
      <c r="M92" s="103">
        <f>VLOOKUP($A92,'OI(Value)'!$A$7:$O$323,9,0)</f>
        <v>14</v>
      </c>
      <c r="N92" s="103">
        <f>VLOOKUP($A92,'OI(Value)'!$A$7:$O$323,11,0)</f>
        <v>124</v>
      </c>
      <c r="O92" s="103">
        <f>VLOOKUP($A92,'OI(Value)'!$A$7:$O$323,12,0)</f>
        <v>12</v>
      </c>
      <c r="P92" s="179">
        <f>VLOOKUP(A92,'OI(Value)'!A92:O310,8,0)</f>
        <v>147</v>
      </c>
      <c r="Q92" s="179">
        <f>VLOOKUP(A92,'OI(Value)'!A92:O310,9,0)</f>
        <v>14</v>
      </c>
      <c r="R92" s="179">
        <f>VLOOKUP(A92,'OI(Value)'!A92:O310,11,0)</f>
        <v>124</v>
      </c>
      <c r="S92" s="179">
        <f>VLOOKUP(A92,'OI(Value)'!A92:O310,11,0)</f>
        <v>124</v>
      </c>
    </row>
    <row r="93" spans="1:19" x14ac:dyDescent="0.25">
      <c r="A93" s="105" t="str">
        <f>'Data Vlaue (Cr)'!C88</f>
        <v>HYUNDAI</v>
      </c>
      <c r="B93" s="143">
        <f>VLOOKUP($A93,'Data shares'!$C:$FA,118)</f>
        <v>0.67</v>
      </c>
      <c r="C93" s="143">
        <f>VLOOKUP($A93,'Data shares'!$C:$FA,119)</f>
        <v>0.74</v>
      </c>
      <c r="D93" s="143">
        <f>VLOOKUP($A93,'Data shares'!$C:$FA,121)*100</f>
        <v>-9.4600000000000009</v>
      </c>
      <c r="E93" s="143">
        <f>VLOOKUP($A93,'Data shares'!$C:$FA,124)</f>
        <v>0.43</v>
      </c>
      <c r="F93" s="143">
        <f>VLOOKUP($A93,'Data shares'!$C:$FA,125)</f>
        <v>0.27</v>
      </c>
      <c r="G93" s="143">
        <f>VLOOKUP($A93,'Data shares'!$C:$FA,127)*100</f>
        <v>59.260000000000005</v>
      </c>
      <c r="H93" s="103">
        <f>VLOOKUP($A93,'OI(Volume)'!$A$7:$O$440,8)</f>
        <v>673475</v>
      </c>
      <c r="I93" s="103">
        <f>VLOOKUP($A93,'OI(Volume)'!$A$7:$O$440,9)</f>
        <v>180675</v>
      </c>
      <c r="J93" s="103">
        <f>VLOOKUP($A93,'OI(Volume)'!$A$7:$O$440,11)</f>
        <v>449900</v>
      </c>
      <c r="K93" s="103">
        <f>VLOOKUP($A93,'OI(Volume)'!$A$7:$O$440,12)</f>
        <v>83325</v>
      </c>
      <c r="L93" s="103">
        <f>VLOOKUP($A93,'OI(Value)'!$A$7:$O$323,8,0)</f>
        <v>118</v>
      </c>
      <c r="M93" s="103">
        <f>VLOOKUP($A93,'OI(Value)'!$A$7:$O$323,9,0)</f>
        <v>32</v>
      </c>
      <c r="N93" s="103">
        <f>VLOOKUP($A93,'OI(Value)'!$A$7:$O$323,11,0)</f>
        <v>79</v>
      </c>
      <c r="O93" s="103">
        <f>VLOOKUP($A93,'OI(Value)'!$A$7:$O$323,12,0)</f>
        <v>15</v>
      </c>
      <c r="P93" s="179">
        <f>VLOOKUP(A93,'OI(Value)'!A93:O311,8,0)</f>
        <v>118</v>
      </c>
      <c r="Q93" s="179">
        <f>VLOOKUP(A93,'OI(Value)'!A93:O311,9,0)</f>
        <v>32</v>
      </c>
      <c r="R93" s="179">
        <f>VLOOKUP(A93,'OI(Value)'!A93:O311,11,0)</f>
        <v>79</v>
      </c>
      <c r="S93" s="179">
        <f>VLOOKUP(A93,'OI(Value)'!A93:O311,11,0)</f>
        <v>79</v>
      </c>
    </row>
    <row r="94" spans="1:19" x14ac:dyDescent="0.25">
      <c r="A94" s="105" t="str">
        <f>'Data Vlaue (Cr)'!C89</f>
        <v>ICICIBANK</v>
      </c>
      <c r="B94" s="143">
        <f>VLOOKUP($A94,'Data shares'!$C:$FA,118)</f>
        <v>0.86</v>
      </c>
      <c r="C94" s="143">
        <f>VLOOKUP($A94,'Data shares'!$C:$FA,119)</f>
        <v>0.99</v>
      </c>
      <c r="D94" s="143">
        <f>VLOOKUP($A94,'Data shares'!$C:$FA,121)*100</f>
        <v>-13.13</v>
      </c>
      <c r="E94" s="143">
        <f>VLOOKUP($A94,'Data shares'!$C:$FA,124)</f>
        <v>0.92</v>
      </c>
      <c r="F94" s="143">
        <f>VLOOKUP($A94,'Data shares'!$C:$FA,125)</f>
        <v>0.77</v>
      </c>
      <c r="G94" s="143">
        <f>VLOOKUP($A94,'Data shares'!$C:$FA,127)*100</f>
        <v>19.48</v>
      </c>
      <c r="H94" s="103">
        <f>VLOOKUP($A94,'OI(Volume)'!$A$7:$O$440,8)</f>
        <v>18566100</v>
      </c>
      <c r="I94" s="103">
        <f>VLOOKUP($A94,'OI(Volume)'!$A$7:$O$440,9)</f>
        <v>1663200</v>
      </c>
      <c r="J94" s="103">
        <f>VLOOKUP($A94,'OI(Volume)'!$A$7:$O$440,11)</f>
        <v>16031400</v>
      </c>
      <c r="K94" s="103">
        <f>VLOOKUP($A94,'OI(Volume)'!$A$7:$O$440,12)</f>
        <v>-686700</v>
      </c>
      <c r="L94" s="103">
        <f>VLOOKUP($A94,'OI(Value)'!$A$7:$O$323,8,0)</f>
        <v>2389</v>
      </c>
      <c r="M94" s="103">
        <f>VLOOKUP($A94,'OI(Value)'!$A$7:$O$323,9,0)</f>
        <v>214</v>
      </c>
      <c r="N94" s="103">
        <f>VLOOKUP($A94,'OI(Value)'!$A$7:$O$323,11,0)</f>
        <v>2063</v>
      </c>
      <c r="O94" s="103">
        <f>VLOOKUP($A94,'OI(Value)'!$A$7:$O$323,12,0)</f>
        <v>-88</v>
      </c>
      <c r="P94" s="179">
        <f>VLOOKUP(A94,'OI(Value)'!A94:O312,8,0)</f>
        <v>2389</v>
      </c>
      <c r="Q94" s="179">
        <f>VLOOKUP(A94,'OI(Value)'!A94:O312,9,0)</f>
        <v>214</v>
      </c>
      <c r="R94" s="179">
        <f>VLOOKUP(A94,'OI(Value)'!A94:O312,11,0)</f>
        <v>2063</v>
      </c>
      <c r="S94" s="179">
        <f>VLOOKUP(A94,'OI(Value)'!A94:O312,11,0)</f>
        <v>2063</v>
      </c>
    </row>
    <row r="95" spans="1:19" x14ac:dyDescent="0.25">
      <c r="A95" s="105" t="str">
        <f>'Data Vlaue (Cr)'!C90</f>
        <v>ICICIGI</v>
      </c>
      <c r="B95" s="143">
        <f>VLOOKUP($A95,'Data shares'!$C:$FA,118)</f>
        <v>0.8</v>
      </c>
      <c r="C95" s="143">
        <f>VLOOKUP($A95,'Data shares'!$C:$FA,119)</f>
        <v>0.99</v>
      </c>
      <c r="D95" s="143">
        <f>VLOOKUP($A95,'Data shares'!$C:$FA,121)*100</f>
        <v>-19.189999999999998</v>
      </c>
      <c r="E95" s="143">
        <f>VLOOKUP($A95,'Data shares'!$C:$FA,124)</f>
        <v>0.82</v>
      </c>
      <c r="F95" s="143">
        <f>VLOOKUP($A95,'Data shares'!$C:$FA,125)</f>
        <v>0.76</v>
      </c>
      <c r="G95" s="143">
        <f>VLOOKUP($A95,'Data shares'!$C:$FA,127)*100</f>
        <v>7.89</v>
      </c>
      <c r="H95" s="103">
        <f>VLOOKUP($A95,'OI(Volume)'!$A$7:$O$440,8)</f>
        <v>855725</v>
      </c>
      <c r="I95" s="103">
        <f>VLOOKUP($A95,'OI(Volume)'!$A$7:$O$440,9)</f>
        <v>216775</v>
      </c>
      <c r="J95" s="103">
        <f>VLOOKUP($A95,'OI(Volume)'!$A$7:$O$440,11)</f>
        <v>684775</v>
      </c>
      <c r="K95" s="103">
        <f>VLOOKUP($A95,'OI(Volume)'!$A$7:$O$440,12)</f>
        <v>51025</v>
      </c>
      <c r="L95" s="103">
        <f>VLOOKUP($A95,'OI(Value)'!$A$7:$O$323,8,0)</f>
        <v>152</v>
      </c>
      <c r="M95" s="103">
        <f>VLOOKUP($A95,'OI(Value)'!$A$7:$O$323,9,0)</f>
        <v>39</v>
      </c>
      <c r="N95" s="103">
        <f>VLOOKUP($A95,'OI(Value)'!$A$7:$O$323,11,0)</f>
        <v>122</v>
      </c>
      <c r="O95" s="103">
        <f>VLOOKUP($A95,'OI(Value)'!$A$7:$O$323,12,0)</f>
        <v>9</v>
      </c>
      <c r="P95" s="179">
        <f>VLOOKUP(A95,'OI(Value)'!A95:O313,8,0)</f>
        <v>152</v>
      </c>
      <c r="Q95" s="179">
        <f>VLOOKUP(A95,'OI(Value)'!A95:O313,9,0)</f>
        <v>39</v>
      </c>
      <c r="R95" s="179">
        <f>VLOOKUP(A95,'OI(Value)'!A95:O313,11,0)</f>
        <v>122</v>
      </c>
      <c r="S95" s="179">
        <f>VLOOKUP(A95,'OI(Value)'!A95:O313,11,0)</f>
        <v>122</v>
      </c>
    </row>
    <row r="96" spans="1:19" x14ac:dyDescent="0.25">
      <c r="A96" s="105" t="str">
        <f>'Data Vlaue (Cr)'!C91</f>
        <v>ICICIPRULI</v>
      </c>
      <c r="B96" s="143">
        <f>VLOOKUP($A96,'Data shares'!$C:$FA,118)</f>
        <v>0.92</v>
      </c>
      <c r="C96" s="143">
        <f>VLOOKUP($A96,'Data shares'!$C:$FA,119)</f>
        <v>0.98</v>
      </c>
      <c r="D96" s="143">
        <f>VLOOKUP($A96,'Data shares'!$C:$FA,121)*100</f>
        <v>-6.12</v>
      </c>
      <c r="E96" s="143">
        <f>VLOOKUP($A96,'Data shares'!$C:$FA,124)</f>
        <v>0.3</v>
      </c>
      <c r="F96" s="143">
        <f>VLOOKUP($A96,'Data shares'!$C:$FA,125)</f>
        <v>0.66</v>
      </c>
      <c r="G96" s="143">
        <f>VLOOKUP($A96,'Data shares'!$C:$FA,127)*100</f>
        <v>-54.55</v>
      </c>
      <c r="H96" s="103">
        <f>VLOOKUP($A96,'OI(Volume)'!$A$7:$O$440,8)</f>
        <v>1677025</v>
      </c>
      <c r="I96" s="103">
        <f>VLOOKUP($A96,'OI(Volume)'!$A$7:$O$440,9)</f>
        <v>182225</v>
      </c>
      <c r="J96" s="103">
        <f>VLOOKUP($A96,'OI(Volume)'!$A$7:$O$440,11)</f>
        <v>1539200</v>
      </c>
      <c r="K96" s="103">
        <f>VLOOKUP($A96,'OI(Volume)'!$A$7:$O$440,12)</f>
        <v>79550</v>
      </c>
      <c r="L96" s="103">
        <f>VLOOKUP($A96,'OI(Value)'!$A$7:$O$323,8,0)</f>
        <v>91</v>
      </c>
      <c r="M96" s="103">
        <f>VLOOKUP($A96,'OI(Value)'!$A$7:$O$323,9,0)</f>
        <v>10</v>
      </c>
      <c r="N96" s="103">
        <f>VLOOKUP($A96,'OI(Value)'!$A$7:$O$323,11,0)</f>
        <v>84</v>
      </c>
      <c r="O96" s="103">
        <f>VLOOKUP($A96,'OI(Value)'!$A$7:$O$323,12,0)</f>
        <v>4</v>
      </c>
      <c r="P96" s="179">
        <f>VLOOKUP(A96,'OI(Value)'!A96:O314,8,0)</f>
        <v>91</v>
      </c>
      <c r="Q96" s="179">
        <f>VLOOKUP(A96,'OI(Value)'!A96:O314,9,0)</f>
        <v>10</v>
      </c>
      <c r="R96" s="179">
        <f>VLOOKUP(A96,'OI(Value)'!A96:O314,11,0)</f>
        <v>84</v>
      </c>
      <c r="S96" s="179">
        <f>VLOOKUP(A96,'OI(Value)'!A96:O314,11,0)</f>
        <v>84</v>
      </c>
    </row>
    <row r="97" spans="1:19" x14ac:dyDescent="0.25">
      <c r="A97" s="105" t="str">
        <f>'Data Vlaue (Cr)'!C92</f>
        <v>IDEA</v>
      </c>
      <c r="B97" s="143">
        <f>VLOOKUP($A97,'Data shares'!$C:$FA,118)</f>
        <v>0.56000000000000005</v>
      </c>
      <c r="C97" s="143">
        <f>VLOOKUP($A97,'Data shares'!$C:$FA,119)</f>
        <v>0.57999999999999996</v>
      </c>
      <c r="D97" s="143">
        <f>VLOOKUP($A97,'Data shares'!$C:$FA,121)*100</f>
        <v>-3.45</v>
      </c>
      <c r="E97" s="143">
        <f>VLOOKUP($A97,'Data shares'!$C:$FA,124)</f>
        <v>0.32</v>
      </c>
      <c r="F97" s="143">
        <f>VLOOKUP($A97,'Data shares'!$C:$FA,125)</f>
        <v>0.36</v>
      </c>
      <c r="G97" s="143">
        <f>VLOOKUP($A97,'Data shares'!$C:$FA,127)*100</f>
        <v>-11.110000000000001</v>
      </c>
      <c r="H97" s="103">
        <f>VLOOKUP($A97,'OI(Volume)'!$A$7:$O$440,8)</f>
        <v>1343372625</v>
      </c>
      <c r="I97" s="103">
        <f>VLOOKUP($A97,'OI(Volume)'!$A$7:$O$440,9)</f>
        <v>39740100</v>
      </c>
      <c r="J97" s="103">
        <f>VLOOKUP($A97,'OI(Volume)'!$A$7:$O$440,11)</f>
        <v>745627200</v>
      </c>
      <c r="K97" s="103">
        <f>VLOOKUP($A97,'OI(Volume)'!$A$7:$O$440,12)</f>
        <v>-6504225</v>
      </c>
      <c r="L97" s="103">
        <f>VLOOKUP($A97,'OI(Value)'!$A$7:$O$323,8,0)</f>
        <v>1233</v>
      </c>
      <c r="M97" s="103">
        <f>VLOOKUP($A97,'OI(Value)'!$A$7:$O$323,9,0)</f>
        <v>36</v>
      </c>
      <c r="N97" s="103">
        <f>VLOOKUP($A97,'OI(Value)'!$A$7:$O$323,11,0)</f>
        <v>684</v>
      </c>
      <c r="O97" s="103">
        <f>VLOOKUP($A97,'OI(Value)'!$A$7:$O$323,12,0)</f>
        <v>-6</v>
      </c>
      <c r="P97" s="179">
        <f>VLOOKUP(A97,'OI(Value)'!A97:O315,8,0)</f>
        <v>1233</v>
      </c>
      <c r="Q97" s="179">
        <f>VLOOKUP(A97,'OI(Value)'!A97:O315,9,0)</f>
        <v>36</v>
      </c>
      <c r="R97" s="179">
        <f>VLOOKUP(A97,'OI(Value)'!A97:O315,11,0)</f>
        <v>684</v>
      </c>
      <c r="S97" s="179">
        <f>VLOOKUP(A97,'OI(Value)'!A97:O315,11,0)</f>
        <v>684</v>
      </c>
    </row>
    <row r="98" spans="1:19" x14ac:dyDescent="0.25">
      <c r="A98" s="105" t="str">
        <f>'Data Vlaue (Cr)'!C93</f>
        <v>IDFCFIRSTB</v>
      </c>
      <c r="B98" s="143">
        <f>VLOOKUP($A98,'Data shares'!$C:$FA,118)</f>
        <v>0.84</v>
      </c>
      <c r="C98" s="143">
        <f>VLOOKUP($A98,'Data shares'!$C:$FA,119)</f>
        <v>0.85</v>
      </c>
      <c r="D98" s="143">
        <f>VLOOKUP($A98,'Data shares'!$C:$FA,121)*100</f>
        <v>-1.18</v>
      </c>
      <c r="E98" s="143">
        <f>VLOOKUP($A98,'Data shares'!$C:$FA,124)</f>
        <v>0.81</v>
      </c>
      <c r="F98" s="143">
        <f>VLOOKUP($A98,'Data shares'!$C:$FA,125)</f>
        <v>0.76</v>
      </c>
      <c r="G98" s="143">
        <f>VLOOKUP($A98,'Data shares'!$C:$FA,127)*100</f>
        <v>6.58</v>
      </c>
      <c r="H98" s="103">
        <f>VLOOKUP($A98,'OI(Volume)'!$A$7:$O$440,8)</f>
        <v>113915550</v>
      </c>
      <c r="I98" s="103">
        <f>VLOOKUP($A98,'OI(Volume)'!$A$7:$O$440,9)</f>
        <v>3496675</v>
      </c>
      <c r="J98" s="103">
        <f>VLOOKUP($A98,'OI(Volume)'!$A$7:$O$440,11)</f>
        <v>95968425</v>
      </c>
      <c r="K98" s="103">
        <f>VLOOKUP($A98,'OI(Volume)'!$A$7:$O$440,12)</f>
        <v>2467150</v>
      </c>
      <c r="L98" s="103">
        <f>VLOOKUP($A98,'OI(Value)'!$A$7:$O$323,8,0)</f>
        <v>746</v>
      </c>
      <c r="M98" s="103">
        <f>VLOOKUP($A98,'OI(Value)'!$A$7:$O$323,9,0)</f>
        <v>23</v>
      </c>
      <c r="N98" s="103">
        <f>VLOOKUP($A98,'OI(Value)'!$A$7:$O$323,11,0)</f>
        <v>628</v>
      </c>
      <c r="O98" s="103">
        <f>VLOOKUP($A98,'OI(Value)'!$A$7:$O$323,12,0)</f>
        <v>16</v>
      </c>
      <c r="P98" s="179">
        <f>VLOOKUP(A98,'OI(Value)'!A98:O316,8,0)</f>
        <v>746</v>
      </c>
      <c r="Q98" s="179">
        <f>VLOOKUP(A98,'OI(Value)'!A98:O316,9,0)</f>
        <v>23</v>
      </c>
      <c r="R98" s="179">
        <f>VLOOKUP(A98,'OI(Value)'!A98:O316,11,0)</f>
        <v>628</v>
      </c>
      <c r="S98" s="179">
        <f>VLOOKUP(A98,'OI(Value)'!A98:O316,11,0)</f>
        <v>628</v>
      </c>
    </row>
    <row r="99" spans="1:19" x14ac:dyDescent="0.25">
      <c r="A99" s="105" t="str">
        <f>'Data Vlaue (Cr)'!C94</f>
        <v>IEX</v>
      </c>
      <c r="B99" s="143">
        <f>VLOOKUP($A99,'Data shares'!$C:$FA,118)</f>
        <v>0.67</v>
      </c>
      <c r="C99" s="143">
        <f>VLOOKUP($A99,'Data shares'!$C:$FA,119)</f>
        <v>0.67</v>
      </c>
      <c r="D99" s="143">
        <f>VLOOKUP($A99,'Data shares'!$C:$FA,121)*100</f>
        <v>0</v>
      </c>
      <c r="E99" s="143">
        <f>VLOOKUP($A99,'Data shares'!$C:$FA,124)</f>
        <v>0.41</v>
      </c>
      <c r="F99" s="143">
        <f>VLOOKUP($A99,'Data shares'!$C:$FA,125)</f>
        <v>0.71</v>
      </c>
      <c r="G99" s="143">
        <f>VLOOKUP($A99,'Data shares'!$C:$FA,127)*100</f>
        <v>-42.25</v>
      </c>
      <c r="H99" s="103">
        <f>VLOOKUP($A99,'OI(Volume)'!$A$7:$O$440,8)</f>
        <v>37372500</v>
      </c>
      <c r="I99" s="103">
        <f>VLOOKUP($A99,'OI(Volume)'!$A$7:$O$440,9)</f>
        <v>618750</v>
      </c>
      <c r="J99" s="103">
        <f>VLOOKUP($A99,'OI(Volume)'!$A$7:$O$440,11)</f>
        <v>25106250</v>
      </c>
      <c r="K99" s="103">
        <f>VLOOKUP($A99,'OI(Volume)'!$A$7:$O$440,12)</f>
        <v>367500</v>
      </c>
      <c r="L99" s="103">
        <f>VLOOKUP($A99,'OI(Value)'!$A$7:$O$323,8,0)</f>
        <v>486</v>
      </c>
      <c r="M99" s="103">
        <f>VLOOKUP($A99,'OI(Value)'!$A$7:$O$323,9,0)</f>
        <v>8</v>
      </c>
      <c r="N99" s="103">
        <f>VLOOKUP($A99,'OI(Value)'!$A$7:$O$323,11,0)</f>
        <v>327</v>
      </c>
      <c r="O99" s="103">
        <f>VLOOKUP($A99,'OI(Value)'!$A$7:$O$323,12,0)</f>
        <v>5</v>
      </c>
      <c r="P99" s="179">
        <f>VLOOKUP(A99,'OI(Value)'!A99:O317,8,0)</f>
        <v>486</v>
      </c>
      <c r="Q99" s="179">
        <f>VLOOKUP(A99,'OI(Value)'!A99:O317,9,0)</f>
        <v>8</v>
      </c>
      <c r="R99" s="179">
        <f>VLOOKUP(A99,'OI(Value)'!A99:O317,11,0)</f>
        <v>327</v>
      </c>
      <c r="S99" s="179">
        <f>VLOOKUP(A99,'OI(Value)'!A99:O317,11,0)</f>
        <v>327</v>
      </c>
    </row>
    <row r="100" spans="1:19" x14ac:dyDescent="0.25">
      <c r="A100" s="105" t="str">
        <f>'Data Vlaue (Cr)'!C95</f>
        <v>INDHOTEL</v>
      </c>
      <c r="B100" s="143">
        <f>VLOOKUP($A100,'Data shares'!$C:$FA,118)</f>
        <v>1.04</v>
      </c>
      <c r="C100" s="143">
        <f>VLOOKUP($A100,'Data shares'!$C:$FA,119)</f>
        <v>0.99</v>
      </c>
      <c r="D100" s="143">
        <f>VLOOKUP($A100,'Data shares'!$C:$FA,121)*100</f>
        <v>5.0500000000000007</v>
      </c>
      <c r="E100" s="143">
        <f>VLOOKUP($A100,'Data shares'!$C:$FA,124)</f>
        <v>0.84</v>
      </c>
      <c r="F100" s="143">
        <f>VLOOKUP($A100,'Data shares'!$C:$FA,125)</f>
        <v>0.7</v>
      </c>
      <c r="G100" s="143">
        <f>VLOOKUP($A100,'Data shares'!$C:$FA,127)*100</f>
        <v>20</v>
      </c>
      <c r="H100" s="103">
        <f>VLOOKUP($A100,'OI(Volume)'!$A$7:$O$440,8)</f>
        <v>4956000</v>
      </c>
      <c r="I100" s="103">
        <f>VLOOKUP($A100,'OI(Volume)'!$A$7:$O$440,9)</f>
        <v>-95000</v>
      </c>
      <c r="J100" s="103">
        <f>VLOOKUP($A100,'OI(Volume)'!$A$7:$O$440,11)</f>
        <v>5135000</v>
      </c>
      <c r="K100" s="103">
        <f>VLOOKUP($A100,'OI(Volume)'!$A$7:$O$440,12)</f>
        <v>154000</v>
      </c>
      <c r="L100" s="103">
        <f>VLOOKUP($A100,'OI(Value)'!$A$7:$O$323,8,0)</f>
        <v>313</v>
      </c>
      <c r="M100" s="103">
        <f>VLOOKUP($A100,'OI(Value)'!$A$7:$O$323,9,0)</f>
        <v>-6</v>
      </c>
      <c r="N100" s="103">
        <f>VLOOKUP($A100,'OI(Value)'!$A$7:$O$323,11,0)</f>
        <v>324</v>
      </c>
      <c r="O100" s="103">
        <f>VLOOKUP($A100,'OI(Value)'!$A$7:$O$323,12,0)</f>
        <v>10</v>
      </c>
      <c r="P100" s="179">
        <f>VLOOKUP(A100,'OI(Value)'!A100:O318,8,0)</f>
        <v>313</v>
      </c>
      <c r="Q100" s="179">
        <f>VLOOKUP(A100,'OI(Value)'!A100:O318,9,0)</f>
        <v>-6</v>
      </c>
      <c r="R100" s="179">
        <f>VLOOKUP(A100,'OI(Value)'!A100:O318,11,0)</f>
        <v>324</v>
      </c>
      <c r="S100" s="179">
        <f>VLOOKUP(A100,'OI(Value)'!A100:O318,11,0)</f>
        <v>324</v>
      </c>
    </row>
    <row r="101" spans="1:19" x14ac:dyDescent="0.25">
      <c r="A101" s="105" t="str">
        <f>'Data Vlaue (Cr)'!C96</f>
        <v>INDIANB</v>
      </c>
      <c r="B101" s="143">
        <f>VLOOKUP($A101,'Data shares'!$C:$FA,118)</f>
        <v>0.75</v>
      </c>
      <c r="C101" s="143">
        <f>VLOOKUP($A101,'Data shares'!$C:$FA,119)</f>
        <v>0.83</v>
      </c>
      <c r="D101" s="143">
        <f>VLOOKUP($A101,'Data shares'!$C:$FA,121)*100</f>
        <v>-9.64</v>
      </c>
      <c r="E101" s="143">
        <f>VLOOKUP($A101,'Data shares'!$C:$FA,124)</f>
        <v>0.67</v>
      </c>
      <c r="F101" s="143">
        <f>VLOOKUP($A101,'Data shares'!$C:$FA,125)</f>
        <v>0.46</v>
      </c>
      <c r="G101" s="143">
        <f>VLOOKUP($A101,'Data shares'!$C:$FA,127)*100</f>
        <v>45.65</v>
      </c>
      <c r="H101" s="103">
        <f>VLOOKUP($A101,'OI(Volume)'!$A$7:$O$440,8)</f>
        <v>3185000</v>
      </c>
      <c r="I101" s="103">
        <f>VLOOKUP($A101,'OI(Volume)'!$A$7:$O$440,9)</f>
        <v>364000</v>
      </c>
      <c r="J101" s="103">
        <f>VLOOKUP($A101,'OI(Volume)'!$A$7:$O$440,11)</f>
        <v>2397000</v>
      </c>
      <c r="K101" s="103">
        <f>VLOOKUP($A101,'OI(Volume)'!$A$7:$O$440,12)</f>
        <v>65000</v>
      </c>
      <c r="L101" s="103">
        <f>VLOOKUP($A101,'OI(Value)'!$A$7:$O$323,8,0)</f>
        <v>301</v>
      </c>
      <c r="M101" s="103">
        <f>VLOOKUP($A101,'OI(Value)'!$A$7:$O$323,9,0)</f>
        <v>34</v>
      </c>
      <c r="N101" s="103">
        <f>VLOOKUP($A101,'OI(Value)'!$A$7:$O$323,11,0)</f>
        <v>227</v>
      </c>
      <c r="O101" s="103">
        <f>VLOOKUP($A101,'OI(Value)'!$A$7:$O$323,12,0)</f>
        <v>6</v>
      </c>
      <c r="P101" s="179">
        <f>VLOOKUP(A101,'OI(Value)'!A101:O319,8,0)</f>
        <v>301</v>
      </c>
      <c r="Q101" s="179">
        <f>VLOOKUP(A101,'OI(Value)'!A101:O319,9,0)</f>
        <v>34</v>
      </c>
      <c r="R101" s="179">
        <f>VLOOKUP(A101,'OI(Value)'!A101:O319,11,0)</f>
        <v>227</v>
      </c>
      <c r="S101" s="179">
        <f>VLOOKUP(A101,'OI(Value)'!A101:O319,11,0)</f>
        <v>227</v>
      </c>
    </row>
    <row r="102" spans="1:19" x14ac:dyDescent="0.25">
      <c r="A102" s="105" t="str">
        <f>'Data Vlaue (Cr)'!C97</f>
        <v>INDIAVIX</v>
      </c>
      <c r="B102" s="143">
        <f>VLOOKUP($A102,'Data shares'!$C:$FA,118)</f>
        <v>0</v>
      </c>
      <c r="C102" s="143">
        <f>VLOOKUP($A102,'Data shares'!$C:$FA,119)</f>
        <v>0</v>
      </c>
      <c r="D102" s="143">
        <f>VLOOKUP($A102,'Data shares'!$C:$FA,121)*100</f>
        <v>0</v>
      </c>
      <c r="E102" s="143">
        <f>VLOOKUP($A102,'Data shares'!$C:$FA,124)</f>
        <v>0</v>
      </c>
      <c r="F102" s="143">
        <f>VLOOKUP($A102,'Data shares'!$C:$FA,125)</f>
        <v>0</v>
      </c>
      <c r="G102" s="143">
        <f>VLOOKUP($A102,'Data shares'!$C:$FA,127)*100</f>
        <v>0</v>
      </c>
      <c r="H102" s="103">
        <f>VLOOKUP($A102,'OI(Volume)'!$A$7:$O$440,8)</f>
        <v>0</v>
      </c>
      <c r="I102" s="103">
        <f>VLOOKUP($A102,'OI(Volume)'!$A$7:$O$440,9)</f>
        <v>0</v>
      </c>
      <c r="J102" s="103">
        <f>VLOOKUP($A102,'OI(Volume)'!$A$7:$O$440,11)</f>
        <v>0</v>
      </c>
      <c r="K102" s="103">
        <f>VLOOKUP($A102,'OI(Volume)'!$A$7:$O$440,12)</f>
        <v>0</v>
      </c>
      <c r="L102" s="103">
        <f>VLOOKUP($A102,'OI(Value)'!$A$7:$O$323,8,0)</f>
        <v>0</v>
      </c>
      <c r="M102" s="103">
        <f>VLOOKUP($A102,'OI(Value)'!$A$7:$O$323,9,0)</f>
        <v>0</v>
      </c>
      <c r="N102" s="103">
        <f>VLOOKUP($A102,'OI(Value)'!$A$7:$O$323,11,0)</f>
        <v>0</v>
      </c>
      <c r="O102" s="103">
        <f>VLOOKUP($A102,'OI(Value)'!$A$7:$O$323,12,0)</f>
        <v>0</v>
      </c>
      <c r="P102" s="179">
        <f>VLOOKUP(A102,'OI(Value)'!A102:O320,8,0)</f>
        <v>0</v>
      </c>
      <c r="Q102" s="179">
        <f>VLOOKUP(A102,'OI(Value)'!A102:O320,9,0)</f>
        <v>0</v>
      </c>
      <c r="R102" s="179">
        <f>VLOOKUP(A102,'OI(Value)'!A102:O320,11,0)</f>
        <v>0</v>
      </c>
      <c r="S102" s="179">
        <f>VLOOKUP(A102,'OI(Value)'!A102:O320,11,0)</f>
        <v>0</v>
      </c>
    </row>
    <row r="103" spans="1:19" x14ac:dyDescent="0.25">
      <c r="A103" s="105" t="str">
        <f>'Data Vlaue (Cr)'!C98</f>
        <v>INDIGO</v>
      </c>
      <c r="B103" s="143">
        <f>VLOOKUP($A103,'Data shares'!$C:$FA,118)</f>
        <v>0.57999999999999996</v>
      </c>
      <c r="C103" s="143">
        <f>VLOOKUP($A103,'Data shares'!$C:$FA,119)</f>
        <v>0.63</v>
      </c>
      <c r="D103" s="143">
        <f>VLOOKUP($A103,'Data shares'!$C:$FA,121)*100</f>
        <v>-7.9399999999999995</v>
      </c>
      <c r="E103" s="143">
        <f>VLOOKUP($A103,'Data shares'!$C:$FA,124)</f>
        <v>0.74</v>
      </c>
      <c r="F103" s="143">
        <f>VLOOKUP($A103,'Data shares'!$C:$FA,125)</f>
        <v>0.55000000000000004</v>
      </c>
      <c r="G103" s="143">
        <f>VLOOKUP($A103,'Data shares'!$C:$FA,127)*100</f>
        <v>34.549999999999997</v>
      </c>
      <c r="H103" s="103">
        <f>VLOOKUP($A103,'OI(Volume)'!$A$7:$O$440,8)</f>
        <v>5758950</v>
      </c>
      <c r="I103" s="103">
        <f>VLOOKUP($A103,'OI(Volume)'!$A$7:$O$440,9)</f>
        <v>1039800</v>
      </c>
      <c r="J103" s="103">
        <f>VLOOKUP($A103,'OI(Volume)'!$A$7:$O$440,11)</f>
        <v>3322200</v>
      </c>
      <c r="K103" s="103">
        <f>VLOOKUP($A103,'OI(Volume)'!$A$7:$O$440,12)</f>
        <v>363450</v>
      </c>
      <c r="L103" s="103">
        <f>VLOOKUP($A103,'OI(Value)'!$A$7:$O$323,8,0)</f>
        <v>2575</v>
      </c>
      <c r="M103" s="103">
        <f>VLOOKUP($A103,'OI(Value)'!$A$7:$O$323,9,0)</f>
        <v>465</v>
      </c>
      <c r="N103" s="103">
        <f>VLOOKUP($A103,'OI(Value)'!$A$7:$O$323,11,0)</f>
        <v>1485</v>
      </c>
      <c r="O103" s="103">
        <f>VLOOKUP($A103,'OI(Value)'!$A$7:$O$323,12,0)</f>
        <v>162</v>
      </c>
      <c r="P103" s="179">
        <f>VLOOKUP(A103,'OI(Value)'!A103:O321,8,0)</f>
        <v>2575</v>
      </c>
      <c r="Q103" s="179">
        <f>VLOOKUP(A103,'OI(Value)'!A103:O321,9,0)</f>
        <v>465</v>
      </c>
      <c r="R103" s="179">
        <f>VLOOKUP(A103,'OI(Value)'!A103:O321,11,0)</f>
        <v>1485</v>
      </c>
      <c r="S103" s="179">
        <f>VLOOKUP(A103,'OI(Value)'!A103:O321,11,0)</f>
        <v>1485</v>
      </c>
    </row>
    <row r="104" spans="1:19" x14ac:dyDescent="0.25">
      <c r="A104" s="105" t="str">
        <f>'Data Vlaue (Cr)'!C99</f>
        <v>INDUSINDBK</v>
      </c>
      <c r="B104" s="143">
        <f>VLOOKUP($A104,'Data shares'!$C:$FA,118)</f>
        <v>1.05</v>
      </c>
      <c r="C104" s="143">
        <f>VLOOKUP($A104,'Data shares'!$C:$FA,119)</f>
        <v>1.03</v>
      </c>
      <c r="D104" s="143">
        <f>VLOOKUP($A104,'Data shares'!$C:$FA,121)*100</f>
        <v>1.94</v>
      </c>
      <c r="E104" s="143">
        <f>VLOOKUP($A104,'Data shares'!$C:$FA,124)</f>
        <v>0.71</v>
      </c>
      <c r="F104" s="143">
        <f>VLOOKUP($A104,'Data shares'!$C:$FA,125)</f>
        <v>0.82</v>
      </c>
      <c r="G104" s="143">
        <f>VLOOKUP($A104,'Data shares'!$C:$FA,127)*100</f>
        <v>-13.41</v>
      </c>
      <c r="H104" s="103">
        <f>VLOOKUP($A104,'OI(Volume)'!$A$7:$O$440,8)</f>
        <v>5898200</v>
      </c>
      <c r="I104" s="103">
        <f>VLOOKUP($A104,'OI(Volume)'!$A$7:$O$440,9)</f>
        <v>308700</v>
      </c>
      <c r="J104" s="103">
        <f>VLOOKUP($A104,'OI(Volume)'!$A$7:$O$440,11)</f>
        <v>6212500</v>
      </c>
      <c r="K104" s="103">
        <f>VLOOKUP($A104,'OI(Volume)'!$A$7:$O$440,12)</f>
        <v>464100</v>
      </c>
      <c r="L104" s="103">
        <f>VLOOKUP($A104,'OI(Value)'!$A$7:$O$323,8,0)</f>
        <v>482</v>
      </c>
      <c r="M104" s="103">
        <f>VLOOKUP($A104,'OI(Value)'!$A$7:$O$323,9,0)</f>
        <v>25</v>
      </c>
      <c r="N104" s="103">
        <f>VLOOKUP($A104,'OI(Value)'!$A$7:$O$323,11,0)</f>
        <v>508</v>
      </c>
      <c r="O104" s="103">
        <f>VLOOKUP($A104,'OI(Value)'!$A$7:$O$323,12,0)</f>
        <v>38</v>
      </c>
      <c r="P104" s="179">
        <f>VLOOKUP(A104,'OI(Value)'!A104:O322,8,0)</f>
        <v>482</v>
      </c>
      <c r="Q104" s="179">
        <f>VLOOKUP(A104,'OI(Value)'!A104:O322,9,0)</f>
        <v>25</v>
      </c>
      <c r="R104" s="179">
        <f>VLOOKUP(A104,'OI(Value)'!A104:O322,11,0)</f>
        <v>508</v>
      </c>
      <c r="S104" s="179">
        <f>VLOOKUP(A104,'OI(Value)'!A104:O322,11,0)</f>
        <v>508</v>
      </c>
    </row>
    <row r="105" spans="1:19" x14ac:dyDescent="0.25">
      <c r="A105" s="105" t="str">
        <f>'Data Vlaue (Cr)'!C100</f>
        <v>INDUSTOWER</v>
      </c>
      <c r="B105" s="143">
        <f>VLOOKUP($A105,'Data shares'!$C:$FA,118)</f>
        <v>0.7</v>
      </c>
      <c r="C105" s="143">
        <f>VLOOKUP($A105,'Data shares'!$C:$FA,119)</f>
        <v>0.9</v>
      </c>
      <c r="D105" s="143">
        <f>VLOOKUP($A105,'Data shares'!$C:$FA,121)*100</f>
        <v>-22.220000000000002</v>
      </c>
      <c r="E105" s="143">
        <f>VLOOKUP($A105,'Data shares'!$C:$FA,124)</f>
        <v>0.38</v>
      </c>
      <c r="F105" s="143">
        <f>VLOOKUP($A105,'Data shares'!$C:$FA,125)</f>
        <v>0.44</v>
      </c>
      <c r="G105" s="143">
        <f>VLOOKUP($A105,'Data shares'!$C:$FA,127)*100</f>
        <v>-13.639999999999999</v>
      </c>
      <c r="H105" s="103">
        <f>VLOOKUP($A105,'OI(Volume)'!$A$7:$O$440,8)</f>
        <v>12410000</v>
      </c>
      <c r="I105" s="103">
        <f>VLOOKUP($A105,'OI(Volume)'!$A$7:$O$440,9)</f>
        <v>3048100</v>
      </c>
      <c r="J105" s="103">
        <f>VLOOKUP($A105,'OI(Volume)'!$A$7:$O$440,11)</f>
        <v>8690400</v>
      </c>
      <c r="K105" s="103">
        <f>VLOOKUP($A105,'OI(Volume)'!$A$7:$O$440,12)</f>
        <v>260100</v>
      </c>
      <c r="L105" s="103">
        <f>VLOOKUP($A105,'OI(Value)'!$A$7:$O$323,8,0)</f>
        <v>546</v>
      </c>
      <c r="M105" s="103">
        <f>VLOOKUP($A105,'OI(Value)'!$A$7:$O$323,9,0)</f>
        <v>134</v>
      </c>
      <c r="N105" s="103">
        <f>VLOOKUP($A105,'OI(Value)'!$A$7:$O$323,11,0)</f>
        <v>382</v>
      </c>
      <c r="O105" s="103">
        <f>VLOOKUP($A105,'OI(Value)'!$A$7:$O$323,12,0)</f>
        <v>11</v>
      </c>
      <c r="P105" s="179">
        <f>VLOOKUP(A105,'OI(Value)'!A105:O323,8,0)</f>
        <v>546</v>
      </c>
      <c r="Q105" s="179">
        <f>VLOOKUP(A105,'OI(Value)'!A105:O323,9,0)</f>
        <v>134</v>
      </c>
      <c r="R105" s="179">
        <f>VLOOKUP(A105,'OI(Value)'!A105:O323,11,0)</f>
        <v>382</v>
      </c>
      <c r="S105" s="179">
        <f>VLOOKUP(A105,'OI(Value)'!A105:O323,11,0)</f>
        <v>382</v>
      </c>
    </row>
    <row r="106" spans="1:19" x14ac:dyDescent="0.25">
      <c r="A106" s="105" t="str">
        <f>'Data Vlaue (Cr)'!C101</f>
        <v>INFY</v>
      </c>
      <c r="B106" s="143">
        <f>VLOOKUP($A106,'Data shares'!$C:$FA,118)</f>
        <v>0.76</v>
      </c>
      <c r="C106" s="143">
        <f>VLOOKUP($A106,'Data shares'!$C:$FA,119)</f>
        <v>0.8</v>
      </c>
      <c r="D106" s="143">
        <f>VLOOKUP($A106,'Data shares'!$C:$FA,121)*100</f>
        <v>-5</v>
      </c>
      <c r="E106" s="143">
        <f>VLOOKUP($A106,'Data shares'!$C:$FA,124)</f>
        <v>0.53</v>
      </c>
      <c r="F106" s="143">
        <f>VLOOKUP($A106,'Data shares'!$C:$FA,125)</f>
        <v>0.47</v>
      </c>
      <c r="G106" s="143">
        <f>VLOOKUP($A106,'Data shares'!$C:$FA,127)*100</f>
        <v>12.770000000000001</v>
      </c>
      <c r="H106" s="103">
        <f>VLOOKUP($A106,'OI(Volume)'!$A$7:$O$440,8)</f>
        <v>20953600</v>
      </c>
      <c r="I106" s="103">
        <f>VLOOKUP($A106,'OI(Volume)'!$A$7:$O$440,9)</f>
        <v>1607200</v>
      </c>
      <c r="J106" s="103">
        <f>VLOOKUP($A106,'OI(Volume)'!$A$7:$O$440,11)</f>
        <v>16014400</v>
      </c>
      <c r="K106" s="103">
        <f>VLOOKUP($A106,'OI(Volume)'!$A$7:$O$440,12)</f>
        <v>583600</v>
      </c>
      <c r="L106" s="103">
        <f>VLOOKUP($A106,'OI(Value)'!$A$7:$O$323,8,0)</f>
        <v>2792</v>
      </c>
      <c r="M106" s="103">
        <f>VLOOKUP($A106,'OI(Value)'!$A$7:$O$323,9,0)</f>
        <v>214</v>
      </c>
      <c r="N106" s="103">
        <f>VLOOKUP($A106,'OI(Value)'!$A$7:$O$323,11,0)</f>
        <v>2134</v>
      </c>
      <c r="O106" s="103">
        <f>VLOOKUP($A106,'OI(Value)'!$A$7:$O$323,12,0)</f>
        <v>78</v>
      </c>
      <c r="P106" s="179">
        <f>VLOOKUP(A106,'OI(Value)'!A106:O324,8,0)</f>
        <v>2792</v>
      </c>
      <c r="Q106" s="179">
        <f>VLOOKUP(A106,'OI(Value)'!A106:O324,9,0)</f>
        <v>214</v>
      </c>
      <c r="R106" s="179">
        <f>VLOOKUP(A106,'OI(Value)'!A106:O324,11,0)</f>
        <v>2134</v>
      </c>
      <c r="S106" s="179">
        <f>VLOOKUP(A106,'OI(Value)'!A106:O324,11,0)</f>
        <v>2134</v>
      </c>
    </row>
    <row r="107" spans="1:19" x14ac:dyDescent="0.25">
      <c r="A107" s="105" t="str">
        <f>'Data Vlaue (Cr)'!C102</f>
        <v>INOXWIND</v>
      </c>
      <c r="B107" s="143">
        <f>VLOOKUP($A107,'Data shares'!$C:$FA,118)</f>
        <v>1.08</v>
      </c>
      <c r="C107" s="143">
        <f>VLOOKUP($A107,'Data shares'!$C:$FA,119)</f>
        <v>1.1200000000000001</v>
      </c>
      <c r="D107" s="143">
        <f>VLOOKUP($A107,'Data shares'!$C:$FA,121)*100</f>
        <v>-3.5700000000000003</v>
      </c>
      <c r="E107" s="143">
        <f>VLOOKUP($A107,'Data shares'!$C:$FA,124)</f>
        <v>0.48</v>
      </c>
      <c r="F107" s="143">
        <f>VLOOKUP($A107,'Data shares'!$C:$FA,125)</f>
        <v>0.5</v>
      </c>
      <c r="G107" s="143">
        <f>VLOOKUP($A107,'Data shares'!$C:$FA,127)*100</f>
        <v>-4</v>
      </c>
      <c r="H107" s="103">
        <f>VLOOKUP($A107,'OI(Volume)'!$A$7:$O$440,8)</f>
        <v>17853550</v>
      </c>
      <c r="I107" s="103">
        <f>VLOOKUP($A107,'OI(Volume)'!$A$7:$O$440,9)</f>
        <v>1068925</v>
      </c>
      <c r="J107" s="103">
        <f>VLOOKUP($A107,'OI(Volume)'!$A$7:$O$440,11)</f>
        <v>19197750</v>
      </c>
      <c r="K107" s="103">
        <f>VLOOKUP($A107,'OI(Volume)'!$A$7:$O$440,12)</f>
        <v>464750</v>
      </c>
      <c r="L107" s="103">
        <f>VLOOKUP($A107,'OI(Value)'!$A$7:$O$323,8,0)</f>
        <v>153</v>
      </c>
      <c r="M107" s="103">
        <f>VLOOKUP($A107,'OI(Value)'!$A$7:$O$323,9,0)</f>
        <v>9</v>
      </c>
      <c r="N107" s="103">
        <f>VLOOKUP($A107,'OI(Value)'!$A$7:$O$323,11,0)</f>
        <v>165</v>
      </c>
      <c r="O107" s="103">
        <f>VLOOKUP($A107,'OI(Value)'!$A$7:$O$323,12,0)</f>
        <v>4</v>
      </c>
      <c r="P107" s="179">
        <f>VLOOKUP(A107,'OI(Value)'!A107:O325,8,0)</f>
        <v>153</v>
      </c>
      <c r="Q107" s="179">
        <f>VLOOKUP(A107,'OI(Value)'!A107:O325,9,0)</f>
        <v>9</v>
      </c>
      <c r="R107" s="179">
        <f>VLOOKUP(A107,'OI(Value)'!A107:O325,11,0)</f>
        <v>165</v>
      </c>
      <c r="S107" s="179">
        <f>VLOOKUP(A107,'OI(Value)'!A107:O325,11,0)</f>
        <v>165</v>
      </c>
    </row>
    <row r="108" spans="1:19" x14ac:dyDescent="0.25">
      <c r="A108" s="105" t="str">
        <f>'Data Vlaue (Cr)'!C103</f>
        <v>IOC</v>
      </c>
      <c r="B108" s="143">
        <f>VLOOKUP($A108,'Data shares'!$C:$FA,118)</f>
        <v>0.69</v>
      </c>
      <c r="C108" s="143">
        <f>VLOOKUP($A108,'Data shares'!$C:$FA,119)</f>
        <v>0.62</v>
      </c>
      <c r="D108" s="143">
        <f>VLOOKUP($A108,'Data shares'!$C:$FA,121)*100</f>
        <v>11.29</v>
      </c>
      <c r="E108" s="143">
        <f>VLOOKUP($A108,'Data shares'!$C:$FA,124)</f>
        <v>0.66</v>
      </c>
      <c r="F108" s="143">
        <f>VLOOKUP($A108,'Data shares'!$C:$FA,125)</f>
        <v>0.37</v>
      </c>
      <c r="G108" s="143">
        <f>VLOOKUP($A108,'Data shares'!$C:$FA,127)*100</f>
        <v>78.38000000000001</v>
      </c>
      <c r="H108" s="103">
        <f>VLOOKUP($A108,'OI(Volume)'!$A$7:$O$440,8)</f>
        <v>61239750</v>
      </c>
      <c r="I108" s="103">
        <f>VLOOKUP($A108,'OI(Volume)'!$A$7:$O$440,9)</f>
        <v>594750</v>
      </c>
      <c r="J108" s="103">
        <f>VLOOKUP($A108,'OI(Volume)'!$A$7:$O$440,11)</f>
        <v>42324750</v>
      </c>
      <c r="K108" s="103">
        <f>VLOOKUP($A108,'OI(Volume)'!$A$7:$O$440,12)</f>
        <v>4953000</v>
      </c>
      <c r="L108" s="103">
        <f>VLOOKUP($A108,'OI(Value)'!$A$7:$O$323,8,0)</f>
        <v>869</v>
      </c>
      <c r="M108" s="103">
        <f>VLOOKUP($A108,'OI(Value)'!$A$7:$O$323,9,0)</f>
        <v>8</v>
      </c>
      <c r="N108" s="103">
        <f>VLOOKUP($A108,'OI(Value)'!$A$7:$O$323,11,0)</f>
        <v>601</v>
      </c>
      <c r="O108" s="103">
        <f>VLOOKUP($A108,'OI(Value)'!$A$7:$O$323,12,0)</f>
        <v>70</v>
      </c>
      <c r="P108" s="179">
        <f>VLOOKUP(A108,'OI(Value)'!A108:O326,8,0)</f>
        <v>869</v>
      </c>
      <c r="Q108" s="179">
        <f>VLOOKUP(A108,'OI(Value)'!A108:O326,9,0)</f>
        <v>8</v>
      </c>
      <c r="R108" s="179">
        <f>VLOOKUP(A108,'OI(Value)'!A108:O326,11,0)</f>
        <v>601</v>
      </c>
      <c r="S108" s="179">
        <f>VLOOKUP(A108,'OI(Value)'!A108:O326,11,0)</f>
        <v>601</v>
      </c>
    </row>
    <row r="109" spans="1:19" x14ac:dyDescent="0.25">
      <c r="A109" s="105" t="str">
        <f>'Data Vlaue (Cr)'!C104</f>
        <v>IREDA</v>
      </c>
      <c r="B109" s="143">
        <f>VLOOKUP($A109,'Data shares'!$C:$FA,118)</f>
        <v>0.91</v>
      </c>
      <c r="C109" s="143">
        <f>VLOOKUP($A109,'Data shares'!$C:$FA,119)</f>
        <v>0.91</v>
      </c>
      <c r="D109" s="143">
        <f>VLOOKUP($A109,'Data shares'!$C:$FA,121)*100</f>
        <v>0</v>
      </c>
      <c r="E109" s="143">
        <f>VLOOKUP($A109,'Data shares'!$C:$FA,124)</f>
        <v>0.45</v>
      </c>
      <c r="F109" s="143">
        <f>VLOOKUP($A109,'Data shares'!$C:$FA,125)</f>
        <v>0.43</v>
      </c>
      <c r="G109" s="143">
        <f>VLOOKUP($A109,'Data shares'!$C:$FA,127)*100</f>
        <v>4.6500000000000004</v>
      </c>
      <c r="H109" s="103">
        <f>VLOOKUP($A109,'OI(Volume)'!$A$7:$O$440,8)</f>
        <v>16335750</v>
      </c>
      <c r="I109" s="103">
        <f>VLOOKUP($A109,'OI(Volume)'!$A$7:$O$440,9)</f>
        <v>186300</v>
      </c>
      <c r="J109" s="103">
        <f>VLOOKUP($A109,'OI(Volume)'!$A$7:$O$440,11)</f>
        <v>14855700</v>
      </c>
      <c r="K109" s="103">
        <f>VLOOKUP($A109,'OI(Volume)'!$A$7:$O$440,12)</f>
        <v>231150</v>
      </c>
      <c r="L109" s="103">
        <f>VLOOKUP($A109,'OI(Value)'!$A$7:$O$323,8,0)</f>
        <v>200</v>
      </c>
      <c r="M109" s="103">
        <f>VLOOKUP($A109,'OI(Value)'!$A$7:$O$323,9,0)</f>
        <v>2</v>
      </c>
      <c r="N109" s="103">
        <f>VLOOKUP($A109,'OI(Value)'!$A$7:$O$323,11,0)</f>
        <v>182</v>
      </c>
      <c r="O109" s="103">
        <f>VLOOKUP($A109,'OI(Value)'!$A$7:$O$323,12,0)</f>
        <v>3</v>
      </c>
      <c r="P109" s="179">
        <f>VLOOKUP(A109,'OI(Value)'!A109:O327,8,0)</f>
        <v>200</v>
      </c>
      <c r="Q109" s="179">
        <f>VLOOKUP(A109,'OI(Value)'!A109:O327,9,0)</f>
        <v>2</v>
      </c>
      <c r="R109" s="179">
        <f>VLOOKUP(A109,'OI(Value)'!A109:O327,11,0)</f>
        <v>182</v>
      </c>
      <c r="S109" s="179">
        <f>VLOOKUP(A109,'OI(Value)'!A109:O327,11,0)</f>
        <v>182</v>
      </c>
    </row>
    <row r="110" spans="1:19" x14ac:dyDescent="0.25">
      <c r="A110" s="105" t="str">
        <f>'Data Vlaue (Cr)'!C105</f>
        <v>IRFC</v>
      </c>
      <c r="B110" s="143">
        <f>VLOOKUP($A110,'Data shares'!$C:$FA,118)</f>
        <v>0.74</v>
      </c>
      <c r="C110" s="143">
        <f>VLOOKUP($A110,'Data shares'!$C:$FA,119)</f>
        <v>0.71</v>
      </c>
      <c r="D110" s="143">
        <f>VLOOKUP($A110,'Data shares'!$C:$FA,121)*100</f>
        <v>4.2299999999999995</v>
      </c>
      <c r="E110" s="143">
        <f>VLOOKUP($A110,'Data shares'!$C:$FA,124)</f>
        <v>0.4</v>
      </c>
      <c r="F110" s="143">
        <f>VLOOKUP($A110,'Data shares'!$C:$FA,125)</f>
        <v>0.28000000000000003</v>
      </c>
      <c r="G110" s="143">
        <f>VLOOKUP($A110,'Data shares'!$C:$FA,127)*100</f>
        <v>42.86</v>
      </c>
      <c r="H110" s="103">
        <f>VLOOKUP($A110,'OI(Volume)'!$A$7:$O$440,8)</f>
        <v>33596250</v>
      </c>
      <c r="I110" s="103">
        <f>VLOOKUP($A110,'OI(Volume)'!$A$7:$O$440,9)</f>
        <v>-1279250</v>
      </c>
      <c r="J110" s="103">
        <f>VLOOKUP($A110,'OI(Volume)'!$A$7:$O$440,11)</f>
        <v>24900750</v>
      </c>
      <c r="K110" s="103">
        <f>VLOOKUP($A110,'OI(Volume)'!$A$7:$O$440,12)</f>
        <v>195500</v>
      </c>
      <c r="L110" s="103">
        <f>VLOOKUP($A110,'OI(Value)'!$A$7:$O$323,8,0)</f>
        <v>331</v>
      </c>
      <c r="M110" s="103">
        <f>VLOOKUP($A110,'OI(Value)'!$A$7:$O$323,9,0)</f>
        <v>-13</v>
      </c>
      <c r="N110" s="103">
        <f>VLOOKUP($A110,'OI(Value)'!$A$7:$O$323,11,0)</f>
        <v>245</v>
      </c>
      <c r="O110" s="103">
        <f>VLOOKUP($A110,'OI(Value)'!$A$7:$O$323,12,0)</f>
        <v>2</v>
      </c>
      <c r="P110" s="179">
        <f>VLOOKUP(A110,'OI(Value)'!A110:O328,8,0)</f>
        <v>331</v>
      </c>
      <c r="Q110" s="179">
        <f>VLOOKUP(A110,'OI(Value)'!A110:O328,9,0)</f>
        <v>-13</v>
      </c>
      <c r="R110" s="179">
        <f>VLOOKUP(A110,'OI(Value)'!A110:O328,11,0)</f>
        <v>245</v>
      </c>
      <c r="S110" s="179">
        <f>VLOOKUP(A110,'OI(Value)'!A110:O328,11,0)</f>
        <v>245</v>
      </c>
    </row>
    <row r="111" spans="1:19" x14ac:dyDescent="0.25">
      <c r="A111" s="105" t="str">
        <f>'Data Vlaue (Cr)'!C106</f>
        <v>ITC</v>
      </c>
      <c r="B111" s="143">
        <f>VLOOKUP($A111,'Data shares'!$C:$FA,118)</f>
        <v>0.56999999999999995</v>
      </c>
      <c r="C111" s="143">
        <f>VLOOKUP($A111,'Data shares'!$C:$FA,119)</f>
        <v>0.61</v>
      </c>
      <c r="D111" s="143">
        <f>VLOOKUP($A111,'Data shares'!$C:$FA,121)*100</f>
        <v>-6.5600000000000005</v>
      </c>
      <c r="E111" s="143">
        <f>VLOOKUP($A111,'Data shares'!$C:$FA,124)</f>
        <v>0.37</v>
      </c>
      <c r="F111" s="143">
        <f>VLOOKUP($A111,'Data shares'!$C:$FA,125)</f>
        <v>0.5</v>
      </c>
      <c r="G111" s="143">
        <f>VLOOKUP($A111,'Data shares'!$C:$FA,127)*100</f>
        <v>-26</v>
      </c>
      <c r="H111" s="103">
        <f>VLOOKUP($A111,'OI(Volume)'!$A$7:$O$440,8)</f>
        <v>85006400</v>
      </c>
      <c r="I111" s="103">
        <f>VLOOKUP($A111,'OI(Volume)'!$A$7:$O$440,9)</f>
        <v>7024000</v>
      </c>
      <c r="J111" s="103">
        <f>VLOOKUP($A111,'OI(Volume)'!$A$7:$O$440,11)</f>
        <v>48224000</v>
      </c>
      <c r="K111" s="103">
        <f>VLOOKUP($A111,'OI(Volume)'!$A$7:$O$440,12)</f>
        <v>547200</v>
      </c>
      <c r="L111" s="103">
        <f>VLOOKUP($A111,'OI(Value)'!$A$7:$O$323,8,0)</f>
        <v>2582</v>
      </c>
      <c r="M111" s="103">
        <f>VLOOKUP($A111,'OI(Value)'!$A$7:$O$323,9,0)</f>
        <v>213</v>
      </c>
      <c r="N111" s="103">
        <f>VLOOKUP($A111,'OI(Value)'!$A$7:$O$323,11,0)</f>
        <v>1465</v>
      </c>
      <c r="O111" s="103">
        <f>VLOOKUP($A111,'OI(Value)'!$A$7:$O$323,12,0)</f>
        <v>17</v>
      </c>
      <c r="P111" s="179">
        <f>VLOOKUP(A111,'OI(Value)'!A111:O329,8,0)</f>
        <v>2582</v>
      </c>
      <c r="Q111" s="179">
        <f>VLOOKUP(A111,'OI(Value)'!A111:O329,9,0)</f>
        <v>213</v>
      </c>
      <c r="R111" s="179">
        <f>VLOOKUP(A111,'OI(Value)'!A111:O329,11,0)</f>
        <v>1465</v>
      </c>
      <c r="S111" s="179">
        <f>VLOOKUP(A111,'OI(Value)'!A111:O329,11,0)</f>
        <v>1465</v>
      </c>
    </row>
    <row r="112" spans="1:19" x14ac:dyDescent="0.25">
      <c r="A112" s="105" t="str">
        <f>'Data Vlaue (Cr)'!C107</f>
        <v>JINDALSTEL</v>
      </c>
      <c r="B112" s="143">
        <f>VLOOKUP($A112,'Data shares'!$C:$FA,118)</f>
        <v>1.05</v>
      </c>
      <c r="C112" s="143">
        <f>VLOOKUP($A112,'Data shares'!$C:$FA,119)</f>
        <v>1</v>
      </c>
      <c r="D112" s="143">
        <f>VLOOKUP($A112,'Data shares'!$C:$FA,121)*100</f>
        <v>5</v>
      </c>
      <c r="E112" s="143">
        <f>VLOOKUP($A112,'Data shares'!$C:$FA,124)</f>
        <v>0.96</v>
      </c>
      <c r="F112" s="143">
        <f>VLOOKUP($A112,'Data shares'!$C:$FA,125)</f>
        <v>0.61</v>
      </c>
      <c r="G112" s="143">
        <f>VLOOKUP($A112,'Data shares'!$C:$FA,127)*100</f>
        <v>57.379999999999995</v>
      </c>
      <c r="H112" s="103">
        <f>VLOOKUP($A112,'OI(Volume)'!$A$7:$O$440,8)</f>
        <v>2676875</v>
      </c>
      <c r="I112" s="103">
        <f>VLOOKUP($A112,'OI(Volume)'!$A$7:$O$440,9)</f>
        <v>171875</v>
      </c>
      <c r="J112" s="103">
        <f>VLOOKUP($A112,'OI(Volume)'!$A$7:$O$440,11)</f>
        <v>2815000</v>
      </c>
      <c r="K112" s="103">
        <f>VLOOKUP($A112,'OI(Volume)'!$A$7:$O$440,12)</f>
        <v>315000</v>
      </c>
      <c r="L112" s="103">
        <f>VLOOKUP($A112,'OI(Value)'!$A$7:$O$323,8,0)</f>
        <v>323</v>
      </c>
      <c r="M112" s="103">
        <f>VLOOKUP($A112,'OI(Value)'!$A$7:$O$323,9,0)</f>
        <v>21</v>
      </c>
      <c r="N112" s="103">
        <f>VLOOKUP($A112,'OI(Value)'!$A$7:$O$323,11,0)</f>
        <v>339</v>
      </c>
      <c r="O112" s="103">
        <f>VLOOKUP($A112,'OI(Value)'!$A$7:$O$323,12,0)</f>
        <v>38</v>
      </c>
      <c r="P112" s="179">
        <f>VLOOKUP(A112,'OI(Value)'!A112:O330,8,0)</f>
        <v>323</v>
      </c>
      <c r="Q112" s="179">
        <f>VLOOKUP(A112,'OI(Value)'!A112:O330,9,0)</f>
        <v>21</v>
      </c>
      <c r="R112" s="179">
        <f>VLOOKUP(A112,'OI(Value)'!A112:O330,11,0)</f>
        <v>339</v>
      </c>
      <c r="S112" s="179">
        <f>VLOOKUP(A112,'OI(Value)'!A112:O330,11,0)</f>
        <v>339</v>
      </c>
    </row>
    <row r="113" spans="1:19" x14ac:dyDescent="0.25">
      <c r="A113" s="105" t="str">
        <f>'Data Vlaue (Cr)'!C108</f>
        <v>JIOFIN</v>
      </c>
      <c r="B113" s="143">
        <f>VLOOKUP($A113,'Data shares'!$C:$FA,118)</f>
        <v>0.83</v>
      </c>
      <c r="C113" s="143">
        <f>VLOOKUP($A113,'Data shares'!$C:$FA,119)</f>
        <v>0.87</v>
      </c>
      <c r="D113" s="143">
        <f>VLOOKUP($A113,'Data shares'!$C:$FA,121)*100</f>
        <v>-4.5999999999999996</v>
      </c>
      <c r="E113" s="143">
        <f>VLOOKUP($A113,'Data shares'!$C:$FA,124)</f>
        <v>0.56000000000000005</v>
      </c>
      <c r="F113" s="143">
        <f>VLOOKUP($A113,'Data shares'!$C:$FA,125)</f>
        <v>0.49</v>
      </c>
      <c r="G113" s="143">
        <f>VLOOKUP($A113,'Data shares'!$C:$FA,127)*100</f>
        <v>14.29</v>
      </c>
      <c r="H113" s="103">
        <f>VLOOKUP($A113,'OI(Volume)'!$A$7:$O$440,8)</f>
        <v>40546900</v>
      </c>
      <c r="I113" s="103">
        <f>VLOOKUP($A113,'OI(Volume)'!$A$7:$O$440,9)</f>
        <v>5456700</v>
      </c>
      <c r="J113" s="103">
        <f>VLOOKUP($A113,'OI(Volume)'!$A$7:$O$440,11)</f>
        <v>33722500</v>
      </c>
      <c r="K113" s="103">
        <f>VLOOKUP($A113,'OI(Volume)'!$A$7:$O$440,12)</f>
        <v>3217150</v>
      </c>
      <c r="L113" s="103">
        <f>VLOOKUP($A113,'OI(Value)'!$A$7:$O$323,8,0)</f>
        <v>972</v>
      </c>
      <c r="M113" s="103">
        <f>VLOOKUP($A113,'OI(Value)'!$A$7:$O$323,9,0)</f>
        <v>131</v>
      </c>
      <c r="N113" s="103">
        <f>VLOOKUP($A113,'OI(Value)'!$A$7:$O$323,11,0)</f>
        <v>808</v>
      </c>
      <c r="O113" s="103">
        <f>VLOOKUP($A113,'OI(Value)'!$A$7:$O$323,12,0)</f>
        <v>77</v>
      </c>
      <c r="P113" s="179">
        <f>VLOOKUP(A113,'OI(Value)'!A113:O331,8,0)</f>
        <v>972</v>
      </c>
      <c r="Q113" s="179">
        <f>VLOOKUP(A113,'OI(Value)'!A113:O331,9,0)</f>
        <v>131</v>
      </c>
      <c r="R113" s="179">
        <f>VLOOKUP(A113,'OI(Value)'!A113:O331,11,0)</f>
        <v>808</v>
      </c>
      <c r="S113" s="179">
        <f>VLOOKUP(A113,'OI(Value)'!A113:O331,11,0)</f>
        <v>808</v>
      </c>
    </row>
    <row r="114" spans="1:19" x14ac:dyDescent="0.25">
      <c r="A114" s="105" t="str">
        <f>'Data Vlaue (Cr)'!C109</f>
        <v>JSWENERGY</v>
      </c>
      <c r="B114" s="143">
        <f>VLOOKUP($A114,'Data shares'!$C:$FA,118)</f>
        <v>0.56000000000000005</v>
      </c>
      <c r="C114" s="143">
        <f>VLOOKUP($A114,'Data shares'!$C:$FA,119)</f>
        <v>0.59</v>
      </c>
      <c r="D114" s="143">
        <f>VLOOKUP($A114,'Data shares'!$C:$FA,121)*100</f>
        <v>-5.08</v>
      </c>
      <c r="E114" s="143">
        <f>VLOOKUP($A114,'Data shares'!$C:$FA,124)</f>
        <v>0.33</v>
      </c>
      <c r="F114" s="143">
        <f>VLOOKUP($A114,'Data shares'!$C:$FA,125)</f>
        <v>0.36</v>
      </c>
      <c r="G114" s="143">
        <f>VLOOKUP($A114,'Data shares'!$C:$FA,127)*100</f>
        <v>-8.33</v>
      </c>
      <c r="H114" s="103">
        <f>VLOOKUP($A114,'OI(Volume)'!$A$7:$O$440,8)</f>
        <v>7095000</v>
      </c>
      <c r="I114" s="103">
        <f>VLOOKUP($A114,'OI(Volume)'!$A$7:$O$440,9)</f>
        <v>1561000</v>
      </c>
      <c r="J114" s="103">
        <f>VLOOKUP($A114,'OI(Volume)'!$A$7:$O$440,11)</f>
        <v>3940000</v>
      </c>
      <c r="K114" s="103">
        <f>VLOOKUP($A114,'OI(Volume)'!$A$7:$O$440,12)</f>
        <v>679000</v>
      </c>
      <c r="L114" s="103">
        <f>VLOOKUP($A114,'OI(Value)'!$A$7:$O$323,8,0)</f>
        <v>349</v>
      </c>
      <c r="M114" s="103">
        <f>VLOOKUP($A114,'OI(Value)'!$A$7:$O$323,9,0)</f>
        <v>77</v>
      </c>
      <c r="N114" s="103">
        <f>VLOOKUP($A114,'OI(Value)'!$A$7:$O$323,11,0)</f>
        <v>194</v>
      </c>
      <c r="O114" s="103">
        <f>VLOOKUP($A114,'OI(Value)'!$A$7:$O$323,12,0)</f>
        <v>33</v>
      </c>
      <c r="P114" s="179">
        <f>VLOOKUP(A114,'OI(Value)'!A114:O332,8,0)</f>
        <v>349</v>
      </c>
      <c r="Q114" s="179">
        <f>VLOOKUP(A114,'OI(Value)'!A114:O332,9,0)</f>
        <v>77</v>
      </c>
      <c r="R114" s="179">
        <f>VLOOKUP(A114,'OI(Value)'!A114:O332,11,0)</f>
        <v>194</v>
      </c>
      <c r="S114" s="179">
        <f>VLOOKUP(A114,'OI(Value)'!A114:O332,11,0)</f>
        <v>194</v>
      </c>
    </row>
    <row r="115" spans="1:19" x14ac:dyDescent="0.25">
      <c r="A115" s="105" t="str">
        <f>'Data Vlaue (Cr)'!C110</f>
        <v>JSWSTEEL</v>
      </c>
      <c r="B115" s="143">
        <f>VLOOKUP($A115,'Data shares'!$C:$FA,118)</f>
        <v>0.83</v>
      </c>
      <c r="C115" s="143">
        <f>VLOOKUP($A115,'Data shares'!$C:$FA,119)</f>
        <v>0.84</v>
      </c>
      <c r="D115" s="143">
        <f>VLOOKUP($A115,'Data shares'!$C:$FA,121)*100</f>
        <v>-1.1900000000000002</v>
      </c>
      <c r="E115" s="143">
        <f>VLOOKUP($A115,'Data shares'!$C:$FA,124)</f>
        <v>0.59</v>
      </c>
      <c r="F115" s="143">
        <f>VLOOKUP($A115,'Data shares'!$C:$FA,125)</f>
        <v>0.9</v>
      </c>
      <c r="G115" s="143">
        <f>VLOOKUP($A115,'Data shares'!$C:$FA,127)*100</f>
        <v>-34.44</v>
      </c>
      <c r="H115" s="103">
        <f>VLOOKUP($A115,'OI(Volume)'!$A$7:$O$440,8)</f>
        <v>6817500</v>
      </c>
      <c r="I115" s="103">
        <f>VLOOKUP($A115,'OI(Volume)'!$A$7:$O$440,9)</f>
        <v>64800</v>
      </c>
      <c r="J115" s="103">
        <f>VLOOKUP($A115,'OI(Volume)'!$A$7:$O$440,11)</f>
        <v>5674050</v>
      </c>
      <c r="K115" s="103">
        <f>VLOOKUP($A115,'OI(Volume)'!$A$7:$O$440,12)</f>
        <v>15525</v>
      </c>
      <c r="L115" s="103">
        <f>VLOOKUP($A115,'OI(Value)'!$A$7:$O$323,8,0)</f>
        <v>828</v>
      </c>
      <c r="M115" s="103">
        <f>VLOOKUP($A115,'OI(Value)'!$A$7:$O$323,9,0)</f>
        <v>8</v>
      </c>
      <c r="N115" s="103">
        <f>VLOOKUP($A115,'OI(Value)'!$A$7:$O$323,11,0)</f>
        <v>689</v>
      </c>
      <c r="O115" s="103">
        <f>VLOOKUP($A115,'OI(Value)'!$A$7:$O$323,12,0)</f>
        <v>2</v>
      </c>
      <c r="P115" s="179">
        <f>VLOOKUP(A115,'OI(Value)'!A115:O333,8,0)</f>
        <v>828</v>
      </c>
      <c r="Q115" s="179">
        <f>VLOOKUP(A115,'OI(Value)'!A115:O333,9,0)</f>
        <v>8</v>
      </c>
      <c r="R115" s="179">
        <f>VLOOKUP(A115,'OI(Value)'!A115:O333,11,0)</f>
        <v>689</v>
      </c>
      <c r="S115" s="179">
        <f>VLOOKUP(A115,'OI(Value)'!A115:O333,11,0)</f>
        <v>689</v>
      </c>
    </row>
    <row r="116" spans="1:19" x14ac:dyDescent="0.25">
      <c r="A116" s="105" t="str">
        <f>'Data Vlaue (Cr)'!C111</f>
        <v>JUBLFOOD</v>
      </c>
      <c r="B116" s="143">
        <f>VLOOKUP($A116,'Data shares'!$C:$FA,118)</f>
        <v>0.66</v>
      </c>
      <c r="C116" s="143">
        <f>VLOOKUP($A116,'Data shares'!$C:$FA,119)</f>
        <v>0.65</v>
      </c>
      <c r="D116" s="143">
        <f>VLOOKUP($A116,'Data shares'!$C:$FA,121)*100</f>
        <v>1.54</v>
      </c>
      <c r="E116" s="143">
        <f>VLOOKUP($A116,'Data shares'!$C:$FA,124)</f>
        <v>0.46</v>
      </c>
      <c r="F116" s="143">
        <f>VLOOKUP($A116,'Data shares'!$C:$FA,125)</f>
        <v>0.56000000000000005</v>
      </c>
      <c r="G116" s="143">
        <f>VLOOKUP($A116,'Data shares'!$C:$FA,127)*100</f>
        <v>-17.86</v>
      </c>
      <c r="H116" s="103">
        <f>VLOOKUP($A116,'OI(Volume)'!$A$7:$O$440,8)</f>
        <v>15280000</v>
      </c>
      <c r="I116" s="103">
        <f>VLOOKUP($A116,'OI(Volume)'!$A$7:$O$440,9)</f>
        <v>-293750</v>
      </c>
      <c r="J116" s="103">
        <f>VLOOKUP($A116,'OI(Volume)'!$A$7:$O$440,11)</f>
        <v>10142500</v>
      </c>
      <c r="K116" s="103">
        <f>VLOOKUP($A116,'OI(Volume)'!$A$7:$O$440,12)</f>
        <v>-25000</v>
      </c>
      <c r="L116" s="103">
        <f>VLOOKUP($A116,'OI(Value)'!$A$7:$O$323,8,0)</f>
        <v>651</v>
      </c>
      <c r="M116" s="103">
        <f>VLOOKUP($A116,'OI(Value)'!$A$7:$O$323,9,0)</f>
        <v>-13</v>
      </c>
      <c r="N116" s="103">
        <f>VLOOKUP($A116,'OI(Value)'!$A$7:$O$323,11,0)</f>
        <v>432</v>
      </c>
      <c r="O116" s="103">
        <f>VLOOKUP($A116,'OI(Value)'!$A$7:$O$323,12,0)</f>
        <v>-1</v>
      </c>
      <c r="P116" s="179">
        <f>VLOOKUP(A116,'OI(Value)'!A116:O334,8,0)</f>
        <v>651</v>
      </c>
      <c r="Q116" s="179">
        <f>VLOOKUP(A116,'OI(Value)'!A116:O334,9,0)</f>
        <v>-13</v>
      </c>
      <c r="R116" s="179">
        <f>VLOOKUP(A116,'OI(Value)'!A116:O334,11,0)</f>
        <v>432</v>
      </c>
      <c r="S116" s="179">
        <f>VLOOKUP(A116,'OI(Value)'!A116:O334,11,0)</f>
        <v>432</v>
      </c>
    </row>
    <row r="117" spans="1:19" x14ac:dyDescent="0.25">
      <c r="A117" s="105" t="str">
        <f>'Data Vlaue (Cr)'!C112</f>
        <v>KALYANKJIL</v>
      </c>
      <c r="B117" s="143">
        <f>VLOOKUP($A117,'Data shares'!$C:$FA,118)</f>
        <v>0.92</v>
      </c>
      <c r="C117" s="143">
        <f>VLOOKUP($A117,'Data shares'!$C:$FA,119)</f>
        <v>0.94</v>
      </c>
      <c r="D117" s="143">
        <f>VLOOKUP($A117,'Data shares'!$C:$FA,121)*100</f>
        <v>-2.13</v>
      </c>
      <c r="E117" s="143">
        <f>VLOOKUP($A117,'Data shares'!$C:$FA,124)</f>
        <v>0.61</v>
      </c>
      <c r="F117" s="143">
        <f>VLOOKUP($A117,'Data shares'!$C:$FA,125)</f>
        <v>0.33</v>
      </c>
      <c r="G117" s="143">
        <f>VLOOKUP($A117,'Data shares'!$C:$FA,127)*100</f>
        <v>84.850000000000009</v>
      </c>
      <c r="H117" s="103">
        <f>VLOOKUP($A117,'OI(Volume)'!$A$7:$O$440,8)</f>
        <v>5751625</v>
      </c>
      <c r="I117" s="103">
        <f>VLOOKUP($A117,'OI(Volume)'!$A$7:$O$440,9)</f>
        <v>399500</v>
      </c>
      <c r="J117" s="103">
        <f>VLOOKUP($A117,'OI(Volume)'!$A$7:$O$440,11)</f>
        <v>5314525</v>
      </c>
      <c r="K117" s="103">
        <f>VLOOKUP($A117,'OI(Volume)'!$A$7:$O$440,12)</f>
        <v>304325</v>
      </c>
      <c r="L117" s="103">
        <f>VLOOKUP($A117,'OI(Value)'!$A$7:$O$323,8,0)</f>
        <v>258</v>
      </c>
      <c r="M117" s="103">
        <f>VLOOKUP($A117,'OI(Value)'!$A$7:$O$323,9,0)</f>
        <v>18</v>
      </c>
      <c r="N117" s="103">
        <f>VLOOKUP($A117,'OI(Value)'!$A$7:$O$323,11,0)</f>
        <v>238</v>
      </c>
      <c r="O117" s="103">
        <f>VLOOKUP($A117,'OI(Value)'!$A$7:$O$323,12,0)</f>
        <v>14</v>
      </c>
      <c r="P117" s="179">
        <f>VLOOKUP(A117,'OI(Value)'!A117:O335,8,0)</f>
        <v>258</v>
      </c>
      <c r="Q117" s="179">
        <f>VLOOKUP(A117,'OI(Value)'!A117:O335,9,0)</f>
        <v>18</v>
      </c>
      <c r="R117" s="179">
        <f>VLOOKUP(A117,'OI(Value)'!A117:O335,11,0)</f>
        <v>238</v>
      </c>
      <c r="S117" s="179">
        <f>VLOOKUP(A117,'OI(Value)'!A117:O335,11,0)</f>
        <v>238</v>
      </c>
    </row>
    <row r="118" spans="1:19" x14ac:dyDescent="0.25">
      <c r="A118" s="105" t="str">
        <f>'Data Vlaue (Cr)'!C113</f>
        <v>KAYNES</v>
      </c>
      <c r="B118" s="143">
        <f>VLOOKUP($A118,'Data shares'!$C:$FA,118)</f>
        <v>0.73</v>
      </c>
      <c r="C118" s="143">
        <f>VLOOKUP($A118,'Data shares'!$C:$FA,119)</f>
        <v>0.82</v>
      </c>
      <c r="D118" s="143">
        <f>VLOOKUP($A118,'Data shares'!$C:$FA,121)*100</f>
        <v>-10.979999999999999</v>
      </c>
      <c r="E118" s="143">
        <f>VLOOKUP($A118,'Data shares'!$C:$FA,124)</f>
        <v>0.43</v>
      </c>
      <c r="F118" s="143">
        <f>VLOOKUP($A118,'Data shares'!$C:$FA,125)</f>
        <v>0.39</v>
      </c>
      <c r="G118" s="143">
        <f>VLOOKUP($A118,'Data shares'!$C:$FA,127)*100</f>
        <v>10.26</v>
      </c>
      <c r="H118" s="103">
        <f>VLOOKUP($A118,'OI(Volume)'!$A$7:$O$440,8)</f>
        <v>1232100</v>
      </c>
      <c r="I118" s="103">
        <f>VLOOKUP($A118,'OI(Volume)'!$A$7:$O$440,9)</f>
        <v>123600</v>
      </c>
      <c r="J118" s="103">
        <f>VLOOKUP($A118,'OI(Volume)'!$A$7:$O$440,11)</f>
        <v>904000</v>
      </c>
      <c r="K118" s="103">
        <f>VLOOKUP($A118,'OI(Volume)'!$A$7:$O$440,12)</f>
        <v>-7600</v>
      </c>
      <c r="L118" s="103">
        <f>VLOOKUP($A118,'OI(Value)'!$A$7:$O$323,8,0)</f>
        <v>469</v>
      </c>
      <c r="M118" s="103">
        <f>VLOOKUP($A118,'OI(Value)'!$A$7:$O$323,9,0)</f>
        <v>47</v>
      </c>
      <c r="N118" s="103">
        <f>VLOOKUP($A118,'OI(Value)'!$A$7:$O$323,11,0)</f>
        <v>344</v>
      </c>
      <c r="O118" s="103">
        <f>VLOOKUP($A118,'OI(Value)'!$A$7:$O$323,12,0)</f>
        <v>-3</v>
      </c>
      <c r="P118" s="179">
        <f>VLOOKUP(A118,'OI(Value)'!A118:O336,8,0)</f>
        <v>469</v>
      </c>
      <c r="Q118" s="179">
        <f>VLOOKUP(A118,'OI(Value)'!A118:O336,9,0)</f>
        <v>47</v>
      </c>
      <c r="R118" s="179">
        <f>VLOOKUP(A118,'OI(Value)'!A118:O336,11,0)</f>
        <v>344</v>
      </c>
      <c r="S118" s="179">
        <f>VLOOKUP(A118,'OI(Value)'!A118:O336,11,0)</f>
        <v>344</v>
      </c>
    </row>
    <row r="119" spans="1:19" x14ac:dyDescent="0.25">
      <c r="A119" s="105" t="str">
        <f>'Data Vlaue (Cr)'!C114</f>
        <v>KEI</v>
      </c>
      <c r="B119" s="143">
        <f>VLOOKUP($A119,'Data shares'!$C:$FA,118)</f>
        <v>0.85</v>
      </c>
      <c r="C119" s="143">
        <f>VLOOKUP($A119,'Data shares'!$C:$FA,119)</f>
        <v>0.92</v>
      </c>
      <c r="D119" s="143">
        <f>VLOOKUP($A119,'Data shares'!$C:$FA,121)*100</f>
        <v>-7.61</v>
      </c>
      <c r="E119" s="143">
        <f>VLOOKUP($A119,'Data shares'!$C:$FA,124)</f>
        <v>0.45</v>
      </c>
      <c r="F119" s="143">
        <f>VLOOKUP($A119,'Data shares'!$C:$FA,125)</f>
        <v>0.39</v>
      </c>
      <c r="G119" s="143">
        <f>VLOOKUP($A119,'Data shares'!$C:$FA,127)*100</f>
        <v>15.379999999999999</v>
      </c>
      <c r="H119" s="103">
        <f>VLOOKUP($A119,'OI(Volume)'!$A$7:$O$440,8)</f>
        <v>497175</v>
      </c>
      <c r="I119" s="103">
        <f>VLOOKUP($A119,'OI(Volume)'!$A$7:$O$440,9)</f>
        <v>87675</v>
      </c>
      <c r="J119" s="103">
        <f>VLOOKUP($A119,'OI(Volume)'!$A$7:$O$440,11)</f>
        <v>422275</v>
      </c>
      <c r="K119" s="103">
        <f>VLOOKUP($A119,'OI(Volume)'!$A$7:$O$440,12)</f>
        <v>46200</v>
      </c>
      <c r="L119" s="103">
        <f>VLOOKUP($A119,'OI(Value)'!$A$7:$O$323,8,0)</f>
        <v>220</v>
      </c>
      <c r="M119" s="103">
        <f>VLOOKUP($A119,'OI(Value)'!$A$7:$O$323,9,0)</f>
        <v>39</v>
      </c>
      <c r="N119" s="103">
        <f>VLOOKUP($A119,'OI(Value)'!$A$7:$O$323,11,0)</f>
        <v>187</v>
      </c>
      <c r="O119" s="103">
        <f>VLOOKUP($A119,'OI(Value)'!$A$7:$O$323,12,0)</f>
        <v>20</v>
      </c>
      <c r="P119" s="179">
        <f>VLOOKUP(A119,'OI(Value)'!A119:O337,8,0)</f>
        <v>220</v>
      </c>
      <c r="Q119" s="179">
        <f>VLOOKUP(A119,'OI(Value)'!A119:O337,9,0)</f>
        <v>39</v>
      </c>
      <c r="R119" s="179">
        <f>VLOOKUP(A119,'OI(Value)'!A119:O337,11,0)</f>
        <v>187</v>
      </c>
      <c r="S119" s="179">
        <f>VLOOKUP(A119,'OI(Value)'!A119:O337,11,0)</f>
        <v>187</v>
      </c>
    </row>
    <row r="120" spans="1:19" x14ac:dyDescent="0.25">
      <c r="A120" s="105" t="str">
        <f>'Data Vlaue (Cr)'!C115</f>
        <v>KFINTECH</v>
      </c>
      <c r="B120" s="143">
        <f>VLOOKUP($A120,'Data shares'!$C:$FA,118)</f>
        <v>0.51</v>
      </c>
      <c r="C120" s="143">
        <f>VLOOKUP($A120,'Data shares'!$C:$FA,119)</f>
        <v>0.62</v>
      </c>
      <c r="D120" s="143">
        <f>VLOOKUP($A120,'Data shares'!$C:$FA,121)*100</f>
        <v>-17.740000000000002</v>
      </c>
      <c r="E120" s="143">
        <f>VLOOKUP($A120,'Data shares'!$C:$FA,124)</f>
        <v>0.25</v>
      </c>
      <c r="F120" s="143">
        <f>VLOOKUP($A120,'Data shares'!$C:$FA,125)</f>
        <v>0.38</v>
      </c>
      <c r="G120" s="143">
        <f>VLOOKUP($A120,'Data shares'!$C:$FA,127)*100</f>
        <v>-34.21</v>
      </c>
      <c r="H120" s="103">
        <f>VLOOKUP($A120,'OI(Volume)'!$A$7:$O$440,8)</f>
        <v>1327000</v>
      </c>
      <c r="I120" s="103">
        <f>VLOOKUP($A120,'OI(Volume)'!$A$7:$O$440,9)</f>
        <v>412500</v>
      </c>
      <c r="J120" s="103">
        <f>VLOOKUP($A120,'OI(Volume)'!$A$7:$O$440,11)</f>
        <v>680500</v>
      </c>
      <c r="K120" s="103">
        <f>VLOOKUP($A120,'OI(Volume)'!$A$7:$O$440,12)</f>
        <v>116000</v>
      </c>
      <c r="L120" s="103">
        <f>VLOOKUP($A120,'OI(Value)'!$A$7:$O$323,8,0)</f>
        <v>119</v>
      </c>
      <c r="M120" s="103">
        <f>VLOOKUP($A120,'OI(Value)'!$A$7:$O$323,9,0)</f>
        <v>37</v>
      </c>
      <c r="N120" s="103">
        <f>VLOOKUP($A120,'OI(Value)'!$A$7:$O$323,11,0)</f>
        <v>61</v>
      </c>
      <c r="O120" s="103">
        <f>VLOOKUP($A120,'OI(Value)'!$A$7:$O$323,12,0)</f>
        <v>10</v>
      </c>
      <c r="P120" s="179">
        <f>VLOOKUP(A120,'OI(Value)'!A120:O338,8,0)</f>
        <v>119</v>
      </c>
      <c r="Q120" s="179">
        <f>VLOOKUP(A120,'OI(Value)'!A120:O338,9,0)</f>
        <v>37</v>
      </c>
      <c r="R120" s="179">
        <f>VLOOKUP(A120,'OI(Value)'!A120:O338,11,0)</f>
        <v>61</v>
      </c>
      <c r="S120" s="179">
        <f>VLOOKUP(A120,'OI(Value)'!A120:O338,11,0)</f>
        <v>61</v>
      </c>
    </row>
    <row r="121" spans="1:19" x14ac:dyDescent="0.25">
      <c r="A121" s="105" t="str">
        <f>'Data Vlaue (Cr)'!C116</f>
        <v>KOTAKBANK</v>
      </c>
      <c r="B121" s="143">
        <f>VLOOKUP($A121,'Data shares'!$C:$FA,118)</f>
        <v>1.05</v>
      </c>
      <c r="C121" s="143">
        <f>VLOOKUP($A121,'Data shares'!$C:$FA,119)</f>
        <v>1.17</v>
      </c>
      <c r="D121" s="143">
        <f>VLOOKUP($A121,'Data shares'!$C:$FA,121)*100</f>
        <v>-10.26</v>
      </c>
      <c r="E121" s="143">
        <f>VLOOKUP($A121,'Data shares'!$C:$FA,124)</f>
        <v>0.69</v>
      </c>
      <c r="F121" s="143">
        <f>VLOOKUP($A121,'Data shares'!$C:$FA,125)</f>
        <v>0.69</v>
      </c>
      <c r="G121" s="143">
        <f>VLOOKUP($A121,'Data shares'!$C:$FA,127)*100</f>
        <v>0</v>
      </c>
      <c r="H121" s="103">
        <f>VLOOKUP($A121,'OI(Volume)'!$A$7:$O$440,8)</f>
        <v>23628000</v>
      </c>
      <c r="I121" s="103">
        <f>VLOOKUP($A121,'OI(Volume)'!$A$7:$O$440,9)</f>
        <v>1774000</v>
      </c>
      <c r="J121" s="103">
        <f>VLOOKUP($A121,'OI(Volume)'!$A$7:$O$440,11)</f>
        <v>24884000</v>
      </c>
      <c r="K121" s="103">
        <f>VLOOKUP($A121,'OI(Volume)'!$A$7:$O$440,12)</f>
        <v>-768000</v>
      </c>
      <c r="L121" s="103">
        <f>VLOOKUP($A121,'OI(Value)'!$A$7:$O$323,8,0)</f>
        <v>881</v>
      </c>
      <c r="M121" s="103">
        <f>VLOOKUP($A121,'OI(Value)'!$A$7:$O$323,9,0)</f>
        <v>66</v>
      </c>
      <c r="N121" s="103">
        <f>VLOOKUP($A121,'OI(Value)'!$A$7:$O$323,11,0)</f>
        <v>928</v>
      </c>
      <c r="O121" s="103">
        <f>VLOOKUP($A121,'OI(Value)'!$A$7:$O$323,12,0)</f>
        <v>-29</v>
      </c>
      <c r="P121" s="179">
        <f>VLOOKUP(A121,'OI(Value)'!A121:O339,8,0)</f>
        <v>881</v>
      </c>
      <c r="Q121" s="179">
        <f>VLOOKUP(A121,'OI(Value)'!A121:O339,9,0)</f>
        <v>66</v>
      </c>
      <c r="R121" s="179">
        <f>VLOOKUP(A121,'OI(Value)'!A121:O339,11,0)</f>
        <v>928</v>
      </c>
      <c r="S121" s="179">
        <f>VLOOKUP(A121,'OI(Value)'!A121:O339,11,0)</f>
        <v>928</v>
      </c>
    </row>
    <row r="122" spans="1:19" x14ac:dyDescent="0.25">
      <c r="A122" s="105" t="str">
        <f>'Data Vlaue (Cr)'!C117</f>
        <v>KPITTECH</v>
      </c>
      <c r="B122" s="143">
        <f>VLOOKUP($A122,'Data shares'!$C:$FA,118)</f>
        <v>0.81</v>
      </c>
      <c r="C122" s="143">
        <f>VLOOKUP($A122,'Data shares'!$C:$FA,119)</f>
        <v>0.8</v>
      </c>
      <c r="D122" s="143">
        <f>VLOOKUP($A122,'Data shares'!$C:$FA,121)*100</f>
        <v>1.25</v>
      </c>
      <c r="E122" s="143">
        <f>VLOOKUP($A122,'Data shares'!$C:$FA,124)</f>
        <v>0.45</v>
      </c>
      <c r="F122" s="143">
        <f>VLOOKUP($A122,'Data shares'!$C:$FA,125)</f>
        <v>0.33</v>
      </c>
      <c r="G122" s="143">
        <f>VLOOKUP($A122,'Data shares'!$C:$FA,127)*100</f>
        <v>36.36</v>
      </c>
      <c r="H122" s="103">
        <f>VLOOKUP($A122,'OI(Volume)'!$A$7:$O$440,8)</f>
        <v>2902325</v>
      </c>
      <c r="I122" s="103">
        <f>VLOOKUP($A122,'OI(Volume)'!$A$7:$O$440,9)</f>
        <v>127500</v>
      </c>
      <c r="J122" s="103">
        <f>VLOOKUP($A122,'OI(Volume)'!$A$7:$O$440,11)</f>
        <v>2357475</v>
      </c>
      <c r="K122" s="103">
        <f>VLOOKUP($A122,'OI(Volume)'!$A$7:$O$440,12)</f>
        <v>138550</v>
      </c>
      <c r="L122" s="103">
        <f>VLOOKUP($A122,'OI(Value)'!$A$7:$O$323,8,0)</f>
        <v>209</v>
      </c>
      <c r="M122" s="103">
        <f>VLOOKUP($A122,'OI(Value)'!$A$7:$O$323,9,0)</f>
        <v>9</v>
      </c>
      <c r="N122" s="103">
        <f>VLOOKUP($A122,'OI(Value)'!$A$7:$O$323,11,0)</f>
        <v>169</v>
      </c>
      <c r="O122" s="103">
        <f>VLOOKUP($A122,'OI(Value)'!$A$7:$O$323,12,0)</f>
        <v>10</v>
      </c>
      <c r="P122" s="179">
        <f>VLOOKUP(A122,'OI(Value)'!A122:O340,8,0)</f>
        <v>209</v>
      </c>
      <c r="Q122" s="179">
        <f>VLOOKUP(A122,'OI(Value)'!A122:O340,9,0)</f>
        <v>9</v>
      </c>
      <c r="R122" s="179">
        <f>VLOOKUP(A122,'OI(Value)'!A122:O340,11,0)</f>
        <v>169</v>
      </c>
      <c r="S122" s="179">
        <f>VLOOKUP(A122,'OI(Value)'!A122:O340,11,0)</f>
        <v>169</v>
      </c>
    </row>
    <row r="123" spans="1:19" x14ac:dyDescent="0.25">
      <c r="A123" s="105" t="str">
        <f>'Data Vlaue (Cr)'!C118</f>
        <v>LAURUSLABS</v>
      </c>
      <c r="B123" s="143">
        <f>VLOOKUP($A123,'Data shares'!$C:$FA,118)</f>
        <v>0.78</v>
      </c>
      <c r="C123" s="143">
        <f>VLOOKUP($A123,'Data shares'!$C:$FA,119)</f>
        <v>0.79</v>
      </c>
      <c r="D123" s="143">
        <f>VLOOKUP($A123,'Data shares'!$C:$FA,121)*100</f>
        <v>-1.27</v>
      </c>
      <c r="E123" s="143">
        <f>VLOOKUP($A123,'Data shares'!$C:$FA,124)</f>
        <v>0.63</v>
      </c>
      <c r="F123" s="143">
        <f>VLOOKUP($A123,'Data shares'!$C:$FA,125)</f>
        <v>0.7</v>
      </c>
      <c r="G123" s="143">
        <f>VLOOKUP($A123,'Data shares'!$C:$FA,127)*100</f>
        <v>-10</v>
      </c>
      <c r="H123" s="103">
        <f>VLOOKUP($A123,'OI(Volume)'!$A$7:$O$440,8)</f>
        <v>4904500</v>
      </c>
      <c r="I123" s="103">
        <f>VLOOKUP($A123,'OI(Volume)'!$A$7:$O$440,9)</f>
        <v>342550</v>
      </c>
      <c r="J123" s="103">
        <f>VLOOKUP($A123,'OI(Volume)'!$A$7:$O$440,11)</f>
        <v>3841150</v>
      </c>
      <c r="K123" s="103">
        <f>VLOOKUP($A123,'OI(Volume)'!$A$7:$O$440,12)</f>
        <v>223550</v>
      </c>
      <c r="L123" s="103">
        <f>VLOOKUP($A123,'OI(Value)'!$A$7:$O$323,8,0)</f>
        <v>533</v>
      </c>
      <c r="M123" s="103">
        <f>VLOOKUP($A123,'OI(Value)'!$A$7:$O$323,9,0)</f>
        <v>37</v>
      </c>
      <c r="N123" s="103">
        <f>VLOOKUP($A123,'OI(Value)'!$A$7:$O$323,11,0)</f>
        <v>418</v>
      </c>
      <c r="O123" s="103">
        <f>VLOOKUP($A123,'OI(Value)'!$A$7:$O$323,12,0)</f>
        <v>24</v>
      </c>
      <c r="P123" s="179">
        <f>VLOOKUP(A123,'OI(Value)'!A123:O341,8,0)</f>
        <v>533</v>
      </c>
      <c r="Q123" s="179">
        <f>VLOOKUP(A123,'OI(Value)'!A123:O341,9,0)</f>
        <v>37</v>
      </c>
      <c r="R123" s="179">
        <f>VLOOKUP(A123,'OI(Value)'!A123:O341,11,0)</f>
        <v>418</v>
      </c>
      <c r="S123" s="179">
        <f>VLOOKUP(A123,'OI(Value)'!A123:O341,11,0)</f>
        <v>418</v>
      </c>
    </row>
    <row r="124" spans="1:19" x14ac:dyDescent="0.25">
      <c r="A124" s="105" t="str">
        <f>'Data Vlaue (Cr)'!C119</f>
        <v>LICHSGFIN</v>
      </c>
      <c r="B124" s="143">
        <f>VLOOKUP($A124,'Data shares'!$C:$FA,118)</f>
        <v>1.1599999999999999</v>
      </c>
      <c r="C124" s="143">
        <f>VLOOKUP($A124,'Data shares'!$C:$FA,119)</f>
        <v>1.25</v>
      </c>
      <c r="D124" s="143">
        <f>VLOOKUP($A124,'Data shares'!$C:$FA,121)*100</f>
        <v>-7.1999999999999993</v>
      </c>
      <c r="E124" s="143">
        <f>VLOOKUP($A124,'Data shares'!$C:$FA,124)</f>
        <v>0.5</v>
      </c>
      <c r="F124" s="143">
        <f>VLOOKUP($A124,'Data shares'!$C:$FA,125)</f>
        <v>0.42</v>
      </c>
      <c r="G124" s="143">
        <f>VLOOKUP($A124,'Data shares'!$C:$FA,127)*100</f>
        <v>19.05</v>
      </c>
      <c r="H124" s="103">
        <f>VLOOKUP($A124,'OI(Volume)'!$A$7:$O$440,8)</f>
        <v>4373000</v>
      </c>
      <c r="I124" s="103">
        <f>VLOOKUP($A124,'OI(Volume)'!$A$7:$O$440,9)</f>
        <v>237000</v>
      </c>
      <c r="J124" s="103">
        <f>VLOOKUP($A124,'OI(Volume)'!$A$7:$O$440,11)</f>
        <v>5066000</v>
      </c>
      <c r="K124" s="103">
        <f>VLOOKUP($A124,'OI(Volume)'!$A$7:$O$440,12)</f>
        <v>-121000</v>
      </c>
      <c r="L124" s="103">
        <f>VLOOKUP($A124,'OI(Value)'!$A$7:$O$323,8,0)</f>
        <v>233</v>
      </c>
      <c r="M124" s="103">
        <f>VLOOKUP($A124,'OI(Value)'!$A$7:$O$323,9,0)</f>
        <v>13</v>
      </c>
      <c r="N124" s="103">
        <f>VLOOKUP($A124,'OI(Value)'!$A$7:$O$323,11,0)</f>
        <v>270</v>
      </c>
      <c r="O124" s="103">
        <f>VLOOKUP($A124,'OI(Value)'!$A$7:$O$323,12,0)</f>
        <v>-6</v>
      </c>
      <c r="P124" s="179">
        <f>VLOOKUP(A124,'OI(Value)'!A124:O342,8,0)</f>
        <v>233</v>
      </c>
      <c r="Q124" s="179">
        <f>VLOOKUP(A124,'OI(Value)'!A124:O342,9,0)</f>
        <v>13</v>
      </c>
      <c r="R124" s="179">
        <f>VLOOKUP(A124,'OI(Value)'!A124:O342,11,0)</f>
        <v>270</v>
      </c>
      <c r="S124" s="179">
        <f>VLOOKUP(A124,'OI(Value)'!A124:O342,11,0)</f>
        <v>270</v>
      </c>
    </row>
    <row r="125" spans="1:19" x14ac:dyDescent="0.25">
      <c r="A125" s="105" t="str">
        <f>'Data Vlaue (Cr)'!C120</f>
        <v>LICI</v>
      </c>
      <c r="B125" s="143">
        <f>VLOOKUP($A125,'Data shares'!$C:$FA,118)</f>
        <v>0.65</v>
      </c>
      <c r="C125" s="143">
        <f>VLOOKUP($A125,'Data shares'!$C:$FA,119)</f>
        <v>0.61</v>
      </c>
      <c r="D125" s="143">
        <f>VLOOKUP($A125,'Data shares'!$C:$FA,121)*100</f>
        <v>6.5600000000000005</v>
      </c>
      <c r="E125" s="143">
        <f>VLOOKUP($A125,'Data shares'!$C:$FA,124)</f>
        <v>0.35</v>
      </c>
      <c r="F125" s="143">
        <f>VLOOKUP($A125,'Data shares'!$C:$FA,125)</f>
        <v>0.35</v>
      </c>
      <c r="G125" s="143">
        <f>VLOOKUP($A125,'Data shares'!$C:$FA,127)*100</f>
        <v>0</v>
      </c>
      <c r="H125" s="103">
        <f>VLOOKUP($A125,'OI(Volume)'!$A$7:$O$440,8)</f>
        <v>4372200</v>
      </c>
      <c r="I125" s="103">
        <f>VLOOKUP($A125,'OI(Volume)'!$A$7:$O$440,9)</f>
        <v>100800</v>
      </c>
      <c r="J125" s="103">
        <f>VLOOKUP($A125,'OI(Volume)'!$A$7:$O$440,11)</f>
        <v>2825900</v>
      </c>
      <c r="K125" s="103">
        <f>VLOOKUP($A125,'OI(Volume)'!$A$7:$O$440,12)</f>
        <v>210700</v>
      </c>
      <c r="L125" s="103">
        <f>VLOOKUP($A125,'OI(Value)'!$A$7:$O$323,8,0)</f>
        <v>347</v>
      </c>
      <c r="M125" s="103">
        <f>VLOOKUP($A125,'OI(Value)'!$A$7:$O$323,9,0)</f>
        <v>8</v>
      </c>
      <c r="N125" s="103">
        <f>VLOOKUP($A125,'OI(Value)'!$A$7:$O$323,11,0)</f>
        <v>224</v>
      </c>
      <c r="O125" s="103">
        <f>VLOOKUP($A125,'OI(Value)'!$A$7:$O$323,12,0)</f>
        <v>17</v>
      </c>
      <c r="P125" s="179">
        <f>VLOOKUP(A125,'OI(Value)'!A125:O343,8,0)</f>
        <v>347</v>
      </c>
      <c r="Q125" s="179">
        <f>VLOOKUP(A125,'OI(Value)'!A125:O343,9,0)</f>
        <v>8</v>
      </c>
      <c r="R125" s="179">
        <f>VLOOKUP(A125,'OI(Value)'!A125:O343,11,0)</f>
        <v>224</v>
      </c>
      <c r="S125" s="179">
        <f>VLOOKUP(A125,'OI(Value)'!A125:O343,11,0)</f>
        <v>224</v>
      </c>
    </row>
    <row r="126" spans="1:19" x14ac:dyDescent="0.25">
      <c r="A126" s="105" t="str">
        <f>'Data Vlaue (Cr)'!C121</f>
        <v>LODHA</v>
      </c>
      <c r="B126" s="143">
        <f>VLOOKUP($A126,'Data shares'!$C:$FA,118)</f>
        <v>0.75</v>
      </c>
      <c r="C126" s="143">
        <f>VLOOKUP($A126,'Data shares'!$C:$FA,119)</f>
        <v>0.69</v>
      </c>
      <c r="D126" s="143">
        <f>VLOOKUP($A126,'Data shares'!$C:$FA,121)*100</f>
        <v>8.6999999999999993</v>
      </c>
      <c r="E126" s="143">
        <f>VLOOKUP($A126,'Data shares'!$C:$FA,124)</f>
        <v>0.53</v>
      </c>
      <c r="F126" s="143">
        <f>VLOOKUP($A126,'Data shares'!$C:$FA,125)</f>
        <v>0.62</v>
      </c>
      <c r="G126" s="143">
        <f>VLOOKUP($A126,'Data shares'!$C:$FA,127)*100</f>
        <v>-14.52</v>
      </c>
      <c r="H126" s="103">
        <f>VLOOKUP($A126,'OI(Volume)'!$A$7:$O$440,8)</f>
        <v>5883300</v>
      </c>
      <c r="I126" s="103">
        <f>VLOOKUP($A126,'OI(Volume)'!$A$7:$O$440,9)</f>
        <v>-45000</v>
      </c>
      <c r="J126" s="103">
        <f>VLOOKUP($A126,'OI(Volume)'!$A$7:$O$440,11)</f>
        <v>4427100</v>
      </c>
      <c r="K126" s="103">
        <f>VLOOKUP($A126,'OI(Volume)'!$A$7:$O$440,12)</f>
        <v>333900</v>
      </c>
      <c r="L126" s="103">
        <f>VLOOKUP($A126,'OI(Value)'!$A$7:$O$323,8,0)</f>
        <v>466</v>
      </c>
      <c r="M126" s="103">
        <f>VLOOKUP($A126,'OI(Value)'!$A$7:$O$323,9,0)</f>
        <v>-4</v>
      </c>
      <c r="N126" s="103">
        <f>VLOOKUP($A126,'OI(Value)'!$A$7:$O$323,11,0)</f>
        <v>351</v>
      </c>
      <c r="O126" s="103">
        <f>VLOOKUP($A126,'OI(Value)'!$A$7:$O$323,12,0)</f>
        <v>26</v>
      </c>
      <c r="P126" s="179">
        <f>VLOOKUP(A126,'OI(Value)'!A126:O344,8,0)</f>
        <v>466</v>
      </c>
      <c r="Q126" s="179">
        <f>VLOOKUP(A126,'OI(Value)'!A126:O344,9,0)</f>
        <v>-4</v>
      </c>
      <c r="R126" s="179">
        <f>VLOOKUP(A126,'OI(Value)'!A126:O344,11,0)</f>
        <v>351</v>
      </c>
      <c r="S126" s="179">
        <f>VLOOKUP(A126,'OI(Value)'!A126:O344,11,0)</f>
        <v>351</v>
      </c>
    </row>
    <row r="127" spans="1:19" x14ac:dyDescent="0.25">
      <c r="A127" s="105" t="str">
        <f>'Data Vlaue (Cr)'!C122</f>
        <v>LT</v>
      </c>
      <c r="B127" s="143">
        <f>VLOOKUP($A127,'Data shares'!$C:$FA,118)</f>
        <v>0.74</v>
      </c>
      <c r="C127" s="143">
        <f>VLOOKUP($A127,'Data shares'!$C:$FA,119)</f>
        <v>0.85</v>
      </c>
      <c r="D127" s="143">
        <f>VLOOKUP($A127,'Data shares'!$C:$FA,121)*100</f>
        <v>-12.94</v>
      </c>
      <c r="E127" s="143">
        <f>VLOOKUP($A127,'Data shares'!$C:$FA,124)</f>
        <v>0.48</v>
      </c>
      <c r="F127" s="143">
        <f>VLOOKUP($A127,'Data shares'!$C:$FA,125)</f>
        <v>0.56999999999999995</v>
      </c>
      <c r="G127" s="143">
        <f>VLOOKUP($A127,'Data shares'!$C:$FA,127)*100</f>
        <v>-15.790000000000001</v>
      </c>
      <c r="H127" s="103">
        <f>VLOOKUP($A127,'OI(Volume)'!$A$7:$O$440,8)</f>
        <v>8291150</v>
      </c>
      <c r="I127" s="103">
        <f>VLOOKUP($A127,'OI(Volume)'!$A$7:$O$440,9)</f>
        <v>1283450</v>
      </c>
      <c r="J127" s="103">
        <f>VLOOKUP($A127,'OI(Volume)'!$A$7:$O$440,11)</f>
        <v>6127975</v>
      </c>
      <c r="K127" s="103">
        <f>VLOOKUP($A127,'OI(Volume)'!$A$7:$O$440,12)</f>
        <v>162225</v>
      </c>
      <c r="L127" s="103">
        <f>VLOOKUP($A127,'OI(Value)'!$A$7:$O$323,8,0)</f>
        <v>3240</v>
      </c>
      <c r="M127" s="103">
        <f>VLOOKUP($A127,'OI(Value)'!$A$7:$O$323,9,0)</f>
        <v>501</v>
      </c>
      <c r="N127" s="103">
        <f>VLOOKUP($A127,'OI(Value)'!$A$7:$O$323,11,0)</f>
        <v>2394</v>
      </c>
      <c r="O127" s="103">
        <f>VLOOKUP($A127,'OI(Value)'!$A$7:$O$323,12,0)</f>
        <v>63</v>
      </c>
      <c r="P127" s="179">
        <f>VLOOKUP(A127,'OI(Value)'!A127:O345,8,0)</f>
        <v>3240</v>
      </c>
      <c r="Q127" s="179">
        <f>VLOOKUP(A127,'OI(Value)'!A127:O345,9,0)</f>
        <v>501</v>
      </c>
      <c r="R127" s="179">
        <f>VLOOKUP(A127,'OI(Value)'!A127:O345,11,0)</f>
        <v>2394</v>
      </c>
      <c r="S127" s="179">
        <f>VLOOKUP(A127,'OI(Value)'!A127:O345,11,0)</f>
        <v>2394</v>
      </c>
    </row>
    <row r="128" spans="1:19" x14ac:dyDescent="0.25">
      <c r="A128" s="105" t="str">
        <f>'Data Vlaue (Cr)'!C123</f>
        <v>LTF</v>
      </c>
      <c r="B128" s="143">
        <f>VLOOKUP($A128,'Data shares'!$C:$FA,118)</f>
        <v>0.8</v>
      </c>
      <c r="C128" s="143">
        <f>VLOOKUP($A128,'Data shares'!$C:$FA,119)</f>
        <v>0.77</v>
      </c>
      <c r="D128" s="143">
        <f>VLOOKUP($A128,'Data shares'!$C:$FA,121)*100</f>
        <v>3.9</v>
      </c>
      <c r="E128" s="143">
        <f>VLOOKUP($A128,'Data shares'!$C:$FA,124)</f>
        <v>0.56000000000000005</v>
      </c>
      <c r="F128" s="143">
        <f>VLOOKUP($A128,'Data shares'!$C:$FA,125)</f>
        <v>0.41</v>
      </c>
      <c r="G128" s="143">
        <f>VLOOKUP($A128,'Data shares'!$C:$FA,127)*100</f>
        <v>36.590000000000003</v>
      </c>
      <c r="H128" s="103">
        <f>VLOOKUP($A128,'OI(Volume)'!$A$7:$O$440,8)</f>
        <v>18533250</v>
      </c>
      <c r="I128" s="103">
        <f>VLOOKUP($A128,'OI(Volume)'!$A$7:$O$440,9)</f>
        <v>272250</v>
      </c>
      <c r="J128" s="103">
        <f>VLOOKUP($A128,'OI(Volume)'!$A$7:$O$440,11)</f>
        <v>14755500</v>
      </c>
      <c r="K128" s="103">
        <f>VLOOKUP($A128,'OI(Volume)'!$A$7:$O$440,12)</f>
        <v>744750</v>
      </c>
      <c r="L128" s="103">
        <f>VLOOKUP($A128,'OI(Value)'!$A$7:$O$323,8,0)</f>
        <v>506</v>
      </c>
      <c r="M128" s="103">
        <f>VLOOKUP($A128,'OI(Value)'!$A$7:$O$323,9,0)</f>
        <v>7</v>
      </c>
      <c r="N128" s="103">
        <f>VLOOKUP($A128,'OI(Value)'!$A$7:$O$323,11,0)</f>
        <v>403</v>
      </c>
      <c r="O128" s="103">
        <f>VLOOKUP($A128,'OI(Value)'!$A$7:$O$323,12,0)</f>
        <v>20</v>
      </c>
      <c r="P128" s="179">
        <f>VLOOKUP(A128,'OI(Value)'!A128:O346,8,0)</f>
        <v>506</v>
      </c>
      <c r="Q128" s="179">
        <f>VLOOKUP(A128,'OI(Value)'!A128:O346,9,0)</f>
        <v>7</v>
      </c>
      <c r="R128" s="179">
        <f>VLOOKUP(A128,'OI(Value)'!A128:O346,11,0)</f>
        <v>403</v>
      </c>
      <c r="S128" s="179">
        <f>VLOOKUP(A128,'OI(Value)'!A128:O346,11,0)</f>
        <v>403</v>
      </c>
    </row>
    <row r="129" spans="1:19" x14ac:dyDescent="0.25">
      <c r="A129" s="105" t="str">
        <f>'Data Vlaue (Cr)'!C124</f>
        <v>LTM</v>
      </c>
      <c r="B129" s="143">
        <f>VLOOKUP($A129,'Data shares'!$C:$FA,118)</f>
        <v>0.92</v>
      </c>
      <c r="C129" s="143">
        <f>VLOOKUP($A129,'Data shares'!$C:$FA,119)</f>
        <v>0.91</v>
      </c>
      <c r="D129" s="143">
        <f>VLOOKUP($A129,'Data shares'!$C:$FA,121)*100</f>
        <v>1.0999999999999999</v>
      </c>
      <c r="E129" s="143">
        <f>VLOOKUP($A129,'Data shares'!$C:$FA,124)</f>
        <v>0.34</v>
      </c>
      <c r="F129" s="143">
        <f>VLOOKUP($A129,'Data shares'!$C:$FA,125)</f>
        <v>0.43</v>
      </c>
      <c r="G129" s="143">
        <f>VLOOKUP($A129,'Data shares'!$C:$FA,127)*100</f>
        <v>-20.93</v>
      </c>
      <c r="H129" s="103">
        <f>VLOOKUP($A129,'OI(Volume)'!$A$7:$O$440,8)</f>
        <v>866250</v>
      </c>
      <c r="I129" s="103">
        <f>VLOOKUP($A129,'OI(Volume)'!$A$7:$O$440,9)</f>
        <v>34500</v>
      </c>
      <c r="J129" s="103">
        <f>VLOOKUP($A129,'OI(Volume)'!$A$7:$O$440,11)</f>
        <v>799050</v>
      </c>
      <c r="K129" s="103">
        <f>VLOOKUP($A129,'OI(Volume)'!$A$7:$O$440,12)</f>
        <v>42900</v>
      </c>
      <c r="L129" s="103">
        <f>VLOOKUP($A129,'OI(Value)'!$A$7:$O$323,8,0)</f>
        <v>395</v>
      </c>
      <c r="M129" s="103">
        <f>VLOOKUP($A129,'OI(Value)'!$A$7:$O$323,9,0)</f>
        <v>16</v>
      </c>
      <c r="N129" s="103">
        <f>VLOOKUP($A129,'OI(Value)'!$A$7:$O$323,11,0)</f>
        <v>364</v>
      </c>
      <c r="O129" s="103">
        <f>VLOOKUP($A129,'OI(Value)'!$A$7:$O$323,12,0)</f>
        <v>20</v>
      </c>
      <c r="P129" s="179">
        <f>VLOOKUP(A129,'OI(Value)'!A129:O347,8,0)</f>
        <v>395</v>
      </c>
      <c r="Q129" s="179">
        <f>VLOOKUP(A129,'OI(Value)'!A129:O347,9,0)</f>
        <v>16</v>
      </c>
      <c r="R129" s="179">
        <f>VLOOKUP(A129,'OI(Value)'!A129:O347,11,0)</f>
        <v>364</v>
      </c>
      <c r="S129" s="179">
        <f>VLOOKUP(A129,'OI(Value)'!A129:O347,11,0)</f>
        <v>364</v>
      </c>
    </row>
    <row r="130" spans="1:19" x14ac:dyDescent="0.25">
      <c r="A130" s="105" t="str">
        <f>'Data Vlaue (Cr)'!C125</f>
        <v>LUPIN</v>
      </c>
      <c r="B130" s="143">
        <f>VLOOKUP($A130,'Data shares'!$C:$FA,118)</f>
        <v>0.78</v>
      </c>
      <c r="C130" s="143">
        <f>VLOOKUP($A130,'Data shares'!$C:$FA,119)</f>
        <v>0.79</v>
      </c>
      <c r="D130" s="143">
        <f>VLOOKUP($A130,'Data shares'!$C:$FA,121)*100</f>
        <v>-1.27</v>
      </c>
      <c r="E130" s="143">
        <f>VLOOKUP($A130,'Data shares'!$C:$FA,124)</f>
        <v>0.49</v>
      </c>
      <c r="F130" s="143">
        <f>VLOOKUP($A130,'Data shares'!$C:$FA,125)</f>
        <v>0.5</v>
      </c>
      <c r="G130" s="143">
        <f>VLOOKUP($A130,'Data shares'!$C:$FA,127)*100</f>
        <v>-2</v>
      </c>
      <c r="H130" s="103">
        <f>VLOOKUP($A130,'OI(Volume)'!$A$7:$O$440,8)</f>
        <v>1989425</v>
      </c>
      <c r="I130" s="103">
        <f>VLOOKUP($A130,'OI(Volume)'!$A$7:$O$440,9)</f>
        <v>28900</v>
      </c>
      <c r="J130" s="103">
        <f>VLOOKUP($A130,'OI(Volume)'!$A$7:$O$440,11)</f>
        <v>1548275</v>
      </c>
      <c r="K130" s="103">
        <f>VLOOKUP($A130,'OI(Volume)'!$A$7:$O$440,12)</f>
        <v>8075</v>
      </c>
      <c r="L130" s="103">
        <f>VLOOKUP($A130,'OI(Value)'!$A$7:$O$323,8,0)</f>
        <v>459</v>
      </c>
      <c r="M130" s="103">
        <f>VLOOKUP($A130,'OI(Value)'!$A$7:$O$323,9,0)</f>
        <v>7</v>
      </c>
      <c r="N130" s="103">
        <f>VLOOKUP($A130,'OI(Value)'!$A$7:$O$323,11,0)</f>
        <v>357</v>
      </c>
      <c r="O130" s="103">
        <f>VLOOKUP($A130,'OI(Value)'!$A$7:$O$323,12,0)</f>
        <v>2</v>
      </c>
      <c r="P130" s="179">
        <f>VLOOKUP(A130,'OI(Value)'!A130:O348,8,0)</f>
        <v>459</v>
      </c>
      <c r="Q130" s="179">
        <f>VLOOKUP(A130,'OI(Value)'!A130:O348,9,0)</f>
        <v>7</v>
      </c>
      <c r="R130" s="179">
        <f>VLOOKUP(A130,'OI(Value)'!A130:O348,11,0)</f>
        <v>357</v>
      </c>
      <c r="S130" s="179">
        <f>VLOOKUP(A130,'OI(Value)'!A130:O348,11,0)</f>
        <v>357</v>
      </c>
    </row>
    <row r="131" spans="1:19" x14ac:dyDescent="0.25">
      <c r="A131" s="105" t="str">
        <f>'Data Vlaue (Cr)'!C126</f>
        <v>M&amp;M</v>
      </c>
      <c r="B131" s="143">
        <f>VLOOKUP($A131,'Data shares'!$C:$FA,118)</f>
        <v>0.8</v>
      </c>
      <c r="C131" s="143">
        <f>VLOOKUP($A131,'Data shares'!$C:$FA,119)</f>
        <v>0.9</v>
      </c>
      <c r="D131" s="143">
        <f>VLOOKUP($A131,'Data shares'!$C:$FA,121)*100</f>
        <v>-11.110000000000001</v>
      </c>
      <c r="E131" s="143">
        <f>VLOOKUP($A131,'Data shares'!$C:$FA,124)</f>
        <v>0.6</v>
      </c>
      <c r="F131" s="143">
        <f>VLOOKUP($A131,'Data shares'!$C:$FA,125)</f>
        <v>0.47</v>
      </c>
      <c r="G131" s="143">
        <f>VLOOKUP($A131,'Data shares'!$C:$FA,127)*100</f>
        <v>27.66</v>
      </c>
      <c r="H131" s="103">
        <f>VLOOKUP($A131,'OI(Volume)'!$A$7:$O$440,8)</f>
        <v>3963400</v>
      </c>
      <c r="I131" s="103">
        <f>VLOOKUP($A131,'OI(Volume)'!$A$7:$O$440,9)</f>
        <v>377200</v>
      </c>
      <c r="J131" s="103">
        <f>VLOOKUP($A131,'OI(Volume)'!$A$7:$O$440,11)</f>
        <v>3167800</v>
      </c>
      <c r="K131" s="103">
        <f>VLOOKUP($A131,'OI(Volume)'!$A$7:$O$440,12)</f>
        <v>-45000</v>
      </c>
      <c r="L131" s="103">
        <f>VLOOKUP($A131,'OI(Value)'!$A$7:$O$323,8,0)</f>
        <v>1258</v>
      </c>
      <c r="M131" s="103">
        <f>VLOOKUP($A131,'OI(Value)'!$A$7:$O$323,9,0)</f>
        <v>120</v>
      </c>
      <c r="N131" s="103">
        <f>VLOOKUP($A131,'OI(Value)'!$A$7:$O$323,11,0)</f>
        <v>1006</v>
      </c>
      <c r="O131" s="103">
        <f>VLOOKUP($A131,'OI(Value)'!$A$7:$O$323,12,0)</f>
        <v>-14</v>
      </c>
      <c r="P131" s="179">
        <f>VLOOKUP(A131,'OI(Value)'!A131:O349,8,0)</f>
        <v>1258</v>
      </c>
      <c r="Q131" s="179">
        <f>VLOOKUP(A131,'OI(Value)'!A131:O349,9,0)</f>
        <v>120</v>
      </c>
      <c r="R131" s="179">
        <f>VLOOKUP(A131,'OI(Value)'!A131:O349,11,0)</f>
        <v>1006</v>
      </c>
      <c r="S131" s="179">
        <f>VLOOKUP(A131,'OI(Value)'!A131:O349,11,0)</f>
        <v>1006</v>
      </c>
    </row>
    <row r="132" spans="1:19" x14ac:dyDescent="0.25">
      <c r="A132" s="105" t="str">
        <f>'Data Vlaue (Cr)'!C127</f>
        <v>MANAPPURAM</v>
      </c>
      <c r="B132" s="143">
        <f>VLOOKUP($A132,'Data shares'!$C:$FA,118)</f>
        <v>0.67</v>
      </c>
      <c r="C132" s="143">
        <f>VLOOKUP($A132,'Data shares'!$C:$FA,119)</f>
        <v>0.67</v>
      </c>
      <c r="D132" s="143">
        <f>VLOOKUP($A132,'Data shares'!$C:$FA,121)*100</f>
        <v>0</v>
      </c>
      <c r="E132" s="143">
        <f>VLOOKUP($A132,'Data shares'!$C:$FA,124)</f>
        <v>0.28000000000000003</v>
      </c>
      <c r="F132" s="143">
        <f>VLOOKUP($A132,'Data shares'!$C:$FA,125)</f>
        <v>0.31</v>
      </c>
      <c r="G132" s="143">
        <f>VLOOKUP($A132,'Data shares'!$C:$FA,127)*100</f>
        <v>-9.68</v>
      </c>
      <c r="H132" s="103">
        <f>VLOOKUP($A132,'OI(Volume)'!$A$7:$O$440,8)</f>
        <v>13404000</v>
      </c>
      <c r="I132" s="103">
        <f>VLOOKUP($A132,'OI(Volume)'!$A$7:$O$440,9)</f>
        <v>408000</v>
      </c>
      <c r="J132" s="103">
        <f>VLOOKUP($A132,'OI(Volume)'!$A$7:$O$440,11)</f>
        <v>9012000</v>
      </c>
      <c r="K132" s="103">
        <f>VLOOKUP($A132,'OI(Volume)'!$A$7:$O$440,12)</f>
        <v>249000</v>
      </c>
      <c r="L132" s="103">
        <f>VLOOKUP($A132,'OI(Value)'!$A$7:$O$323,8,0)</f>
        <v>354</v>
      </c>
      <c r="M132" s="103">
        <f>VLOOKUP($A132,'OI(Value)'!$A$7:$O$323,9,0)</f>
        <v>11</v>
      </c>
      <c r="N132" s="103">
        <f>VLOOKUP($A132,'OI(Value)'!$A$7:$O$323,11,0)</f>
        <v>238</v>
      </c>
      <c r="O132" s="103">
        <f>VLOOKUP($A132,'OI(Value)'!$A$7:$O$323,12,0)</f>
        <v>7</v>
      </c>
      <c r="P132" s="179">
        <f>VLOOKUP(A132,'OI(Value)'!A132:O350,8,0)</f>
        <v>354</v>
      </c>
      <c r="Q132" s="179">
        <f>VLOOKUP(A132,'OI(Value)'!A132:O350,9,0)</f>
        <v>11</v>
      </c>
      <c r="R132" s="179">
        <f>VLOOKUP(A132,'OI(Value)'!A132:O350,11,0)</f>
        <v>238</v>
      </c>
      <c r="S132" s="179">
        <f>VLOOKUP(A132,'OI(Value)'!A132:O350,11,0)</f>
        <v>238</v>
      </c>
    </row>
    <row r="133" spans="1:19" x14ac:dyDescent="0.25">
      <c r="A133" s="105" t="str">
        <f>'Data Vlaue (Cr)'!C128</f>
        <v>MANKIND</v>
      </c>
      <c r="B133" s="143">
        <f>VLOOKUP($A133,'Data shares'!$C:$FA,118)</f>
        <v>0.56000000000000005</v>
      </c>
      <c r="C133" s="143">
        <f>VLOOKUP($A133,'Data shares'!$C:$FA,119)</f>
        <v>0.54</v>
      </c>
      <c r="D133" s="143">
        <f>VLOOKUP($A133,'Data shares'!$C:$FA,121)*100</f>
        <v>3.6999999999999997</v>
      </c>
      <c r="E133" s="143">
        <f>VLOOKUP($A133,'Data shares'!$C:$FA,124)</f>
        <v>0.31</v>
      </c>
      <c r="F133" s="143">
        <f>VLOOKUP($A133,'Data shares'!$C:$FA,125)</f>
        <v>0.43</v>
      </c>
      <c r="G133" s="143">
        <f>VLOOKUP($A133,'Data shares'!$C:$FA,127)*100</f>
        <v>-27.91</v>
      </c>
      <c r="H133" s="103">
        <f>VLOOKUP($A133,'OI(Volume)'!$A$7:$O$440,8)</f>
        <v>443475</v>
      </c>
      <c r="I133" s="103">
        <f>VLOOKUP($A133,'OI(Volume)'!$A$7:$O$440,9)</f>
        <v>-20025</v>
      </c>
      <c r="J133" s="103">
        <f>VLOOKUP($A133,'OI(Volume)'!$A$7:$O$440,11)</f>
        <v>246600</v>
      </c>
      <c r="K133" s="103">
        <f>VLOOKUP($A133,'OI(Volume)'!$A$7:$O$440,12)</f>
        <v>-1800</v>
      </c>
      <c r="L133" s="103">
        <f>VLOOKUP($A133,'OI(Value)'!$A$7:$O$323,8,0)</f>
        <v>91</v>
      </c>
      <c r="M133" s="103">
        <f>VLOOKUP($A133,'OI(Value)'!$A$7:$O$323,9,0)</f>
        <v>-4</v>
      </c>
      <c r="N133" s="103">
        <f>VLOOKUP($A133,'OI(Value)'!$A$7:$O$323,11,0)</f>
        <v>51</v>
      </c>
      <c r="O133" s="103">
        <f>VLOOKUP($A133,'OI(Value)'!$A$7:$O$323,12,0)</f>
        <v>0</v>
      </c>
      <c r="P133" s="179">
        <f>VLOOKUP(A133,'OI(Value)'!A133:O351,8,0)</f>
        <v>91</v>
      </c>
      <c r="Q133" s="179">
        <f>VLOOKUP(A133,'OI(Value)'!A133:O351,9,0)</f>
        <v>-4</v>
      </c>
      <c r="R133" s="179">
        <f>VLOOKUP(A133,'OI(Value)'!A133:O351,11,0)</f>
        <v>51</v>
      </c>
      <c r="S133" s="179">
        <f>VLOOKUP(A133,'OI(Value)'!A133:O351,11,0)</f>
        <v>51</v>
      </c>
    </row>
    <row r="134" spans="1:19" x14ac:dyDescent="0.25">
      <c r="A134" s="105" t="str">
        <f>'Data Vlaue (Cr)'!C129</f>
        <v>MARICO</v>
      </c>
      <c r="B134" s="143">
        <f>VLOOKUP($A134,'Data shares'!$C:$FA,118)</f>
        <v>1.06</v>
      </c>
      <c r="C134" s="143">
        <f>VLOOKUP($A134,'Data shares'!$C:$FA,119)</f>
        <v>1.01</v>
      </c>
      <c r="D134" s="143">
        <f>VLOOKUP($A134,'Data shares'!$C:$FA,121)*100</f>
        <v>4.95</v>
      </c>
      <c r="E134" s="143">
        <f>VLOOKUP($A134,'Data shares'!$C:$FA,124)</f>
        <v>0.33</v>
      </c>
      <c r="F134" s="143">
        <f>VLOOKUP($A134,'Data shares'!$C:$FA,125)</f>
        <v>0.56000000000000005</v>
      </c>
      <c r="G134" s="143">
        <f>VLOOKUP($A134,'Data shares'!$C:$FA,127)*100</f>
        <v>-41.07</v>
      </c>
      <c r="H134" s="103">
        <f>VLOOKUP($A134,'OI(Volume)'!$A$7:$O$440,8)</f>
        <v>4011600</v>
      </c>
      <c r="I134" s="103">
        <f>VLOOKUP($A134,'OI(Volume)'!$A$7:$O$440,9)</f>
        <v>73200</v>
      </c>
      <c r="J134" s="103">
        <f>VLOOKUP($A134,'OI(Volume)'!$A$7:$O$440,11)</f>
        <v>4250400</v>
      </c>
      <c r="K134" s="103">
        <f>VLOOKUP($A134,'OI(Volume)'!$A$7:$O$440,12)</f>
        <v>255600</v>
      </c>
      <c r="L134" s="103">
        <f>VLOOKUP($A134,'OI(Value)'!$A$7:$O$323,8,0)</f>
        <v>301</v>
      </c>
      <c r="M134" s="103">
        <f>VLOOKUP($A134,'OI(Value)'!$A$7:$O$323,9,0)</f>
        <v>5</v>
      </c>
      <c r="N134" s="103">
        <f>VLOOKUP($A134,'OI(Value)'!$A$7:$O$323,11,0)</f>
        <v>319</v>
      </c>
      <c r="O134" s="103">
        <f>VLOOKUP($A134,'OI(Value)'!$A$7:$O$323,12,0)</f>
        <v>19</v>
      </c>
      <c r="P134" s="179">
        <f>VLOOKUP(A134,'OI(Value)'!A134:O352,8,0)</f>
        <v>301</v>
      </c>
      <c r="Q134" s="179">
        <f>VLOOKUP(A134,'OI(Value)'!A134:O352,9,0)</f>
        <v>5</v>
      </c>
      <c r="R134" s="179">
        <f>VLOOKUP(A134,'OI(Value)'!A134:O352,11,0)</f>
        <v>319</v>
      </c>
      <c r="S134" s="179">
        <f>VLOOKUP(A134,'OI(Value)'!A134:O352,11,0)</f>
        <v>319</v>
      </c>
    </row>
    <row r="135" spans="1:19" x14ac:dyDescent="0.25">
      <c r="A135" s="105" t="str">
        <f>'Data Vlaue (Cr)'!C130</f>
        <v>MARUTI</v>
      </c>
      <c r="B135" s="143">
        <f>VLOOKUP($A135,'Data shares'!$C:$FA,118)</f>
        <v>0.63</v>
      </c>
      <c r="C135" s="143">
        <f>VLOOKUP($A135,'Data shares'!$C:$FA,119)</f>
        <v>0.69</v>
      </c>
      <c r="D135" s="143">
        <f>VLOOKUP($A135,'Data shares'!$C:$FA,121)*100</f>
        <v>-8.6999999999999993</v>
      </c>
      <c r="E135" s="143">
        <f>VLOOKUP($A135,'Data shares'!$C:$FA,124)</f>
        <v>0.53</v>
      </c>
      <c r="F135" s="143">
        <f>VLOOKUP($A135,'Data shares'!$C:$FA,125)</f>
        <v>0.54</v>
      </c>
      <c r="G135" s="143">
        <f>VLOOKUP($A135,'Data shares'!$C:$FA,127)*100</f>
        <v>-1.8499999999999999</v>
      </c>
      <c r="H135" s="103">
        <f>VLOOKUP($A135,'OI(Volume)'!$A$7:$O$440,8)</f>
        <v>1479750</v>
      </c>
      <c r="I135" s="103">
        <f>VLOOKUP($A135,'OI(Volume)'!$A$7:$O$440,9)</f>
        <v>181000</v>
      </c>
      <c r="J135" s="103">
        <f>VLOOKUP($A135,'OI(Volume)'!$A$7:$O$440,11)</f>
        <v>935800</v>
      </c>
      <c r="K135" s="103">
        <f>VLOOKUP($A135,'OI(Volume)'!$A$7:$O$440,12)</f>
        <v>40250</v>
      </c>
      <c r="L135" s="103">
        <f>VLOOKUP($A135,'OI(Value)'!$A$7:$O$323,8,0)</f>
        <v>2014</v>
      </c>
      <c r="M135" s="103">
        <f>VLOOKUP($A135,'OI(Value)'!$A$7:$O$323,9,0)</f>
        <v>246</v>
      </c>
      <c r="N135" s="103">
        <f>VLOOKUP($A135,'OI(Value)'!$A$7:$O$323,11,0)</f>
        <v>1274</v>
      </c>
      <c r="O135" s="103">
        <f>VLOOKUP($A135,'OI(Value)'!$A$7:$O$323,12,0)</f>
        <v>55</v>
      </c>
      <c r="P135" s="179">
        <f>VLOOKUP(A135,'OI(Value)'!A135:O353,8,0)</f>
        <v>2014</v>
      </c>
      <c r="Q135" s="179">
        <f>VLOOKUP(A135,'OI(Value)'!A135:O353,9,0)</f>
        <v>246</v>
      </c>
      <c r="R135" s="179">
        <f>VLOOKUP(A135,'OI(Value)'!A135:O353,11,0)</f>
        <v>1274</v>
      </c>
      <c r="S135" s="179">
        <f>VLOOKUP(A135,'OI(Value)'!A135:O353,11,0)</f>
        <v>1274</v>
      </c>
    </row>
    <row r="136" spans="1:19" x14ac:dyDescent="0.25">
      <c r="A136" s="105" t="str">
        <f>'Data Vlaue (Cr)'!C131</f>
        <v>MAXHEALTH</v>
      </c>
      <c r="B136" s="143">
        <f>VLOOKUP($A136,'Data shares'!$C:$FA,118)</f>
        <v>0.65</v>
      </c>
      <c r="C136" s="143">
        <f>VLOOKUP($A136,'Data shares'!$C:$FA,119)</f>
        <v>0.6</v>
      </c>
      <c r="D136" s="143">
        <f>VLOOKUP($A136,'Data shares'!$C:$FA,121)*100</f>
        <v>8.33</v>
      </c>
      <c r="E136" s="143">
        <f>VLOOKUP($A136,'Data shares'!$C:$FA,124)</f>
        <v>0.26</v>
      </c>
      <c r="F136" s="143">
        <f>VLOOKUP($A136,'Data shares'!$C:$FA,125)</f>
        <v>0.5</v>
      </c>
      <c r="G136" s="143">
        <f>VLOOKUP($A136,'Data shares'!$C:$FA,127)*100</f>
        <v>-48</v>
      </c>
      <c r="H136" s="103">
        <f>VLOOKUP($A136,'OI(Volume)'!$A$7:$O$440,8)</f>
        <v>2525775</v>
      </c>
      <c r="I136" s="103">
        <f>VLOOKUP($A136,'OI(Volume)'!$A$7:$O$440,9)</f>
        <v>-39900</v>
      </c>
      <c r="J136" s="103">
        <f>VLOOKUP($A136,'OI(Volume)'!$A$7:$O$440,11)</f>
        <v>1644300</v>
      </c>
      <c r="K136" s="103">
        <f>VLOOKUP($A136,'OI(Volume)'!$A$7:$O$440,12)</f>
        <v>116550</v>
      </c>
      <c r="L136" s="103">
        <f>VLOOKUP($A136,'OI(Value)'!$A$7:$O$323,8,0)</f>
        <v>242</v>
      </c>
      <c r="M136" s="103">
        <f>VLOOKUP($A136,'OI(Value)'!$A$7:$O$323,9,0)</f>
        <v>-4</v>
      </c>
      <c r="N136" s="103">
        <f>VLOOKUP($A136,'OI(Value)'!$A$7:$O$323,11,0)</f>
        <v>157</v>
      </c>
      <c r="O136" s="103">
        <f>VLOOKUP($A136,'OI(Value)'!$A$7:$O$323,12,0)</f>
        <v>11</v>
      </c>
      <c r="P136" s="179">
        <f>VLOOKUP(A136,'OI(Value)'!A136:O354,8,0)</f>
        <v>242</v>
      </c>
      <c r="Q136" s="179">
        <f>VLOOKUP(A136,'OI(Value)'!A136:O354,9,0)</f>
        <v>-4</v>
      </c>
      <c r="R136" s="179">
        <f>VLOOKUP(A136,'OI(Value)'!A136:O354,11,0)</f>
        <v>157</v>
      </c>
      <c r="S136" s="179">
        <f>VLOOKUP(A136,'OI(Value)'!A136:O354,11,0)</f>
        <v>157</v>
      </c>
    </row>
    <row r="137" spans="1:19" x14ac:dyDescent="0.25">
      <c r="A137" s="105" t="str">
        <f>'Data Vlaue (Cr)'!C132</f>
        <v>MAZDOCK</v>
      </c>
      <c r="B137" s="143">
        <f>VLOOKUP($A137,'Data shares'!$C:$FA,118)</f>
        <v>0.82</v>
      </c>
      <c r="C137" s="143">
        <f>VLOOKUP($A137,'Data shares'!$C:$FA,119)</f>
        <v>0.79</v>
      </c>
      <c r="D137" s="143">
        <f>VLOOKUP($A137,'Data shares'!$C:$FA,121)*100</f>
        <v>3.8</v>
      </c>
      <c r="E137" s="143">
        <f>VLOOKUP($A137,'Data shares'!$C:$FA,124)</f>
        <v>0.32</v>
      </c>
      <c r="F137" s="143">
        <f>VLOOKUP($A137,'Data shares'!$C:$FA,125)</f>
        <v>0.42</v>
      </c>
      <c r="G137" s="143">
        <f>VLOOKUP($A137,'Data shares'!$C:$FA,127)*100</f>
        <v>-23.810000000000002</v>
      </c>
      <c r="H137" s="103">
        <f>VLOOKUP($A137,'OI(Volume)'!$A$7:$O$440,8)</f>
        <v>2592600</v>
      </c>
      <c r="I137" s="103">
        <f>VLOOKUP($A137,'OI(Volume)'!$A$7:$O$440,9)</f>
        <v>181600</v>
      </c>
      <c r="J137" s="103">
        <f>VLOOKUP($A137,'OI(Volume)'!$A$7:$O$440,11)</f>
        <v>2130400</v>
      </c>
      <c r="K137" s="103">
        <f>VLOOKUP($A137,'OI(Volume)'!$A$7:$O$440,12)</f>
        <v>216000</v>
      </c>
      <c r="L137" s="103">
        <f>VLOOKUP($A137,'OI(Value)'!$A$7:$O$323,8,0)</f>
        <v>635</v>
      </c>
      <c r="M137" s="103">
        <f>VLOOKUP($A137,'OI(Value)'!$A$7:$O$323,9,0)</f>
        <v>44</v>
      </c>
      <c r="N137" s="103">
        <f>VLOOKUP($A137,'OI(Value)'!$A$7:$O$323,11,0)</f>
        <v>522</v>
      </c>
      <c r="O137" s="103">
        <f>VLOOKUP($A137,'OI(Value)'!$A$7:$O$323,12,0)</f>
        <v>53</v>
      </c>
      <c r="P137" s="179">
        <f>VLOOKUP(A137,'OI(Value)'!A137:O355,8,0)</f>
        <v>635</v>
      </c>
      <c r="Q137" s="179">
        <f>VLOOKUP(A137,'OI(Value)'!A137:O355,9,0)</f>
        <v>44</v>
      </c>
      <c r="R137" s="179">
        <f>VLOOKUP(A137,'OI(Value)'!A137:O355,11,0)</f>
        <v>522</v>
      </c>
      <c r="S137" s="179">
        <f>VLOOKUP(A137,'OI(Value)'!A137:O355,11,0)</f>
        <v>522</v>
      </c>
    </row>
    <row r="138" spans="1:19" x14ac:dyDescent="0.25">
      <c r="A138" s="105" t="str">
        <f>'Data Vlaue (Cr)'!C133</f>
        <v>MCX</v>
      </c>
      <c r="B138" s="143">
        <f>VLOOKUP($A138,'Data shares'!$C:$FA,118)</f>
        <v>0.92</v>
      </c>
      <c r="C138" s="143">
        <f>VLOOKUP($A138,'Data shares'!$C:$FA,119)</f>
        <v>0.84</v>
      </c>
      <c r="D138" s="143">
        <f>VLOOKUP($A138,'Data shares'!$C:$FA,121)*100</f>
        <v>9.5200000000000014</v>
      </c>
      <c r="E138" s="143">
        <f>VLOOKUP($A138,'Data shares'!$C:$FA,124)</f>
        <v>0.56999999999999995</v>
      </c>
      <c r="F138" s="143">
        <f>VLOOKUP($A138,'Data shares'!$C:$FA,125)</f>
        <v>0.51</v>
      </c>
      <c r="G138" s="143">
        <f>VLOOKUP($A138,'Data shares'!$C:$FA,127)*100</f>
        <v>11.76</v>
      </c>
      <c r="H138" s="103">
        <f>VLOOKUP($A138,'OI(Volume)'!$A$7:$O$440,8)</f>
        <v>5783750</v>
      </c>
      <c r="I138" s="103">
        <f>VLOOKUP($A138,'OI(Volume)'!$A$7:$O$440,9)</f>
        <v>386250</v>
      </c>
      <c r="J138" s="103">
        <f>VLOOKUP($A138,'OI(Volume)'!$A$7:$O$440,11)</f>
        <v>5300625</v>
      </c>
      <c r="K138" s="103">
        <f>VLOOKUP($A138,'OI(Volume)'!$A$7:$O$440,12)</f>
        <v>776875</v>
      </c>
      <c r="L138" s="103">
        <f>VLOOKUP($A138,'OI(Value)'!$A$7:$O$323,8,0)</f>
        <v>1542</v>
      </c>
      <c r="M138" s="103">
        <f>VLOOKUP($A138,'OI(Value)'!$A$7:$O$323,9,0)</f>
        <v>103</v>
      </c>
      <c r="N138" s="103">
        <f>VLOOKUP($A138,'OI(Value)'!$A$7:$O$323,11,0)</f>
        <v>1414</v>
      </c>
      <c r="O138" s="103">
        <f>VLOOKUP($A138,'OI(Value)'!$A$7:$O$323,12,0)</f>
        <v>207</v>
      </c>
      <c r="P138" s="179">
        <f>VLOOKUP(A138,'OI(Value)'!A138:O356,8,0)</f>
        <v>1542</v>
      </c>
      <c r="Q138" s="179">
        <f>VLOOKUP(A138,'OI(Value)'!A138:O356,9,0)</f>
        <v>103</v>
      </c>
      <c r="R138" s="179">
        <f>VLOOKUP(A138,'OI(Value)'!A138:O356,11,0)</f>
        <v>1414</v>
      </c>
      <c r="S138" s="179">
        <f>VLOOKUP(A138,'OI(Value)'!A138:O356,11,0)</f>
        <v>1414</v>
      </c>
    </row>
    <row r="139" spans="1:19" x14ac:dyDescent="0.25">
      <c r="A139" s="105" t="str">
        <f>'Data Vlaue (Cr)'!C134</f>
        <v>MFSL</v>
      </c>
      <c r="B139" s="143">
        <f>VLOOKUP($A139,'Data shares'!$C:$FA,118)</f>
        <v>0.78</v>
      </c>
      <c r="C139" s="143">
        <f>VLOOKUP($A139,'Data shares'!$C:$FA,119)</f>
        <v>0.68</v>
      </c>
      <c r="D139" s="143">
        <f>VLOOKUP($A139,'Data shares'!$C:$FA,121)*100</f>
        <v>14.71</v>
      </c>
      <c r="E139" s="143">
        <f>VLOOKUP($A139,'Data shares'!$C:$FA,124)</f>
        <v>0.55000000000000004</v>
      </c>
      <c r="F139" s="143">
        <f>VLOOKUP($A139,'Data shares'!$C:$FA,125)</f>
        <v>0.49</v>
      </c>
      <c r="G139" s="143">
        <f>VLOOKUP($A139,'Data shares'!$C:$FA,127)*100</f>
        <v>12.24</v>
      </c>
      <c r="H139" s="103">
        <f>VLOOKUP($A139,'OI(Volume)'!$A$7:$O$440,8)</f>
        <v>571600</v>
      </c>
      <c r="I139" s="103">
        <f>VLOOKUP($A139,'OI(Volume)'!$A$7:$O$440,9)</f>
        <v>9200</v>
      </c>
      <c r="J139" s="103">
        <f>VLOOKUP($A139,'OI(Volume)'!$A$7:$O$440,11)</f>
        <v>443200</v>
      </c>
      <c r="K139" s="103">
        <f>VLOOKUP($A139,'OI(Volume)'!$A$7:$O$440,12)</f>
        <v>60400</v>
      </c>
      <c r="L139" s="103">
        <f>VLOOKUP($A139,'OI(Value)'!$A$7:$O$323,8,0)</f>
        <v>92</v>
      </c>
      <c r="M139" s="103">
        <f>VLOOKUP($A139,'OI(Value)'!$A$7:$O$323,9,0)</f>
        <v>1</v>
      </c>
      <c r="N139" s="103">
        <f>VLOOKUP($A139,'OI(Value)'!$A$7:$O$323,11,0)</f>
        <v>71</v>
      </c>
      <c r="O139" s="103">
        <f>VLOOKUP($A139,'OI(Value)'!$A$7:$O$323,12,0)</f>
        <v>10</v>
      </c>
      <c r="P139" s="179">
        <f>VLOOKUP(A139,'OI(Value)'!A139:O357,8,0)</f>
        <v>92</v>
      </c>
      <c r="Q139" s="179">
        <f>VLOOKUP(A139,'OI(Value)'!A139:O357,9,0)</f>
        <v>1</v>
      </c>
      <c r="R139" s="179">
        <f>VLOOKUP(A139,'OI(Value)'!A139:O357,11,0)</f>
        <v>71</v>
      </c>
      <c r="S139" s="179">
        <f>VLOOKUP(A139,'OI(Value)'!A139:O357,11,0)</f>
        <v>71</v>
      </c>
    </row>
    <row r="140" spans="1:19" x14ac:dyDescent="0.25">
      <c r="A140" s="105" t="str">
        <f>'Data Vlaue (Cr)'!C135</f>
        <v>MIDCPNIFTY</v>
      </c>
      <c r="B140" s="143">
        <f>VLOOKUP($A140,'Data shares'!$C:$FA,118)</f>
        <v>1.0900000000000001</v>
      </c>
      <c r="C140" s="143">
        <f>VLOOKUP($A140,'Data shares'!$C:$FA,119)</f>
        <v>0.97</v>
      </c>
      <c r="D140" s="143">
        <f>VLOOKUP($A140,'Data shares'!$C:$FA,121)*100</f>
        <v>12.370000000000001</v>
      </c>
      <c r="E140" s="143">
        <f>VLOOKUP($A140,'Data shares'!$C:$FA,124)</f>
        <v>1.05</v>
      </c>
      <c r="F140" s="143">
        <f>VLOOKUP($A140,'Data shares'!$C:$FA,125)</f>
        <v>1.1299999999999999</v>
      </c>
      <c r="G140" s="143">
        <f>VLOOKUP($A140,'Data shares'!$C:$FA,127)*100</f>
        <v>-7.08</v>
      </c>
      <c r="H140" s="103">
        <f>VLOOKUP($A140,'OI(Volume)'!$A$7:$O$440,8)</f>
        <v>3696240</v>
      </c>
      <c r="I140" s="103">
        <f>VLOOKUP($A140,'OI(Volume)'!$A$7:$O$440,9)</f>
        <v>201240</v>
      </c>
      <c r="J140" s="103">
        <f>VLOOKUP($A140,'OI(Volume)'!$A$7:$O$440,11)</f>
        <v>4033440</v>
      </c>
      <c r="K140" s="103">
        <f>VLOOKUP($A140,'OI(Volume)'!$A$7:$O$440,12)</f>
        <v>629400</v>
      </c>
      <c r="L140" s="103">
        <f>VLOOKUP($A140,'OI(Value)'!$A$7:$O$323,8,0)</f>
        <v>4891</v>
      </c>
      <c r="M140" s="103">
        <f>VLOOKUP($A140,'OI(Value)'!$A$7:$O$323,9,0)</f>
        <v>266</v>
      </c>
      <c r="N140" s="103">
        <f>VLOOKUP($A140,'OI(Value)'!$A$7:$O$323,11,0)</f>
        <v>5338</v>
      </c>
      <c r="O140" s="103">
        <f>VLOOKUP($A140,'OI(Value)'!$A$7:$O$323,12,0)</f>
        <v>833</v>
      </c>
      <c r="P140" s="179">
        <f>VLOOKUP(A140,'OI(Value)'!A140:O358,8,0)</f>
        <v>4891</v>
      </c>
      <c r="Q140" s="179">
        <f>VLOOKUP(A140,'OI(Value)'!A140:O358,9,0)</f>
        <v>266</v>
      </c>
      <c r="R140" s="179">
        <f>VLOOKUP(A140,'OI(Value)'!A140:O358,11,0)</f>
        <v>5338</v>
      </c>
      <c r="S140" s="179">
        <f>VLOOKUP(A140,'OI(Value)'!A140:O358,11,0)</f>
        <v>5338</v>
      </c>
    </row>
    <row r="141" spans="1:19" x14ac:dyDescent="0.25">
      <c r="A141" s="105" t="str">
        <f>'Data Vlaue (Cr)'!C136</f>
        <v>MOTHERSON</v>
      </c>
      <c r="B141" s="143">
        <f>VLOOKUP($A141,'Data shares'!$C:$FA,118)</f>
        <v>0.8</v>
      </c>
      <c r="C141" s="143">
        <f>VLOOKUP($A141,'Data shares'!$C:$FA,119)</f>
        <v>0.82</v>
      </c>
      <c r="D141" s="143">
        <f>VLOOKUP($A141,'Data shares'!$C:$FA,121)*100</f>
        <v>-2.44</v>
      </c>
      <c r="E141" s="143">
        <f>VLOOKUP($A141,'Data shares'!$C:$FA,124)</f>
        <v>0.64</v>
      </c>
      <c r="F141" s="143">
        <f>VLOOKUP($A141,'Data shares'!$C:$FA,125)</f>
        <v>0.55000000000000004</v>
      </c>
      <c r="G141" s="143">
        <f>VLOOKUP($A141,'Data shares'!$C:$FA,127)*100</f>
        <v>16.36</v>
      </c>
      <c r="H141" s="103">
        <f>VLOOKUP($A141,'OI(Volume)'!$A$7:$O$440,8)</f>
        <v>29907450</v>
      </c>
      <c r="I141" s="103">
        <f>VLOOKUP($A141,'OI(Volume)'!$A$7:$O$440,9)</f>
        <v>-239850</v>
      </c>
      <c r="J141" s="103">
        <f>VLOOKUP($A141,'OI(Volume)'!$A$7:$O$440,11)</f>
        <v>23831250</v>
      </c>
      <c r="K141" s="103">
        <f>VLOOKUP($A141,'OI(Volume)'!$A$7:$O$440,12)</f>
        <v>-793350</v>
      </c>
      <c r="L141" s="103">
        <f>VLOOKUP($A141,'OI(Value)'!$A$7:$O$323,8,0)</f>
        <v>351</v>
      </c>
      <c r="M141" s="103">
        <f>VLOOKUP($A141,'OI(Value)'!$A$7:$O$323,9,0)</f>
        <v>-3</v>
      </c>
      <c r="N141" s="103">
        <f>VLOOKUP($A141,'OI(Value)'!$A$7:$O$323,11,0)</f>
        <v>280</v>
      </c>
      <c r="O141" s="103">
        <f>VLOOKUP($A141,'OI(Value)'!$A$7:$O$323,12,0)</f>
        <v>-9</v>
      </c>
      <c r="P141" s="179">
        <f>VLOOKUP(A141,'OI(Value)'!A141:O359,8,0)</f>
        <v>351</v>
      </c>
      <c r="Q141" s="179">
        <f>VLOOKUP(A141,'OI(Value)'!A141:O359,9,0)</f>
        <v>-3</v>
      </c>
      <c r="R141" s="179">
        <f>VLOOKUP(A141,'OI(Value)'!A141:O359,11,0)</f>
        <v>280</v>
      </c>
      <c r="S141" s="179">
        <f>VLOOKUP(A141,'OI(Value)'!A141:O359,11,0)</f>
        <v>280</v>
      </c>
    </row>
    <row r="142" spans="1:19" x14ac:dyDescent="0.25">
      <c r="A142" s="105" t="str">
        <f>'Data Vlaue (Cr)'!C137</f>
        <v>MOTILALOFS</v>
      </c>
      <c r="B142" s="143">
        <f>VLOOKUP($A142,'Data shares'!$C:$FA,118)</f>
        <v>0.87</v>
      </c>
      <c r="C142" s="143">
        <f>VLOOKUP($A142,'Data shares'!$C:$FA,119)</f>
        <v>0.94</v>
      </c>
      <c r="D142" s="143">
        <f>VLOOKUP($A142,'Data shares'!$C:$FA,121)*100</f>
        <v>-7.4499999999999993</v>
      </c>
      <c r="E142" s="143">
        <f>VLOOKUP($A142,'Data shares'!$C:$FA,124)</f>
        <v>0.98</v>
      </c>
      <c r="F142" s="143">
        <f>VLOOKUP($A142,'Data shares'!$C:$FA,125)</f>
        <v>1.52</v>
      </c>
      <c r="G142" s="143">
        <f>VLOOKUP($A142,'Data shares'!$C:$FA,127)*100</f>
        <v>-35.53</v>
      </c>
      <c r="H142" s="103">
        <f>VLOOKUP($A142,'OI(Volume)'!$A$7:$O$440,8)</f>
        <v>981925</v>
      </c>
      <c r="I142" s="103">
        <f>VLOOKUP($A142,'OI(Volume)'!$A$7:$O$440,9)</f>
        <v>219325</v>
      </c>
      <c r="J142" s="103">
        <f>VLOOKUP($A142,'OI(Volume)'!$A$7:$O$440,11)</f>
        <v>849400</v>
      </c>
      <c r="K142" s="103">
        <f>VLOOKUP($A142,'OI(Volume)'!$A$7:$O$440,12)</f>
        <v>135625</v>
      </c>
      <c r="L142" s="103">
        <f>VLOOKUP($A142,'OI(Value)'!$A$7:$O$323,8,0)</f>
        <v>75</v>
      </c>
      <c r="M142" s="103">
        <f>VLOOKUP($A142,'OI(Value)'!$A$7:$O$323,9,0)</f>
        <v>17</v>
      </c>
      <c r="N142" s="103">
        <f>VLOOKUP($A142,'OI(Value)'!$A$7:$O$323,11,0)</f>
        <v>65</v>
      </c>
      <c r="O142" s="103">
        <f>VLOOKUP($A142,'OI(Value)'!$A$7:$O$323,12,0)</f>
        <v>10</v>
      </c>
      <c r="P142" s="179">
        <f>VLOOKUP(A142,'OI(Value)'!A142:O360,8,0)</f>
        <v>75</v>
      </c>
      <c r="Q142" s="179">
        <f>VLOOKUP(A142,'OI(Value)'!A142:O360,9,0)</f>
        <v>17</v>
      </c>
      <c r="R142" s="179">
        <f>VLOOKUP(A142,'OI(Value)'!A142:O360,11,0)</f>
        <v>65</v>
      </c>
      <c r="S142" s="179">
        <f>VLOOKUP(A142,'OI(Value)'!A142:O360,11,0)</f>
        <v>65</v>
      </c>
    </row>
    <row r="143" spans="1:19" x14ac:dyDescent="0.25">
      <c r="A143" s="105" t="str">
        <f>'Data Vlaue (Cr)'!C138</f>
        <v>MPHASIS</v>
      </c>
      <c r="B143" s="143">
        <f>VLOOKUP($A143,'Data shares'!$C:$FA,118)</f>
        <v>0.91</v>
      </c>
      <c r="C143" s="143">
        <f>VLOOKUP($A143,'Data shares'!$C:$FA,119)</f>
        <v>0.78</v>
      </c>
      <c r="D143" s="143">
        <f>VLOOKUP($A143,'Data shares'!$C:$FA,121)*100</f>
        <v>16.669999999999998</v>
      </c>
      <c r="E143" s="143">
        <f>VLOOKUP($A143,'Data shares'!$C:$FA,124)</f>
        <v>0.72</v>
      </c>
      <c r="F143" s="143">
        <f>VLOOKUP($A143,'Data shares'!$C:$FA,125)</f>
        <v>0.54</v>
      </c>
      <c r="G143" s="143">
        <f>VLOOKUP($A143,'Data shares'!$C:$FA,127)*100</f>
        <v>33.33</v>
      </c>
      <c r="H143" s="103">
        <f>VLOOKUP($A143,'OI(Volume)'!$A$7:$O$440,8)</f>
        <v>906400</v>
      </c>
      <c r="I143" s="103">
        <f>VLOOKUP($A143,'OI(Volume)'!$A$7:$O$440,9)</f>
        <v>82225</v>
      </c>
      <c r="J143" s="103">
        <f>VLOOKUP($A143,'OI(Volume)'!$A$7:$O$440,11)</f>
        <v>824175</v>
      </c>
      <c r="K143" s="103">
        <f>VLOOKUP($A143,'OI(Volume)'!$A$7:$O$440,12)</f>
        <v>177925</v>
      </c>
      <c r="L143" s="103">
        <f>VLOOKUP($A143,'OI(Value)'!$A$7:$O$323,8,0)</f>
        <v>217</v>
      </c>
      <c r="M143" s="103">
        <f>VLOOKUP($A143,'OI(Value)'!$A$7:$O$323,9,0)</f>
        <v>20</v>
      </c>
      <c r="N143" s="103">
        <f>VLOOKUP($A143,'OI(Value)'!$A$7:$O$323,11,0)</f>
        <v>197</v>
      </c>
      <c r="O143" s="103">
        <f>VLOOKUP($A143,'OI(Value)'!$A$7:$O$323,12,0)</f>
        <v>43</v>
      </c>
      <c r="P143" s="179">
        <f>VLOOKUP(A143,'OI(Value)'!A143:O361,8,0)</f>
        <v>217</v>
      </c>
      <c r="Q143" s="179">
        <f>VLOOKUP(A143,'OI(Value)'!A143:O361,9,0)</f>
        <v>20</v>
      </c>
      <c r="R143" s="179">
        <f>VLOOKUP(A143,'OI(Value)'!A143:O361,11,0)</f>
        <v>197</v>
      </c>
      <c r="S143" s="179">
        <f>VLOOKUP(A143,'OI(Value)'!A143:O361,11,0)</f>
        <v>197</v>
      </c>
    </row>
    <row r="144" spans="1:19" x14ac:dyDescent="0.25">
      <c r="A144" s="105" t="str">
        <f>'Data Vlaue (Cr)'!C139</f>
        <v>MUTHOOTFIN</v>
      </c>
      <c r="B144" s="143">
        <f>VLOOKUP($A144,'Data shares'!$C:$FA,118)</f>
        <v>0.69</v>
      </c>
      <c r="C144" s="143">
        <f>VLOOKUP($A144,'Data shares'!$C:$FA,119)</f>
        <v>0.66</v>
      </c>
      <c r="D144" s="143">
        <f>VLOOKUP($A144,'Data shares'!$C:$FA,121)*100</f>
        <v>4.55</v>
      </c>
      <c r="E144" s="143">
        <f>VLOOKUP($A144,'Data shares'!$C:$FA,124)</f>
        <v>0.4</v>
      </c>
      <c r="F144" s="143">
        <f>VLOOKUP($A144,'Data shares'!$C:$FA,125)</f>
        <v>0.33</v>
      </c>
      <c r="G144" s="143">
        <f>VLOOKUP($A144,'Data shares'!$C:$FA,127)*100</f>
        <v>21.21</v>
      </c>
      <c r="H144" s="103">
        <f>VLOOKUP($A144,'OI(Volume)'!$A$7:$O$440,8)</f>
        <v>1841675</v>
      </c>
      <c r="I144" s="103">
        <f>VLOOKUP($A144,'OI(Volume)'!$A$7:$O$440,9)</f>
        <v>-47025</v>
      </c>
      <c r="J144" s="103">
        <f>VLOOKUP($A144,'OI(Volume)'!$A$7:$O$440,11)</f>
        <v>1270500</v>
      </c>
      <c r="K144" s="103">
        <f>VLOOKUP($A144,'OI(Volume)'!$A$7:$O$440,12)</f>
        <v>18150</v>
      </c>
      <c r="L144" s="103">
        <f>VLOOKUP($A144,'OI(Value)'!$A$7:$O$323,8,0)</f>
        <v>637</v>
      </c>
      <c r="M144" s="103">
        <f>VLOOKUP($A144,'OI(Value)'!$A$7:$O$323,9,0)</f>
        <v>-16</v>
      </c>
      <c r="N144" s="103">
        <f>VLOOKUP($A144,'OI(Value)'!$A$7:$O$323,11,0)</f>
        <v>439</v>
      </c>
      <c r="O144" s="103">
        <f>VLOOKUP($A144,'OI(Value)'!$A$7:$O$323,12,0)</f>
        <v>6</v>
      </c>
      <c r="P144" s="179">
        <f>VLOOKUP(A144,'OI(Value)'!A144:O362,8,0)</f>
        <v>637</v>
      </c>
      <c r="Q144" s="179">
        <f>VLOOKUP(A144,'OI(Value)'!A144:O362,9,0)</f>
        <v>-16</v>
      </c>
      <c r="R144" s="179">
        <f>VLOOKUP(A144,'OI(Value)'!A144:O362,11,0)</f>
        <v>439</v>
      </c>
      <c r="S144" s="179">
        <f>VLOOKUP(A144,'OI(Value)'!A144:O362,11,0)</f>
        <v>439</v>
      </c>
    </row>
    <row r="145" spans="1:19" x14ac:dyDescent="0.25">
      <c r="A145" s="105" t="str">
        <f>'Data Vlaue (Cr)'!C140</f>
        <v>NAM-INDIA</v>
      </c>
      <c r="B145" s="143">
        <f>VLOOKUP($A145,'Data shares'!$C:$FA,118)</f>
        <v>0.52</v>
      </c>
      <c r="C145" s="143">
        <f>VLOOKUP($A145,'Data shares'!$C:$FA,119)</f>
        <v>0.31</v>
      </c>
      <c r="D145" s="143">
        <f>VLOOKUP($A145,'Data shares'!$C:$FA,121)*100</f>
        <v>67.739999999999995</v>
      </c>
      <c r="E145" s="143">
        <f>VLOOKUP($A145,'Data shares'!$C:$FA,124)</f>
        <v>1.73</v>
      </c>
      <c r="F145" s="143">
        <f>VLOOKUP($A145,'Data shares'!$C:$FA,125)</f>
        <v>0.32</v>
      </c>
      <c r="G145" s="143">
        <f>VLOOKUP($A145,'Data shares'!$C:$FA,127)*100</f>
        <v>440.63</v>
      </c>
      <c r="H145" s="103">
        <f>VLOOKUP($A145,'OI(Volume)'!$A$7:$O$440,8)</f>
        <v>262500</v>
      </c>
      <c r="I145" s="103">
        <f>VLOOKUP($A145,'OI(Volume)'!$A$7:$O$440,9)</f>
        <v>-39375</v>
      </c>
      <c r="J145" s="103">
        <f>VLOOKUP($A145,'OI(Volume)'!$A$7:$O$440,11)</f>
        <v>136875</v>
      </c>
      <c r="K145" s="103">
        <f>VLOOKUP($A145,'OI(Volume)'!$A$7:$O$440,12)</f>
        <v>44375</v>
      </c>
      <c r="L145" s="103">
        <f>VLOOKUP($A145,'OI(Value)'!$A$7:$O$323,8,0)</f>
        <v>24</v>
      </c>
      <c r="M145" s="103">
        <f>VLOOKUP($A145,'OI(Value)'!$A$7:$O$323,9,0)</f>
        <v>-4</v>
      </c>
      <c r="N145" s="103">
        <f>VLOOKUP($A145,'OI(Value)'!$A$7:$O$323,11,0)</f>
        <v>12</v>
      </c>
      <c r="O145" s="103">
        <f>VLOOKUP($A145,'OI(Value)'!$A$7:$O$323,12,0)</f>
        <v>4</v>
      </c>
      <c r="P145" s="179">
        <f>VLOOKUP(A145,'OI(Value)'!A145:O363,8,0)</f>
        <v>24</v>
      </c>
      <c r="Q145" s="179">
        <f>VLOOKUP(A145,'OI(Value)'!A145:O363,9,0)</f>
        <v>-4</v>
      </c>
      <c r="R145" s="179">
        <f>VLOOKUP(A145,'OI(Value)'!A145:O363,11,0)</f>
        <v>12</v>
      </c>
      <c r="S145" s="179">
        <f>VLOOKUP(A145,'OI(Value)'!A145:O363,11,0)</f>
        <v>12</v>
      </c>
    </row>
    <row r="146" spans="1:19" x14ac:dyDescent="0.25">
      <c r="A146" s="105" t="str">
        <f>'Data Vlaue (Cr)'!C141</f>
        <v>NATIONALUM</v>
      </c>
      <c r="B146" s="143">
        <f>VLOOKUP($A146,'Data shares'!$C:$FA,118)</f>
        <v>0.82</v>
      </c>
      <c r="C146" s="143">
        <f>VLOOKUP($A146,'Data shares'!$C:$FA,119)</f>
        <v>0.96</v>
      </c>
      <c r="D146" s="143">
        <f>VLOOKUP($A146,'Data shares'!$C:$FA,121)*100</f>
        <v>-14.580000000000002</v>
      </c>
      <c r="E146" s="143">
        <f>VLOOKUP($A146,'Data shares'!$C:$FA,124)</f>
        <v>0.31</v>
      </c>
      <c r="F146" s="143">
        <f>VLOOKUP($A146,'Data shares'!$C:$FA,125)</f>
        <v>0.57999999999999996</v>
      </c>
      <c r="G146" s="143">
        <f>VLOOKUP($A146,'Data shares'!$C:$FA,127)*100</f>
        <v>-46.550000000000004</v>
      </c>
      <c r="H146" s="103">
        <f>VLOOKUP($A146,'OI(Volume)'!$A$7:$O$440,8)</f>
        <v>35175000</v>
      </c>
      <c r="I146" s="103">
        <f>VLOOKUP($A146,'OI(Volume)'!$A$7:$O$440,9)</f>
        <v>6356250</v>
      </c>
      <c r="J146" s="103">
        <f>VLOOKUP($A146,'OI(Volume)'!$A$7:$O$440,11)</f>
        <v>28747500</v>
      </c>
      <c r="K146" s="103">
        <f>VLOOKUP($A146,'OI(Volume)'!$A$7:$O$440,12)</f>
        <v>963750</v>
      </c>
      <c r="L146" s="103">
        <f>VLOOKUP($A146,'OI(Value)'!$A$7:$O$323,8,0)</f>
        <v>1458</v>
      </c>
      <c r="M146" s="103">
        <f>VLOOKUP($A146,'OI(Value)'!$A$7:$O$323,9,0)</f>
        <v>263</v>
      </c>
      <c r="N146" s="103">
        <f>VLOOKUP($A146,'OI(Value)'!$A$7:$O$323,11,0)</f>
        <v>1192</v>
      </c>
      <c r="O146" s="103">
        <f>VLOOKUP($A146,'OI(Value)'!$A$7:$O$323,12,0)</f>
        <v>40</v>
      </c>
      <c r="P146" s="179">
        <f>VLOOKUP(A146,'OI(Value)'!A146:O364,8,0)</f>
        <v>1458</v>
      </c>
      <c r="Q146" s="179">
        <f>VLOOKUP(A146,'OI(Value)'!A146:O364,9,0)</f>
        <v>263</v>
      </c>
      <c r="R146" s="179">
        <f>VLOOKUP(A146,'OI(Value)'!A146:O364,11,0)</f>
        <v>1192</v>
      </c>
      <c r="S146" s="179">
        <f>VLOOKUP(A146,'OI(Value)'!A146:O364,11,0)</f>
        <v>1192</v>
      </c>
    </row>
    <row r="147" spans="1:19" x14ac:dyDescent="0.25">
      <c r="A147" s="105" t="str">
        <f>'Data Vlaue (Cr)'!C142</f>
        <v>NAUKRI</v>
      </c>
      <c r="B147" s="143">
        <f>VLOOKUP($A147,'Data shares'!$C:$FA,118)</f>
        <v>0.5</v>
      </c>
      <c r="C147" s="143">
        <f>VLOOKUP($A147,'Data shares'!$C:$FA,119)</f>
        <v>0.46</v>
      </c>
      <c r="D147" s="143">
        <f>VLOOKUP($A147,'Data shares'!$C:$FA,121)*100</f>
        <v>8.6999999999999993</v>
      </c>
      <c r="E147" s="143">
        <f>VLOOKUP($A147,'Data shares'!$C:$FA,124)</f>
        <v>0.79</v>
      </c>
      <c r="F147" s="143">
        <f>VLOOKUP($A147,'Data shares'!$C:$FA,125)</f>
        <v>0.41</v>
      </c>
      <c r="G147" s="143">
        <f>VLOOKUP($A147,'Data shares'!$C:$FA,127)*100</f>
        <v>92.679999999999993</v>
      </c>
      <c r="H147" s="103">
        <f>VLOOKUP($A147,'OI(Volume)'!$A$7:$O$440,8)</f>
        <v>2190375</v>
      </c>
      <c r="I147" s="103">
        <f>VLOOKUP($A147,'OI(Volume)'!$A$7:$O$440,9)</f>
        <v>233250</v>
      </c>
      <c r="J147" s="103">
        <f>VLOOKUP($A147,'OI(Volume)'!$A$7:$O$440,11)</f>
        <v>1102500</v>
      </c>
      <c r="K147" s="103">
        <f>VLOOKUP($A147,'OI(Volume)'!$A$7:$O$440,12)</f>
        <v>209250</v>
      </c>
      <c r="L147" s="103">
        <f>VLOOKUP($A147,'OI(Value)'!$A$7:$O$323,8,0)</f>
        <v>220</v>
      </c>
      <c r="M147" s="103">
        <f>VLOOKUP($A147,'OI(Value)'!$A$7:$O$323,9,0)</f>
        <v>23</v>
      </c>
      <c r="N147" s="103">
        <f>VLOOKUP($A147,'OI(Value)'!$A$7:$O$323,11,0)</f>
        <v>111</v>
      </c>
      <c r="O147" s="103">
        <f>VLOOKUP($A147,'OI(Value)'!$A$7:$O$323,12,0)</f>
        <v>21</v>
      </c>
      <c r="P147" s="179">
        <f>VLOOKUP(A147,'OI(Value)'!A147:O365,8,0)</f>
        <v>220</v>
      </c>
      <c r="Q147" s="179">
        <f>VLOOKUP(A147,'OI(Value)'!A147:O365,9,0)</f>
        <v>23</v>
      </c>
      <c r="R147" s="179">
        <f>VLOOKUP(A147,'OI(Value)'!A147:O365,11,0)</f>
        <v>111</v>
      </c>
      <c r="S147" s="179">
        <f>VLOOKUP(A147,'OI(Value)'!A147:O365,11,0)</f>
        <v>111</v>
      </c>
    </row>
    <row r="148" spans="1:19" x14ac:dyDescent="0.25">
      <c r="A148" s="105" t="str">
        <f>'Data Vlaue (Cr)'!C143</f>
        <v>NBCC</v>
      </c>
      <c r="B148" s="143">
        <f>VLOOKUP($A148,'Data shares'!$C:$FA,118)</f>
        <v>0.83</v>
      </c>
      <c r="C148" s="143">
        <f>VLOOKUP($A148,'Data shares'!$C:$FA,119)</f>
        <v>0.89</v>
      </c>
      <c r="D148" s="143">
        <f>VLOOKUP($A148,'Data shares'!$C:$FA,121)*100</f>
        <v>-6.74</v>
      </c>
      <c r="E148" s="143">
        <f>VLOOKUP($A148,'Data shares'!$C:$FA,124)</f>
        <v>0.46</v>
      </c>
      <c r="F148" s="143">
        <f>VLOOKUP($A148,'Data shares'!$C:$FA,125)</f>
        <v>0.45</v>
      </c>
      <c r="G148" s="143">
        <f>VLOOKUP($A148,'Data shares'!$C:$FA,127)*100</f>
        <v>2.2200000000000002</v>
      </c>
      <c r="H148" s="103">
        <f>VLOOKUP($A148,'OI(Volume)'!$A$7:$O$440,8)</f>
        <v>15301000</v>
      </c>
      <c r="I148" s="103">
        <f>VLOOKUP($A148,'OI(Volume)'!$A$7:$O$440,9)</f>
        <v>1443000</v>
      </c>
      <c r="J148" s="103">
        <f>VLOOKUP($A148,'OI(Volume)'!$A$7:$O$440,11)</f>
        <v>12733500</v>
      </c>
      <c r="K148" s="103">
        <f>VLOOKUP($A148,'OI(Volume)'!$A$7:$O$440,12)</f>
        <v>416000</v>
      </c>
      <c r="L148" s="103">
        <f>VLOOKUP($A148,'OI(Value)'!$A$7:$O$323,8,0)</f>
        <v>135</v>
      </c>
      <c r="M148" s="103">
        <f>VLOOKUP($A148,'OI(Value)'!$A$7:$O$323,9,0)</f>
        <v>13</v>
      </c>
      <c r="N148" s="103">
        <f>VLOOKUP($A148,'OI(Value)'!$A$7:$O$323,11,0)</f>
        <v>112</v>
      </c>
      <c r="O148" s="103">
        <f>VLOOKUP($A148,'OI(Value)'!$A$7:$O$323,12,0)</f>
        <v>4</v>
      </c>
      <c r="P148" s="179">
        <f>VLOOKUP(A148,'OI(Value)'!A148:O366,8,0)</f>
        <v>135</v>
      </c>
      <c r="Q148" s="179">
        <f>VLOOKUP(A148,'OI(Value)'!A148:O366,9,0)</f>
        <v>13</v>
      </c>
      <c r="R148" s="179">
        <f>VLOOKUP(A148,'OI(Value)'!A148:O366,11,0)</f>
        <v>112</v>
      </c>
      <c r="S148" s="179">
        <f>VLOOKUP(A148,'OI(Value)'!A148:O366,11,0)</f>
        <v>112</v>
      </c>
    </row>
    <row r="149" spans="1:19" x14ac:dyDescent="0.25">
      <c r="A149" s="105" t="str">
        <f>'Data Vlaue (Cr)'!C144</f>
        <v>NESTLEIND</v>
      </c>
      <c r="B149" s="143">
        <f>VLOOKUP($A149,'Data shares'!$C:$FA,118)</f>
        <v>0.73</v>
      </c>
      <c r="C149" s="143">
        <f>VLOOKUP($A149,'Data shares'!$C:$FA,119)</f>
        <v>0.71</v>
      </c>
      <c r="D149" s="143">
        <f>VLOOKUP($A149,'Data shares'!$C:$FA,121)*100</f>
        <v>2.82</v>
      </c>
      <c r="E149" s="143">
        <f>VLOOKUP($A149,'Data shares'!$C:$FA,124)</f>
        <v>0.56000000000000005</v>
      </c>
      <c r="F149" s="143">
        <f>VLOOKUP($A149,'Data shares'!$C:$FA,125)</f>
        <v>0.56000000000000005</v>
      </c>
      <c r="G149" s="143">
        <f>VLOOKUP($A149,'Data shares'!$C:$FA,127)*100</f>
        <v>0</v>
      </c>
      <c r="H149" s="103">
        <f>VLOOKUP($A149,'OI(Volume)'!$A$7:$O$440,8)</f>
        <v>2291000</v>
      </c>
      <c r="I149" s="103">
        <f>VLOOKUP($A149,'OI(Volume)'!$A$7:$O$440,9)</f>
        <v>-57000</v>
      </c>
      <c r="J149" s="103">
        <f>VLOOKUP($A149,'OI(Volume)'!$A$7:$O$440,11)</f>
        <v>1664500</v>
      </c>
      <c r="K149" s="103">
        <f>VLOOKUP($A149,'OI(Volume)'!$A$7:$O$440,12)</f>
        <v>3500</v>
      </c>
      <c r="L149" s="103">
        <f>VLOOKUP($A149,'OI(Value)'!$A$7:$O$323,8,0)</f>
        <v>282</v>
      </c>
      <c r="M149" s="103">
        <f>VLOOKUP($A149,'OI(Value)'!$A$7:$O$323,9,0)</f>
        <v>-7</v>
      </c>
      <c r="N149" s="103">
        <f>VLOOKUP($A149,'OI(Value)'!$A$7:$O$323,11,0)</f>
        <v>205</v>
      </c>
      <c r="O149" s="103">
        <f>VLOOKUP($A149,'OI(Value)'!$A$7:$O$323,12,0)</f>
        <v>0</v>
      </c>
      <c r="P149" s="179">
        <f>VLOOKUP(A149,'OI(Value)'!A149:O367,8,0)</f>
        <v>282</v>
      </c>
      <c r="Q149" s="179">
        <f>VLOOKUP(A149,'OI(Value)'!A149:O367,9,0)</f>
        <v>-7</v>
      </c>
      <c r="R149" s="179">
        <f>VLOOKUP(A149,'OI(Value)'!A149:O367,11,0)</f>
        <v>205</v>
      </c>
      <c r="S149" s="179">
        <f>VLOOKUP(A149,'OI(Value)'!A149:O367,11,0)</f>
        <v>205</v>
      </c>
    </row>
    <row r="150" spans="1:19" x14ac:dyDescent="0.25">
      <c r="A150" s="105" t="str">
        <f>'Data Vlaue (Cr)'!C145</f>
        <v>NHPC</v>
      </c>
      <c r="B150" s="143">
        <f>VLOOKUP($A150,'Data shares'!$C:$FA,118)</f>
        <v>0.59</v>
      </c>
      <c r="C150" s="143">
        <f>VLOOKUP($A150,'Data shares'!$C:$FA,119)</f>
        <v>0.67</v>
      </c>
      <c r="D150" s="143">
        <f>VLOOKUP($A150,'Data shares'!$C:$FA,121)*100</f>
        <v>-11.940000000000001</v>
      </c>
      <c r="E150" s="143">
        <f>VLOOKUP($A150,'Data shares'!$C:$FA,124)</f>
        <v>0.27</v>
      </c>
      <c r="F150" s="143">
        <f>VLOOKUP($A150,'Data shares'!$C:$FA,125)</f>
        <v>0.45</v>
      </c>
      <c r="G150" s="143">
        <f>VLOOKUP($A150,'Data shares'!$C:$FA,127)*100</f>
        <v>-40</v>
      </c>
      <c r="H150" s="103">
        <f>VLOOKUP($A150,'OI(Volume)'!$A$7:$O$440,8)</f>
        <v>42342400</v>
      </c>
      <c r="I150" s="103">
        <f>VLOOKUP($A150,'OI(Volume)'!$A$7:$O$440,9)</f>
        <v>13056000</v>
      </c>
      <c r="J150" s="103">
        <f>VLOOKUP($A150,'OI(Volume)'!$A$7:$O$440,11)</f>
        <v>24806400</v>
      </c>
      <c r="K150" s="103">
        <f>VLOOKUP($A150,'OI(Volume)'!$A$7:$O$440,12)</f>
        <v>5088000</v>
      </c>
      <c r="L150" s="103">
        <f>VLOOKUP($A150,'OI(Value)'!$A$7:$O$323,8,0)</f>
        <v>327</v>
      </c>
      <c r="M150" s="103">
        <f>VLOOKUP($A150,'OI(Value)'!$A$7:$O$323,9,0)</f>
        <v>101</v>
      </c>
      <c r="N150" s="103">
        <f>VLOOKUP($A150,'OI(Value)'!$A$7:$O$323,11,0)</f>
        <v>192</v>
      </c>
      <c r="O150" s="103">
        <f>VLOOKUP($A150,'OI(Value)'!$A$7:$O$323,12,0)</f>
        <v>39</v>
      </c>
      <c r="P150" s="179">
        <f>VLOOKUP(A150,'OI(Value)'!A150:O368,8,0)</f>
        <v>327</v>
      </c>
      <c r="Q150" s="179">
        <f>VLOOKUP(A150,'OI(Value)'!A150:O368,9,0)</f>
        <v>101</v>
      </c>
      <c r="R150" s="179">
        <f>VLOOKUP(A150,'OI(Value)'!A150:O368,11,0)</f>
        <v>192</v>
      </c>
      <c r="S150" s="179">
        <f>VLOOKUP(A150,'OI(Value)'!A150:O368,11,0)</f>
        <v>192</v>
      </c>
    </row>
    <row r="151" spans="1:19" x14ac:dyDescent="0.25">
      <c r="A151" s="105" t="str">
        <f>'Data Vlaue (Cr)'!C146</f>
        <v>NIFTY</v>
      </c>
      <c r="B151" s="143">
        <f>VLOOKUP($A151,'Data shares'!$C:$FA,118)</f>
        <v>0.97</v>
      </c>
      <c r="C151" s="143">
        <f>VLOOKUP($A151,'Data shares'!$C:$FA,119)</f>
        <v>1.1299999999999999</v>
      </c>
      <c r="D151" s="143">
        <f>VLOOKUP($A151,'Data shares'!$C:$FA,121)*100</f>
        <v>-14.16</v>
      </c>
      <c r="E151" s="143">
        <f>VLOOKUP($A151,'Data shares'!$C:$FA,124)</f>
        <v>1.04</v>
      </c>
      <c r="F151" s="143">
        <f>VLOOKUP($A151,'Data shares'!$C:$FA,125)</f>
        <v>0.9</v>
      </c>
      <c r="G151" s="143">
        <f>VLOOKUP($A151,'Data shares'!$C:$FA,127)*100</f>
        <v>15.559999999999999</v>
      </c>
      <c r="H151" s="103">
        <f>VLOOKUP($A151,'OI(Volume)'!$A$7:$O$440,8)</f>
        <v>213651855</v>
      </c>
      <c r="I151" s="103">
        <f>VLOOKUP($A151,'OI(Volume)'!$A$7:$O$440,9)</f>
        <v>43020245</v>
      </c>
      <c r="J151" s="103">
        <f>VLOOKUP($A151,'OI(Volume)'!$A$7:$O$440,11)</f>
        <v>207890550</v>
      </c>
      <c r="K151" s="103">
        <f>VLOOKUP($A151,'OI(Volume)'!$A$7:$O$440,12)</f>
        <v>15608625</v>
      </c>
      <c r="L151" s="103">
        <f>VLOOKUP($A151,'OI(Value)'!$A$7:$O$323,8,0)</f>
        <v>509801</v>
      </c>
      <c r="M151" s="103">
        <f>VLOOKUP($A151,'OI(Value)'!$A$7:$O$323,9,0)</f>
        <v>102652</v>
      </c>
      <c r="N151" s="103">
        <f>VLOOKUP($A151,'OI(Value)'!$A$7:$O$323,11,0)</f>
        <v>496054</v>
      </c>
      <c r="O151" s="103">
        <f>VLOOKUP($A151,'OI(Value)'!$A$7:$O$323,12,0)</f>
        <v>37244</v>
      </c>
      <c r="P151" s="179">
        <f>VLOOKUP(A151,'OI(Value)'!A151:O369,8,0)</f>
        <v>509801</v>
      </c>
      <c r="Q151" s="179">
        <f>VLOOKUP(A151,'OI(Value)'!A151:O369,9,0)</f>
        <v>102652</v>
      </c>
      <c r="R151" s="179">
        <f>VLOOKUP(A151,'OI(Value)'!A151:O369,11,0)</f>
        <v>496054</v>
      </c>
      <c r="S151" s="179">
        <f>VLOOKUP(A151,'OI(Value)'!A151:O369,11,0)</f>
        <v>496054</v>
      </c>
    </row>
    <row r="152" spans="1:19" x14ac:dyDescent="0.25">
      <c r="A152" s="105" t="str">
        <f>'Data Vlaue (Cr)'!C147</f>
        <v>NIFTYNXT50</v>
      </c>
      <c r="B152" s="143">
        <f>VLOOKUP($A152,'Data shares'!$C:$FA,118)</f>
        <v>1.1499999999999999</v>
      </c>
      <c r="C152" s="143">
        <f>VLOOKUP($A152,'Data shares'!$C:$FA,119)</f>
        <v>1.0900000000000001</v>
      </c>
      <c r="D152" s="143">
        <f>VLOOKUP($A152,'Data shares'!$C:$FA,121)*100</f>
        <v>5.5</v>
      </c>
      <c r="E152" s="143">
        <f>VLOOKUP($A152,'Data shares'!$C:$FA,124)</f>
        <v>0.75</v>
      </c>
      <c r="F152" s="143">
        <f>VLOOKUP($A152,'Data shares'!$C:$FA,125)</f>
        <v>0.77</v>
      </c>
      <c r="G152" s="143">
        <f>VLOOKUP($A152,'Data shares'!$C:$FA,127)*100</f>
        <v>-2.6</v>
      </c>
      <c r="H152" s="103">
        <f>VLOOKUP($A152,'OI(Volume)'!$A$7:$O$440,8)</f>
        <v>2425</v>
      </c>
      <c r="I152" s="103">
        <f>VLOOKUP($A152,'OI(Volume)'!$A$7:$O$440,9)</f>
        <v>200</v>
      </c>
      <c r="J152" s="103">
        <f>VLOOKUP($A152,'OI(Volume)'!$A$7:$O$440,11)</f>
        <v>2800</v>
      </c>
      <c r="K152" s="103">
        <f>VLOOKUP($A152,'OI(Volume)'!$A$7:$O$440,12)</f>
        <v>375</v>
      </c>
      <c r="L152" s="103">
        <f>VLOOKUP($A152,'OI(Value)'!$A$7:$O$323,8,0)</f>
        <v>16</v>
      </c>
      <c r="M152" s="103">
        <f>VLOOKUP($A152,'OI(Value)'!$A$7:$O$323,9,0)</f>
        <v>1</v>
      </c>
      <c r="N152" s="103">
        <f>VLOOKUP($A152,'OI(Value)'!$A$7:$O$323,11,0)</f>
        <v>19</v>
      </c>
      <c r="O152" s="103">
        <f>VLOOKUP($A152,'OI(Value)'!$A$7:$O$323,12,0)</f>
        <v>2</v>
      </c>
      <c r="P152" s="179">
        <f>VLOOKUP(A152,'OI(Value)'!A152:O370,8,0)</f>
        <v>16</v>
      </c>
      <c r="Q152" s="179">
        <f>VLOOKUP(A152,'OI(Value)'!A152:O370,9,0)</f>
        <v>1</v>
      </c>
      <c r="R152" s="179">
        <f>VLOOKUP(A152,'OI(Value)'!A152:O370,11,0)</f>
        <v>19</v>
      </c>
      <c r="S152" s="179">
        <f>VLOOKUP(A152,'OI(Value)'!A152:O370,11,0)</f>
        <v>19</v>
      </c>
    </row>
    <row r="153" spans="1:19" x14ac:dyDescent="0.25">
      <c r="A153" s="105" t="str">
        <f>'Data Vlaue (Cr)'!C148</f>
        <v>NMDC</v>
      </c>
      <c r="B153" s="143">
        <f>VLOOKUP($A153,'Data shares'!$C:$FA,118)</f>
        <v>0.61</v>
      </c>
      <c r="C153" s="143">
        <f>VLOOKUP($A153,'Data shares'!$C:$FA,119)</f>
        <v>0.6</v>
      </c>
      <c r="D153" s="143">
        <f>VLOOKUP($A153,'Data shares'!$C:$FA,121)*100</f>
        <v>1.67</v>
      </c>
      <c r="E153" s="143">
        <f>VLOOKUP($A153,'Data shares'!$C:$FA,124)</f>
        <v>0.37</v>
      </c>
      <c r="F153" s="143">
        <f>VLOOKUP($A153,'Data shares'!$C:$FA,125)</f>
        <v>0.48</v>
      </c>
      <c r="G153" s="143">
        <f>VLOOKUP($A153,'Data shares'!$C:$FA,127)*100</f>
        <v>-22.919999999999998</v>
      </c>
      <c r="H153" s="103">
        <f>VLOOKUP($A153,'OI(Volume)'!$A$7:$O$440,8)</f>
        <v>67081500</v>
      </c>
      <c r="I153" s="103">
        <f>VLOOKUP($A153,'OI(Volume)'!$A$7:$O$440,9)</f>
        <v>4738500</v>
      </c>
      <c r="J153" s="103">
        <f>VLOOKUP($A153,'OI(Volume)'!$A$7:$O$440,11)</f>
        <v>41215500</v>
      </c>
      <c r="K153" s="103">
        <f>VLOOKUP($A153,'OI(Volume)'!$A$7:$O$440,12)</f>
        <v>3719250</v>
      </c>
      <c r="L153" s="103">
        <f>VLOOKUP($A153,'OI(Value)'!$A$7:$O$323,8,0)</f>
        <v>570</v>
      </c>
      <c r="M153" s="103">
        <f>VLOOKUP($A153,'OI(Value)'!$A$7:$O$323,9,0)</f>
        <v>40</v>
      </c>
      <c r="N153" s="103">
        <f>VLOOKUP($A153,'OI(Value)'!$A$7:$O$323,11,0)</f>
        <v>350</v>
      </c>
      <c r="O153" s="103">
        <f>VLOOKUP($A153,'OI(Value)'!$A$7:$O$323,12,0)</f>
        <v>32</v>
      </c>
      <c r="P153" s="179">
        <f>VLOOKUP(A153,'OI(Value)'!A153:O371,8,0)</f>
        <v>570</v>
      </c>
      <c r="Q153" s="179">
        <f>VLOOKUP(A153,'OI(Value)'!A153:O371,9,0)</f>
        <v>40</v>
      </c>
      <c r="R153" s="179">
        <f>VLOOKUP(A153,'OI(Value)'!A153:O371,11,0)</f>
        <v>350</v>
      </c>
      <c r="S153" s="179">
        <f>VLOOKUP(A153,'OI(Value)'!A153:O371,11,0)</f>
        <v>350</v>
      </c>
    </row>
    <row r="154" spans="1:19" x14ac:dyDescent="0.25">
      <c r="A154" s="105" t="str">
        <f>'Data Vlaue (Cr)'!C149</f>
        <v>NTPC</v>
      </c>
      <c r="B154" s="143">
        <f>VLOOKUP($A154,'Data shares'!$C:$FA,118)</f>
        <v>0.49</v>
      </c>
      <c r="C154" s="143">
        <f>VLOOKUP($A154,'Data shares'!$C:$FA,119)</f>
        <v>0.53</v>
      </c>
      <c r="D154" s="143">
        <f>VLOOKUP($A154,'Data shares'!$C:$FA,121)*100</f>
        <v>-7.55</v>
      </c>
      <c r="E154" s="143">
        <f>VLOOKUP($A154,'Data shares'!$C:$FA,124)</f>
        <v>0.31</v>
      </c>
      <c r="F154" s="143">
        <f>VLOOKUP($A154,'Data shares'!$C:$FA,125)</f>
        <v>0.36</v>
      </c>
      <c r="G154" s="143">
        <f>VLOOKUP($A154,'Data shares'!$C:$FA,127)*100</f>
        <v>-13.889999999999999</v>
      </c>
      <c r="H154" s="103">
        <f>VLOOKUP($A154,'OI(Volume)'!$A$7:$O$440,8)</f>
        <v>36079500</v>
      </c>
      <c r="I154" s="103">
        <f>VLOOKUP($A154,'OI(Volume)'!$A$7:$O$440,9)</f>
        <v>5962500</v>
      </c>
      <c r="J154" s="103">
        <f>VLOOKUP($A154,'OI(Volume)'!$A$7:$O$440,11)</f>
        <v>17544000</v>
      </c>
      <c r="K154" s="103">
        <f>VLOOKUP($A154,'OI(Volume)'!$A$7:$O$440,12)</f>
        <v>1663500</v>
      </c>
      <c r="L154" s="103">
        <f>VLOOKUP($A154,'OI(Value)'!$A$7:$O$323,8,0)</f>
        <v>1371</v>
      </c>
      <c r="M154" s="103">
        <f>VLOOKUP($A154,'OI(Value)'!$A$7:$O$323,9,0)</f>
        <v>227</v>
      </c>
      <c r="N154" s="103">
        <f>VLOOKUP($A154,'OI(Value)'!$A$7:$O$323,11,0)</f>
        <v>667</v>
      </c>
      <c r="O154" s="103">
        <f>VLOOKUP($A154,'OI(Value)'!$A$7:$O$323,12,0)</f>
        <v>63</v>
      </c>
      <c r="P154" s="179">
        <f>VLOOKUP(A154,'OI(Value)'!A154:O372,8,0)</f>
        <v>1371</v>
      </c>
      <c r="Q154" s="179">
        <f>VLOOKUP(A154,'OI(Value)'!A154:O372,9,0)</f>
        <v>227</v>
      </c>
      <c r="R154" s="179">
        <f>VLOOKUP(A154,'OI(Value)'!A154:O372,11,0)</f>
        <v>667</v>
      </c>
      <c r="S154" s="179">
        <f>VLOOKUP(A154,'OI(Value)'!A154:O372,11,0)</f>
        <v>667</v>
      </c>
    </row>
    <row r="155" spans="1:19" x14ac:dyDescent="0.25">
      <c r="A155" s="105" t="str">
        <f>'Data Vlaue (Cr)'!C150</f>
        <v>NUVAMA</v>
      </c>
      <c r="B155" s="143">
        <f>VLOOKUP($A155,'Data shares'!$C:$FA,118)</f>
        <v>0.74</v>
      </c>
      <c r="C155" s="143">
        <f>VLOOKUP($A155,'Data shares'!$C:$FA,119)</f>
        <v>0.84</v>
      </c>
      <c r="D155" s="143">
        <f>VLOOKUP($A155,'Data shares'!$C:$FA,121)*100</f>
        <v>-11.899999999999999</v>
      </c>
      <c r="E155" s="143">
        <f>VLOOKUP($A155,'Data shares'!$C:$FA,124)</f>
        <v>0.65</v>
      </c>
      <c r="F155" s="143">
        <f>VLOOKUP($A155,'Data shares'!$C:$FA,125)</f>
        <v>0.3</v>
      </c>
      <c r="G155" s="143">
        <f>VLOOKUP($A155,'Data shares'!$C:$FA,127)*100</f>
        <v>116.67</v>
      </c>
      <c r="H155" s="103">
        <f>VLOOKUP($A155,'OI(Volume)'!$A$7:$O$440,8)</f>
        <v>746500</v>
      </c>
      <c r="I155" s="103">
        <f>VLOOKUP($A155,'OI(Volume)'!$A$7:$O$440,9)</f>
        <v>134000</v>
      </c>
      <c r="J155" s="103">
        <f>VLOOKUP($A155,'OI(Volume)'!$A$7:$O$440,11)</f>
        <v>555500</v>
      </c>
      <c r="K155" s="103">
        <f>VLOOKUP($A155,'OI(Volume)'!$A$7:$O$440,12)</f>
        <v>43500</v>
      </c>
      <c r="L155" s="103">
        <f>VLOOKUP($A155,'OI(Value)'!$A$7:$O$323,8,0)</f>
        <v>97</v>
      </c>
      <c r="M155" s="103">
        <f>VLOOKUP($A155,'OI(Value)'!$A$7:$O$323,9,0)</f>
        <v>17</v>
      </c>
      <c r="N155" s="103">
        <f>VLOOKUP($A155,'OI(Value)'!$A$7:$O$323,11,0)</f>
        <v>72</v>
      </c>
      <c r="O155" s="103">
        <f>VLOOKUP($A155,'OI(Value)'!$A$7:$O$323,12,0)</f>
        <v>6</v>
      </c>
      <c r="P155" s="179">
        <f>VLOOKUP(A155,'OI(Value)'!A155:O373,8,0)</f>
        <v>97</v>
      </c>
      <c r="Q155" s="179">
        <f>VLOOKUP(A155,'OI(Value)'!A155:O373,9,0)</f>
        <v>17</v>
      </c>
      <c r="R155" s="179">
        <f>VLOOKUP(A155,'OI(Value)'!A155:O373,11,0)</f>
        <v>72</v>
      </c>
      <c r="S155" s="179">
        <f>VLOOKUP(A155,'OI(Value)'!A155:O373,11,0)</f>
        <v>72</v>
      </c>
    </row>
    <row r="156" spans="1:19" x14ac:dyDescent="0.25">
      <c r="A156" s="105" t="str">
        <f>'Data Vlaue (Cr)'!C151</f>
        <v>NYKAA</v>
      </c>
      <c r="B156" s="143">
        <f>VLOOKUP($A156,'Data shares'!$C:$FA,118)</f>
        <v>0.59</v>
      </c>
      <c r="C156" s="143">
        <f>VLOOKUP($A156,'Data shares'!$C:$FA,119)</f>
        <v>0.62</v>
      </c>
      <c r="D156" s="143">
        <f>VLOOKUP($A156,'Data shares'!$C:$FA,121)*100</f>
        <v>-4.84</v>
      </c>
      <c r="E156" s="143">
        <f>VLOOKUP($A156,'Data shares'!$C:$FA,124)</f>
        <v>0.36</v>
      </c>
      <c r="F156" s="143">
        <f>VLOOKUP($A156,'Data shares'!$C:$FA,125)</f>
        <v>0.32</v>
      </c>
      <c r="G156" s="143">
        <f>VLOOKUP($A156,'Data shares'!$C:$FA,127)*100</f>
        <v>12.5</v>
      </c>
      <c r="H156" s="103">
        <f>VLOOKUP($A156,'OI(Volume)'!$A$7:$O$440,8)</f>
        <v>7487500</v>
      </c>
      <c r="I156" s="103">
        <f>VLOOKUP($A156,'OI(Volume)'!$A$7:$O$440,9)</f>
        <v>578125</v>
      </c>
      <c r="J156" s="103">
        <f>VLOOKUP($A156,'OI(Volume)'!$A$7:$O$440,11)</f>
        <v>4425000</v>
      </c>
      <c r="K156" s="103">
        <f>VLOOKUP($A156,'OI(Volume)'!$A$7:$O$440,12)</f>
        <v>175000</v>
      </c>
      <c r="L156" s="103">
        <f>VLOOKUP($A156,'OI(Value)'!$A$7:$O$323,8,0)</f>
        <v>192</v>
      </c>
      <c r="M156" s="103">
        <f>VLOOKUP($A156,'OI(Value)'!$A$7:$O$323,9,0)</f>
        <v>15</v>
      </c>
      <c r="N156" s="103">
        <f>VLOOKUP($A156,'OI(Value)'!$A$7:$O$323,11,0)</f>
        <v>113</v>
      </c>
      <c r="O156" s="103">
        <f>VLOOKUP($A156,'OI(Value)'!$A$7:$O$323,12,0)</f>
        <v>4</v>
      </c>
      <c r="P156" s="179">
        <f>VLOOKUP(A156,'OI(Value)'!A156:O374,8,0)</f>
        <v>192</v>
      </c>
      <c r="Q156" s="179">
        <f>VLOOKUP(A156,'OI(Value)'!A156:O374,9,0)</f>
        <v>15</v>
      </c>
      <c r="R156" s="179">
        <f>VLOOKUP(A156,'OI(Value)'!A156:O374,11,0)</f>
        <v>113</v>
      </c>
      <c r="S156" s="179">
        <f>VLOOKUP(A156,'OI(Value)'!A156:O374,11,0)</f>
        <v>113</v>
      </c>
    </row>
    <row r="157" spans="1:19" x14ac:dyDescent="0.25">
      <c r="A157" s="105" t="str">
        <f>'Data Vlaue (Cr)'!C152</f>
        <v>OBEROIRLTY</v>
      </c>
      <c r="B157" s="143">
        <f>VLOOKUP($A157,'Data shares'!$C:$FA,118)</f>
        <v>0.9</v>
      </c>
      <c r="C157" s="143">
        <f>VLOOKUP($A157,'Data shares'!$C:$FA,119)</f>
        <v>0.91</v>
      </c>
      <c r="D157" s="143">
        <f>VLOOKUP($A157,'Data shares'!$C:$FA,121)*100</f>
        <v>-1.0999999999999999</v>
      </c>
      <c r="E157" s="143">
        <f>VLOOKUP($A157,'Data shares'!$C:$FA,124)</f>
        <v>0.74</v>
      </c>
      <c r="F157" s="143">
        <f>VLOOKUP($A157,'Data shares'!$C:$FA,125)</f>
        <v>0.42</v>
      </c>
      <c r="G157" s="143">
        <f>VLOOKUP($A157,'Data shares'!$C:$FA,127)*100</f>
        <v>76.19</v>
      </c>
      <c r="H157" s="103">
        <f>VLOOKUP($A157,'OI(Volume)'!$A$7:$O$440,8)</f>
        <v>941500</v>
      </c>
      <c r="I157" s="103">
        <f>VLOOKUP($A157,'OI(Volume)'!$A$7:$O$440,9)</f>
        <v>98350</v>
      </c>
      <c r="J157" s="103">
        <f>VLOOKUP($A157,'OI(Volume)'!$A$7:$O$440,11)</f>
        <v>843150</v>
      </c>
      <c r="K157" s="103">
        <f>VLOOKUP($A157,'OI(Volume)'!$A$7:$O$440,12)</f>
        <v>75250</v>
      </c>
      <c r="L157" s="103">
        <f>VLOOKUP($A157,'OI(Value)'!$A$7:$O$323,8,0)</f>
        <v>153</v>
      </c>
      <c r="M157" s="103">
        <f>VLOOKUP($A157,'OI(Value)'!$A$7:$O$323,9,0)</f>
        <v>16</v>
      </c>
      <c r="N157" s="103">
        <f>VLOOKUP($A157,'OI(Value)'!$A$7:$O$323,11,0)</f>
        <v>137</v>
      </c>
      <c r="O157" s="103">
        <f>VLOOKUP($A157,'OI(Value)'!$A$7:$O$323,12,0)</f>
        <v>12</v>
      </c>
      <c r="P157" s="179">
        <f>VLOOKUP(A157,'OI(Value)'!A157:O375,8,0)</f>
        <v>153</v>
      </c>
      <c r="Q157" s="179">
        <f>VLOOKUP(A157,'OI(Value)'!A157:O375,9,0)</f>
        <v>16</v>
      </c>
      <c r="R157" s="179">
        <f>VLOOKUP(A157,'OI(Value)'!A157:O375,11,0)</f>
        <v>137</v>
      </c>
      <c r="S157" s="179">
        <f>VLOOKUP(A157,'OI(Value)'!A157:O375,11,0)</f>
        <v>137</v>
      </c>
    </row>
    <row r="158" spans="1:19" x14ac:dyDescent="0.25">
      <c r="A158" s="105" t="str">
        <f>'Data Vlaue (Cr)'!C153</f>
        <v>OFSS</v>
      </c>
      <c r="B158" s="143">
        <f>VLOOKUP($A158,'Data shares'!$C:$FA,118)</f>
        <v>0.88</v>
      </c>
      <c r="C158" s="143">
        <f>VLOOKUP($A158,'Data shares'!$C:$FA,119)</f>
        <v>0.71</v>
      </c>
      <c r="D158" s="143">
        <f>VLOOKUP($A158,'Data shares'!$C:$FA,121)*100</f>
        <v>23.94</v>
      </c>
      <c r="E158" s="143">
        <f>VLOOKUP($A158,'Data shares'!$C:$FA,124)</f>
        <v>0.76</v>
      </c>
      <c r="F158" s="143">
        <f>VLOOKUP($A158,'Data shares'!$C:$FA,125)</f>
        <v>0.57999999999999996</v>
      </c>
      <c r="G158" s="143">
        <f>VLOOKUP($A158,'Data shares'!$C:$FA,127)*100</f>
        <v>31.03</v>
      </c>
      <c r="H158" s="103">
        <f>VLOOKUP($A158,'OI(Volume)'!$A$7:$O$440,8)</f>
        <v>424725</v>
      </c>
      <c r="I158" s="103">
        <f>VLOOKUP($A158,'OI(Volume)'!$A$7:$O$440,9)</f>
        <v>-18000</v>
      </c>
      <c r="J158" s="103">
        <f>VLOOKUP($A158,'OI(Volume)'!$A$7:$O$440,11)</f>
        <v>372000</v>
      </c>
      <c r="K158" s="103">
        <f>VLOOKUP($A158,'OI(Volume)'!$A$7:$O$440,12)</f>
        <v>58575</v>
      </c>
      <c r="L158" s="103">
        <f>VLOOKUP($A158,'OI(Value)'!$A$7:$O$323,8,0)</f>
        <v>308</v>
      </c>
      <c r="M158" s="103">
        <f>VLOOKUP($A158,'OI(Value)'!$A$7:$O$323,9,0)</f>
        <v>-13</v>
      </c>
      <c r="N158" s="103">
        <f>VLOOKUP($A158,'OI(Value)'!$A$7:$O$323,11,0)</f>
        <v>270</v>
      </c>
      <c r="O158" s="103">
        <f>VLOOKUP($A158,'OI(Value)'!$A$7:$O$323,12,0)</f>
        <v>42</v>
      </c>
      <c r="P158" s="179">
        <f>VLOOKUP(A158,'OI(Value)'!A158:O376,8,0)</f>
        <v>308</v>
      </c>
      <c r="Q158" s="179">
        <f>VLOOKUP(A158,'OI(Value)'!A158:O376,9,0)</f>
        <v>-13</v>
      </c>
      <c r="R158" s="179">
        <f>VLOOKUP(A158,'OI(Value)'!A158:O376,11,0)</f>
        <v>270</v>
      </c>
      <c r="S158" s="179">
        <f>VLOOKUP(A158,'OI(Value)'!A158:O376,11,0)</f>
        <v>270</v>
      </c>
    </row>
    <row r="159" spans="1:19" x14ac:dyDescent="0.25">
      <c r="A159" s="105" t="str">
        <f>'Data Vlaue (Cr)'!C154</f>
        <v>OIL</v>
      </c>
      <c r="B159" s="143">
        <f>VLOOKUP($A159,'Data shares'!$C:$FA,118)</f>
        <v>0.47</v>
      </c>
      <c r="C159" s="143">
        <f>VLOOKUP($A159,'Data shares'!$C:$FA,119)</f>
        <v>0.43</v>
      </c>
      <c r="D159" s="143">
        <f>VLOOKUP($A159,'Data shares'!$C:$FA,121)*100</f>
        <v>9.3000000000000007</v>
      </c>
      <c r="E159" s="143">
        <f>VLOOKUP($A159,'Data shares'!$C:$FA,124)</f>
        <v>0.28000000000000003</v>
      </c>
      <c r="F159" s="143">
        <f>VLOOKUP($A159,'Data shares'!$C:$FA,125)</f>
        <v>0.59</v>
      </c>
      <c r="G159" s="143">
        <f>VLOOKUP($A159,'Data shares'!$C:$FA,127)*100</f>
        <v>-52.54</v>
      </c>
      <c r="H159" s="103">
        <f>VLOOKUP($A159,'OI(Volume)'!$A$7:$O$440,8)</f>
        <v>9559200</v>
      </c>
      <c r="I159" s="103">
        <f>VLOOKUP($A159,'OI(Volume)'!$A$7:$O$440,9)</f>
        <v>-652400</v>
      </c>
      <c r="J159" s="103">
        <f>VLOOKUP($A159,'OI(Volume)'!$A$7:$O$440,11)</f>
        <v>4484200</v>
      </c>
      <c r="K159" s="103">
        <f>VLOOKUP($A159,'OI(Volume)'!$A$7:$O$440,12)</f>
        <v>89600</v>
      </c>
      <c r="L159" s="103">
        <f>VLOOKUP($A159,'OI(Value)'!$A$7:$O$323,8,0)</f>
        <v>452</v>
      </c>
      <c r="M159" s="103">
        <f>VLOOKUP($A159,'OI(Value)'!$A$7:$O$323,9,0)</f>
        <v>-31</v>
      </c>
      <c r="N159" s="103">
        <f>VLOOKUP($A159,'OI(Value)'!$A$7:$O$323,11,0)</f>
        <v>212</v>
      </c>
      <c r="O159" s="103">
        <f>VLOOKUP($A159,'OI(Value)'!$A$7:$O$323,12,0)</f>
        <v>4</v>
      </c>
      <c r="P159" s="179">
        <f>VLOOKUP(A159,'OI(Value)'!A159:O377,8,0)</f>
        <v>452</v>
      </c>
      <c r="Q159" s="179">
        <f>VLOOKUP(A159,'OI(Value)'!A159:O377,9,0)</f>
        <v>-31</v>
      </c>
      <c r="R159" s="179">
        <f>VLOOKUP(A159,'OI(Value)'!A159:O377,11,0)</f>
        <v>212</v>
      </c>
      <c r="S159" s="179">
        <f>VLOOKUP(A159,'OI(Value)'!A159:O377,11,0)</f>
        <v>212</v>
      </c>
    </row>
    <row r="160" spans="1:19" x14ac:dyDescent="0.25">
      <c r="A160" s="105" t="str">
        <f>'Data Vlaue (Cr)'!C155</f>
        <v>ONGC</v>
      </c>
      <c r="B160" s="143">
        <f>VLOOKUP($A160,'Data shares'!$C:$FA,118)</f>
        <v>0.54</v>
      </c>
      <c r="C160" s="143">
        <f>VLOOKUP($A160,'Data shares'!$C:$FA,119)</f>
        <v>0.51</v>
      </c>
      <c r="D160" s="143">
        <f>VLOOKUP($A160,'Data shares'!$C:$FA,121)*100</f>
        <v>5.88</v>
      </c>
      <c r="E160" s="143">
        <f>VLOOKUP($A160,'Data shares'!$C:$FA,124)</f>
        <v>0.36</v>
      </c>
      <c r="F160" s="143">
        <f>VLOOKUP($A160,'Data shares'!$C:$FA,125)</f>
        <v>0.63</v>
      </c>
      <c r="G160" s="143">
        <f>VLOOKUP($A160,'Data shares'!$C:$FA,127)*100</f>
        <v>-42.86</v>
      </c>
      <c r="H160" s="103">
        <f>VLOOKUP($A160,'OI(Volume)'!$A$7:$O$440,8)</f>
        <v>67007250</v>
      </c>
      <c r="I160" s="103">
        <f>VLOOKUP($A160,'OI(Volume)'!$A$7:$O$440,9)</f>
        <v>-600750</v>
      </c>
      <c r="J160" s="103">
        <f>VLOOKUP($A160,'OI(Volume)'!$A$7:$O$440,11)</f>
        <v>36092250</v>
      </c>
      <c r="K160" s="103">
        <f>VLOOKUP($A160,'OI(Volume)'!$A$7:$O$440,12)</f>
        <v>1593000</v>
      </c>
      <c r="L160" s="103">
        <f>VLOOKUP($A160,'OI(Value)'!$A$7:$O$323,8,0)</f>
        <v>1943</v>
      </c>
      <c r="M160" s="103">
        <f>VLOOKUP($A160,'OI(Value)'!$A$7:$O$323,9,0)</f>
        <v>-17</v>
      </c>
      <c r="N160" s="103">
        <f>VLOOKUP($A160,'OI(Value)'!$A$7:$O$323,11,0)</f>
        <v>1046</v>
      </c>
      <c r="O160" s="103">
        <f>VLOOKUP($A160,'OI(Value)'!$A$7:$O$323,12,0)</f>
        <v>46</v>
      </c>
      <c r="P160" s="179">
        <f>VLOOKUP(A160,'OI(Value)'!A160:O378,8,0)</f>
        <v>1943</v>
      </c>
      <c r="Q160" s="179">
        <f>VLOOKUP(A160,'OI(Value)'!A160:O378,9,0)</f>
        <v>-17</v>
      </c>
      <c r="R160" s="179">
        <f>VLOOKUP(A160,'OI(Value)'!A160:O378,11,0)</f>
        <v>1046</v>
      </c>
      <c r="S160" s="179">
        <f>VLOOKUP(A160,'OI(Value)'!A160:O378,11,0)</f>
        <v>1046</v>
      </c>
    </row>
    <row r="161" spans="1:19" x14ac:dyDescent="0.25">
      <c r="A161" s="105" t="str">
        <f>'Data Vlaue (Cr)'!C156</f>
        <v>PAGEIND</v>
      </c>
      <c r="B161" s="143">
        <f>VLOOKUP($A161,'Data shares'!$C:$FA,118)</f>
        <v>0.89</v>
      </c>
      <c r="C161" s="143">
        <f>VLOOKUP($A161,'Data shares'!$C:$FA,119)</f>
        <v>0.82</v>
      </c>
      <c r="D161" s="143">
        <f>VLOOKUP($A161,'Data shares'!$C:$FA,121)*100</f>
        <v>8.5400000000000009</v>
      </c>
      <c r="E161" s="143">
        <f>VLOOKUP($A161,'Data shares'!$C:$FA,124)</f>
        <v>0.64</v>
      </c>
      <c r="F161" s="143">
        <f>VLOOKUP($A161,'Data shares'!$C:$FA,125)</f>
        <v>0.55000000000000004</v>
      </c>
      <c r="G161" s="143">
        <f>VLOOKUP($A161,'Data shares'!$C:$FA,127)*100</f>
        <v>16.36</v>
      </c>
      <c r="H161" s="103">
        <f>VLOOKUP($A161,'OI(Volume)'!$A$7:$O$440,8)</f>
        <v>59865</v>
      </c>
      <c r="I161" s="103">
        <f>VLOOKUP($A161,'OI(Volume)'!$A$7:$O$440,9)</f>
        <v>1800</v>
      </c>
      <c r="J161" s="103">
        <f>VLOOKUP($A161,'OI(Volume)'!$A$7:$O$440,11)</f>
        <v>53430</v>
      </c>
      <c r="K161" s="103">
        <f>VLOOKUP($A161,'OI(Volume)'!$A$7:$O$440,12)</f>
        <v>5820</v>
      </c>
      <c r="L161" s="103">
        <f>VLOOKUP($A161,'OI(Value)'!$A$7:$O$323,8,0)</f>
        <v>215</v>
      </c>
      <c r="M161" s="103">
        <f>VLOOKUP($A161,'OI(Value)'!$A$7:$O$323,9,0)</f>
        <v>6</v>
      </c>
      <c r="N161" s="103">
        <f>VLOOKUP($A161,'OI(Value)'!$A$7:$O$323,11,0)</f>
        <v>192</v>
      </c>
      <c r="O161" s="103">
        <f>VLOOKUP($A161,'OI(Value)'!$A$7:$O$323,12,0)</f>
        <v>21</v>
      </c>
      <c r="P161" s="179">
        <f>VLOOKUP(A161,'OI(Value)'!A161:O379,8,0)</f>
        <v>215</v>
      </c>
      <c r="Q161" s="179">
        <f>VLOOKUP(A161,'OI(Value)'!A161:O379,9,0)</f>
        <v>6</v>
      </c>
      <c r="R161" s="179">
        <f>VLOOKUP(A161,'OI(Value)'!A161:O379,11,0)</f>
        <v>192</v>
      </c>
      <c r="S161" s="179">
        <f>VLOOKUP(A161,'OI(Value)'!A161:O379,11,0)</f>
        <v>192</v>
      </c>
    </row>
    <row r="162" spans="1:19" x14ac:dyDescent="0.25">
      <c r="A162" s="105" t="str">
        <f>'Data Vlaue (Cr)'!C157</f>
        <v>PATANJALI</v>
      </c>
      <c r="B162" s="143">
        <f>VLOOKUP($A162,'Data shares'!$C:$FA,118)</f>
        <v>0.74</v>
      </c>
      <c r="C162" s="143">
        <f>VLOOKUP($A162,'Data shares'!$C:$FA,119)</f>
        <v>0.79</v>
      </c>
      <c r="D162" s="143">
        <f>VLOOKUP($A162,'Data shares'!$C:$FA,121)*100</f>
        <v>-6.3299999999999992</v>
      </c>
      <c r="E162" s="143">
        <f>VLOOKUP($A162,'Data shares'!$C:$FA,124)</f>
        <v>0.64</v>
      </c>
      <c r="F162" s="143">
        <f>VLOOKUP($A162,'Data shares'!$C:$FA,125)</f>
        <v>0.52</v>
      </c>
      <c r="G162" s="143">
        <f>VLOOKUP($A162,'Data shares'!$C:$FA,127)*100</f>
        <v>23.080000000000002</v>
      </c>
      <c r="H162" s="103">
        <f>VLOOKUP($A162,'OI(Volume)'!$A$7:$O$440,8)</f>
        <v>2872800</v>
      </c>
      <c r="I162" s="103">
        <f>VLOOKUP($A162,'OI(Volume)'!$A$7:$O$440,9)</f>
        <v>270000</v>
      </c>
      <c r="J162" s="103">
        <f>VLOOKUP($A162,'OI(Volume)'!$A$7:$O$440,11)</f>
        <v>2124900</v>
      </c>
      <c r="K162" s="103">
        <f>VLOOKUP($A162,'OI(Volume)'!$A$7:$O$440,12)</f>
        <v>63900</v>
      </c>
      <c r="L162" s="103">
        <f>VLOOKUP($A162,'OI(Value)'!$A$7:$O$323,8,0)</f>
        <v>132</v>
      </c>
      <c r="M162" s="103">
        <f>VLOOKUP($A162,'OI(Value)'!$A$7:$O$323,9,0)</f>
        <v>12</v>
      </c>
      <c r="N162" s="103">
        <f>VLOOKUP($A162,'OI(Value)'!$A$7:$O$323,11,0)</f>
        <v>98</v>
      </c>
      <c r="O162" s="103">
        <f>VLOOKUP($A162,'OI(Value)'!$A$7:$O$323,12,0)</f>
        <v>3</v>
      </c>
      <c r="P162" s="179">
        <f>VLOOKUP(A162,'OI(Value)'!A162:O380,8,0)</f>
        <v>132</v>
      </c>
      <c r="Q162" s="179">
        <f>VLOOKUP(A162,'OI(Value)'!A162:O380,9,0)</f>
        <v>12</v>
      </c>
      <c r="R162" s="179">
        <f>VLOOKUP(A162,'OI(Value)'!A162:O380,11,0)</f>
        <v>98</v>
      </c>
      <c r="S162" s="179">
        <f>VLOOKUP(A162,'OI(Value)'!A162:O380,11,0)</f>
        <v>98</v>
      </c>
    </row>
    <row r="163" spans="1:19" x14ac:dyDescent="0.25">
      <c r="A163" s="105" t="str">
        <f>'Data Vlaue (Cr)'!C158</f>
        <v>PAYTM</v>
      </c>
      <c r="B163" s="143">
        <f>VLOOKUP($A163,'Data shares'!$C:$FA,118)</f>
        <v>0.8</v>
      </c>
      <c r="C163" s="143">
        <f>VLOOKUP($A163,'Data shares'!$C:$FA,119)</f>
        <v>0.86</v>
      </c>
      <c r="D163" s="143">
        <f>VLOOKUP($A163,'Data shares'!$C:$FA,121)*100</f>
        <v>-6.98</v>
      </c>
      <c r="E163" s="143">
        <f>VLOOKUP($A163,'Data shares'!$C:$FA,124)</f>
        <v>0.63</v>
      </c>
      <c r="F163" s="143">
        <f>VLOOKUP($A163,'Data shares'!$C:$FA,125)</f>
        <v>0.54</v>
      </c>
      <c r="G163" s="143">
        <f>VLOOKUP($A163,'Data shares'!$C:$FA,127)*100</f>
        <v>16.669999999999998</v>
      </c>
      <c r="H163" s="103">
        <f>VLOOKUP($A163,'OI(Volume)'!$A$7:$O$440,8)</f>
        <v>5782600</v>
      </c>
      <c r="I163" s="103">
        <f>VLOOKUP($A163,'OI(Volume)'!$A$7:$O$440,9)</f>
        <v>1408675</v>
      </c>
      <c r="J163" s="103">
        <f>VLOOKUP($A163,'OI(Volume)'!$A$7:$O$440,11)</f>
        <v>4643625</v>
      </c>
      <c r="K163" s="103">
        <f>VLOOKUP($A163,'OI(Volume)'!$A$7:$O$440,12)</f>
        <v>867100</v>
      </c>
      <c r="L163" s="103">
        <f>VLOOKUP($A163,'OI(Value)'!$A$7:$O$323,8,0)</f>
        <v>638</v>
      </c>
      <c r="M163" s="103">
        <f>VLOOKUP($A163,'OI(Value)'!$A$7:$O$323,9,0)</f>
        <v>155</v>
      </c>
      <c r="N163" s="103">
        <f>VLOOKUP($A163,'OI(Value)'!$A$7:$O$323,11,0)</f>
        <v>512</v>
      </c>
      <c r="O163" s="103">
        <f>VLOOKUP($A163,'OI(Value)'!$A$7:$O$323,12,0)</f>
        <v>96</v>
      </c>
      <c r="P163" s="179">
        <f>VLOOKUP(A163,'OI(Value)'!A163:O381,8,0)</f>
        <v>638</v>
      </c>
      <c r="Q163" s="179">
        <f>VLOOKUP(A163,'OI(Value)'!A163:O381,9,0)</f>
        <v>155</v>
      </c>
      <c r="R163" s="179">
        <f>VLOOKUP(A163,'OI(Value)'!A163:O381,11,0)</f>
        <v>512</v>
      </c>
      <c r="S163" s="179">
        <f>VLOOKUP(A163,'OI(Value)'!A163:O381,11,0)</f>
        <v>512</v>
      </c>
    </row>
    <row r="164" spans="1:19" x14ac:dyDescent="0.25">
      <c r="A164" s="105" t="str">
        <f>'Data Vlaue (Cr)'!C159</f>
        <v>PERSISTENT</v>
      </c>
      <c r="B164" s="143">
        <f>VLOOKUP($A164,'Data shares'!$C:$FA,118)</f>
        <v>0.95</v>
      </c>
      <c r="C164" s="143">
        <f>VLOOKUP($A164,'Data shares'!$C:$FA,119)</f>
        <v>0.91</v>
      </c>
      <c r="D164" s="143">
        <f>VLOOKUP($A164,'Data shares'!$C:$FA,121)*100</f>
        <v>4.3999999999999995</v>
      </c>
      <c r="E164" s="143">
        <f>VLOOKUP($A164,'Data shares'!$C:$FA,124)</f>
        <v>0.6</v>
      </c>
      <c r="F164" s="143">
        <f>VLOOKUP($A164,'Data shares'!$C:$FA,125)</f>
        <v>0.48</v>
      </c>
      <c r="G164" s="143">
        <f>VLOOKUP($A164,'Data shares'!$C:$FA,127)*100</f>
        <v>25</v>
      </c>
      <c r="H164" s="103">
        <f>VLOOKUP($A164,'OI(Volume)'!$A$7:$O$440,8)</f>
        <v>877500</v>
      </c>
      <c r="I164" s="103">
        <f>VLOOKUP($A164,'OI(Volume)'!$A$7:$O$440,9)</f>
        <v>42000</v>
      </c>
      <c r="J164" s="103">
        <f>VLOOKUP($A164,'OI(Volume)'!$A$7:$O$440,11)</f>
        <v>837500</v>
      </c>
      <c r="K164" s="103">
        <f>VLOOKUP($A164,'OI(Volume)'!$A$7:$O$440,12)</f>
        <v>78900</v>
      </c>
      <c r="L164" s="103">
        <f>VLOOKUP($A164,'OI(Value)'!$A$7:$O$323,8,0)</f>
        <v>480</v>
      </c>
      <c r="M164" s="103">
        <f>VLOOKUP($A164,'OI(Value)'!$A$7:$O$323,9,0)</f>
        <v>23</v>
      </c>
      <c r="N164" s="103">
        <f>VLOOKUP($A164,'OI(Value)'!$A$7:$O$323,11,0)</f>
        <v>458</v>
      </c>
      <c r="O164" s="103">
        <f>VLOOKUP($A164,'OI(Value)'!$A$7:$O$323,12,0)</f>
        <v>43</v>
      </c>
      <c r="P164" s="179">
        <f>VLOOKUP(A164,'OI(Value)'!A164:O382,8,0)</f>
        <v>480</v>
      </c>
      <c r="Q164" s="179">
        <f>VLOOKUP(A164,'OI(Value)'!A164:O382,9,0)</f>
        <v>23</v>
      </c>
      <c r="R164" s="179">
        <f>VLOOKUP(A164,'OI(Value)'!A164:O382,11,0)</f>
        <v>458</v>
      </c>
      <c r="S164" s="179">
        <f>VLOOKUP(A164,'OI(Value)'!A164:O382,11,0)</f>
        <v>458</v>
      </c>
    </row>
    <row r="165" spans="1:19" x14ac:dyDescent="0.25">
      <c r="A165" s="105" t="str">
        <f>'Data Vlaue (Cr)'!C160</f>
        <v>PETRONET</v>
      </c>
      <c r="B165" s="143">
        <f>VLOOKUP($A165,'Data shares'!$C:$FA,118)</f>
        <v>0.62</v>
      </c>
      <c r="C165" s="143">
        <f>VLOOKUP($A165,'Data shares'!$C:$FA,119)</f>
        <v>0.75</v>
      </c>
      <c r="D165" s="143">
        <f>VLOOKUP($A165,'Data shares'!$C:$FA,121)*100</f>
        <v>-17.330000000000002</v>
      </c>
      <c r="E165" s="143">
        <f>VLOOKUP($A165,'Data shares'!$C:$FA,124)</f>
        <v>0.25</v>
      </c>
      <c r="F165" s="143">
        <f>VLOOKUP($A165,'Data shares'!$C:$FA,125)</f>
        <v>0.54</v>
      </c>
      <c r="G165" s="143">
        <f>VLOOKUP($A165,'Data shares'!$C:$FA,127)*100</f>
        <v>-53.7</v>
      </c>
      <c r="H165" s="103">
        <f>VLOOKUP($A165,'OI(Volume)'!$A$7:$O$440,8)</f>
        <v>14295600</v>
      </c>
      <c r="I165" s="103">
        <f>VLOOKUP($A165,'OI(Volume)'!$A$7:$O$440,9)</f>
        <v>3435200</v>
      </c>
      <c r="J165" s="103">
        <f>VLOOKUP($A165,'OI(Volume)'!$A$7:$O$440,11)</f>
        <v>8823600</v>
      </c>
      <c r="K165" s="103">
        <f>VLOOKUP($A165,'OI(Volume)'!$A$7:$O$440,12)</f>
        <v>731500</v>
      </c>
      <c r="L165" s="103">
        <f>VLOOKUP($A165,'OI(Value)'!$A$7:$O$323,8,0)</f>
        <v>389</v>
      </c>
      <c r="M165" s="103">
        <f>VLOOKUP($A165,'OI(Value)'!$A$7:$O$323,9,0)</f>
        <v>93</v>
      </c>
      <c r="N165" s="103">
        <f>VLOOKUP($A165,'OI(Value)'!$A$7:$O$323,11,0)</f>
        <v>240</v>
      </c>
      <c r="O165" s="103">
        <f>VLOOKUP($A165,'OI(Value)'!$A$7:$O$323,12,0)</f>
        <v>20</v>
      </c>
      <c r="P165" s="179">
        <f>VLOOKUP(A165,'OI(Value)'!A165:O383,8,0)</f>
        <v>389</v>
      </c>
      <c r="Q165" s="179">
        <f>VLOOKUP(A165,'OI(Value)'!A165:O383,9,0)</f>
        <v>93</v>
      </c>
      <c r="R165" s="179">
        <f>VLOOKUP(A165,'OI(Value)'!A165:O383,11,0)</f>
        <v>240</v>
      </c>
      <c r="S165" s="179">
        <f>VLOOKUP(A165,'OI(Value)'!A165:O383,11,0)</f>
        <v>240</v>
      </c>
    </row>
    <row r="166" spans="1:19" x14ac:dyDescent="0.25">
      <c r="A166" s="105" t="str">
        <f>'Data Vlaue (Cr)'!C161</f>
        <v>PFC</v>
      </c>
      <c r="B166" s="143">
        <f>VLOOKUP($A166,'Data shares'!$C:$FA,118)</f>
        <v>0.75</v>
      </c>
      <c r="C166" s="143">
        <f>VLOOKUP($A166,'Data shares'!$C:$FA,119)</f>
        <v>0.75</v>
      </c>
      <c r="D166" s="143">
        <f>VLOOKUP($A166,'Data shares'!$C:$FA,121)*100</f>
        <v>0</v>
      </c>
      <c r="E166" s="143">
        <f>VLOOKUP($A166,'Data shares'!$C:$FA,124)</f>
        <v>0.48</v>
      </c>
      <c r="F166" s="143">
        <f>VLOOKUP($A166,'Data shares'!$C:$FA,125)</f>
        <v>0.59</v>
      </c>
      <c r="G166" s="143">
        <f>VLOOKUP($A166,'Data shares'!$C:$FA,127)*100</f>
        <v>-18.64</v>
      </c>
      <c r="H166" s="103">
        <f>VLOOKUP($A166,'OI(Volume)'!$A$7:$O$440,8)</f>
        <v>18990400</v>
      </c>
      <c r="I166" s="103">
        <f>VLOOKUP($A166,'OI(Volume)'!$A$7:$O$440,9)</f>
        <v>3230500</v>
      </c>
      <c r="J166" s="103">
        <f>VLOOKUP($A166,'OI(Volume)'!$A$7:$O$440,11)</f>
        <v>14167400</v>
      </c>
      <c r="K166" s="103">
        <f>VLOOKUP($A166,'OI(Volume)'!$A$7:$O$440,12)</f>
        <v>2294500</v>
      </c>
      <c r="L166" s="103">
        <f>VLOOKUP($A166,'OI(Value)'!$A$7:$O$323,8,0)</f>
        <v>816</v>
      </c>
      <c r="M166" s="103">
        <f>VLOOKUP($A166,'OI(Value)'!$A$7:$O$323,9,0)</f>
        <v>139</v>
      </c>
      <c r="N166" s="103">
        <f>VLOOKUP($A166,'OI(Value)'!$A$7:$O$323,11,0)</f>
        <v>609</v>
      </c>
      <c r="O166" s="103">
        <f>VLOOKUP($A166,'OI(Value)'!$A$7:$O$323,12,0)</f>
        <v>99</v>
      </c>
      <c r="P166" s="179">
        <f>VLOOKUP(A166,'OI(Value)'!A166:O384,8,0)</f>
        <v>816</v>
      </c>
      <c r="Q166" s="179">
        <f>VLOOKUP(A166,'OI(Value)'!A166:O384,9,0)</f>
        <v>139</v>
      </c>
      <c r="R166" s="179">
        <f>VLOOKUP(A166,'OI(Value)'!A166:O384,11,0)</f>
        <v>609</v>
      </c>
      <c r="S166" s="179">
        <f>VLOOKUP(A166,'OI(Value)'!A166:O384,11,0)</f>
        <v>609</v>
      </c>
    </row>
    <row r="167" spans="1:19" x14ac:dyDescent="0.25">
      <c r="A167" s="105" t="str">
        <f>'Data Vlaue (Cr)'!C162</f>
        <v>PGEL</v>
      </c>
      <c r="B167" s="143">
        <f>VLOOKUP($A167,'Data shares'!$C:$FA,118)</f>
        <v>0.62</v>
      </c>
      <c r="C167" s="143">
        <f>VLOOKUP($A167,'Data shares'!$C:$FA,119)</f>
        <v>0.56000000000000005</v>
      </c>
      <c r="D167" s="143">
        <f>VLOOKUP($A167,'Data shares'!$C:$FA,121)*100</f>
        <v>10.71</v>
      </c>
      <c r="E167" s="143">
        <f>VLOOKUP($A167,'Data shares'!$C:$FA,124)</f>
        <v>0.61</v>
      </c>
      <c r="F167" s="143">
        <f>VLOOKUP($A167,'Data shares'!$C:$FA,125)</f>
        <v>0.36</v>
      </c>
      <c r="G167" s="143">
        <f>VLOOKUP($A167,'Data shares'!$C:$FA,127)*100</f>
        <v>69.44</v>
      </c>
      <c r="H167" s="103">
        <f>VLOOKUP($A167,'OI(Volume)'!$A$7:$O$440,8)</f>
        <v>9114300</v>
      </c>
      <c r="I167" s="103">
        <f>VLOOKUP($A167,'OI(Volume)'!$A$7:$O$440,9)</f>
        <v>-438900</v>
      </c>
      <c r="J167" s="103">
        <f>VLOOKUP($A167,'OI(Volume)'!$A$7:$O$440,11)</f>
        <v>5643000</v>
      </c>
      <c r="K167" s="103">
        <f>VLOOKUP($A167,'OI(Volume)'!$A$7:$O$440,12)</f>
        <v>254600</v>
      </c>
      <c r="L167" s="103">
        <f>VLOOKUP($A167,'OI(Value)'!$A$7:$O$323,8,0)</f>
        <v>437</v>
      </c>
      <c r="M167" s="103">
        <f>VLOOKUP($A167,'OI(Value)'!$A$7:$O$323,9,0)</f>
        <v>-21</v>
      </c>
      <c r="N167" s="103">
        <f>VLOOKUP($A167,'OI(Value)'!$A$7:$O$323,11,0)</f>
        <v>271</v>
      </c>
      <c r="O167" s="103">
        <f>VLOOKUP($A167,'OI(Value)'!$A$7:$O$323,12,0)</f>
        <v>12</v>
      </c>
      <c r="P167" s="179">
        <f>VLOOKUP(A167,'OI(Value)'!A167:O385,8,0)</f>
        <v>437</v>
      </c>
      <c r="Q167" s="179">
        <f>VLOOKUP(A167,'OI(Value)'!A167:O385,9,0)</f>
        <v>-21</v>
      </c>
      <c r="R167" s="179">
        <f>VLOOKUP(A167,'OI(Value)'!A167:O385,11,0)</f>
        <v>271</v>
      </c>
      <c r="S167" s="179">
        <f>VLOOKUP(A167,'OI(Value)'!A167:O385,11,0)</f>
        <v>271</v>
      </c>
    </row>
    <row r="168" spans="1:19" x14ac:dyDescent="0.25">
      <c r="A168" s="105" t="str">
        <f>'Data Vlaue (Cr)'!C163</f>
        <v>PHOENIXLTD</v>
      </c>
      <c r="B168" s="143">
        <f>VLOOKUP($A168,'Data shares'!$C:$FA,118)</f>
        <v>1.29</v>
      </c>
      <c r="C168" s="143">
        <f>VLOOKUP($A168,'Data shares'!$C:$FA,119)</f>
        <v>1.33</v>
      </c>
      <c r="D168" s="143">
        <f>VLOOKUP($A168,'Data shares'!$C:$FA,121)*100</f>
        <v>-3.01</v>
      </c>
      <c r="E168" s="143">
        <f>VLOOKUP($A168,'Data shares'!$C:$FA,124)</f>
        <v>1.18</v>
      </c>
      <c r="F168" s="143">
        <f>VLOOKUP($A168,'Data shares'!$C:$FA,125)</f>
        <v>0.63</v>
      </c>
      <c r="G168" s="143">
        <f>VLOOKUP($A168,'Data shares'!$C:$FA,127)*100</f>
        <v>87.3</v>
      </c>
      <c r="H168" s="103">
        <f>VLOOKUP($A168,'OI(Volume)'!$A$7:$O$440,8)</f>
        <v>427350</v>
      </c>
      <c r="I168" s="103">
        <f>VLOOKUP($A168,'OI(Volume)'!$A$7:$O$440,9)</f>
        <v>4900</v>
      </c>
      <c r="J168" s="103">
        <f>VLOOKUP($A168,'OI(Volume)'!$A$7:$O$440,11)</f>
        <v>552650</v>
      </c>
      <c r="K168" s="103">
        <f>VLOOKUP($A168,'OI(Volume)'!$A$7:$O$440,12)</f>
        <v>-10500</v>
      </c>
      <c r="L168" s="103">
        <f>VLOOKUP($A168,'OI(Value)'!$A$7:$O$323,8,0)</f>
        <v>73</v>
      </c>
      <c r="M168" s="103">
        <f>VLOOKUP($A168,'OI(Value)'!$A$7:$O$323,9,0)</f>
        <v>1</v>
      </c>
      <c r="N168" s="103">
        <f>VLOOKUP($A168,'OI(Value)'!$A$7:$O$323,11,0)</f>
        <v>95</v>
      </c>
      <c r="O168" s="103">
        <f>VLOOKUP($A168,'OI(Value)'!$A$7:$O$323,12,0)</f>
        <v>-2</v>
      </c>
      <c r="P168" s="179">
        <f>VLOOKUP(A168,'OI(Value)'!A168:O386,8,0)</f>
        <v>73</v>
      </c>
      <c r="Q168" s="179">
        <f>VLOOKUP(A168,'OI(Value)'!A168:O386,9,0)</f>
        <v>1</v>
      </c>
      <c r="R168" s="179">
        <f>VLOOKUP(A168,'OI(Value)'!A168:O386,11,0)</f>
        <v>95</v>
      </c>
      <c r="S168" s="179">
        <f>VLOOKUP(A168,'OI(Value)'!A168:O386,11,0)</f>
        <v>95</v>
      </c>
    </row>
    <row r="169" spans="1:19" x14ac:dyDescent="0.25">
      <c r="A169" s="105" t="str">
        <f>'Data Vlaue (Cr)'!C164</f>
        <v>PIDILITIND</v>
      </c>
      <c r="B169" s="143">
        <f>VLOOKUP($A169,'Data shares'!$C:$FA,118)</f>
        <v>0.84</v>
      </c>
      <c r="C169" s="143">
        <f>VLOOKUP($A169,'Data shares'!$C:$FA,119)</f>
        <v>0.86</v>
      </c>
      <c r="D169" s="143">
        <f>VLOOKUP($A169,'Data shares'!$C:$FA,121)*100</f>
        <v>-2.33</v>
      </c>
      <c r="E169" s="143">
        <f>VLOOKUP($A169,'Data shares'!$C:$FA,124)</f>
        <v>1.04</v>
      </c>
      <c r="F169" s="143">
        <f>VLOOKUP($A169,'Data shares'!$C:$FA,125)</f>
        <v>0.44</v>
      </c>
      <c r="G169" s="143">
        <f>VLOOKUP($A169,'Data shares'!$C:$FA,127)*100</f>
        <v>136.35999999999999</v>
      </c>
      <c r="H169" s="103">
        <f>VLOOKUP($A169,'OI(Volume)'!$A$7:$O$440,8)</f>
        <v>960500</v>
      </c>
      <c r="I169" s="103">
        <f>VLOOKUP($A169,'OI(Volume)'!$A$7:$O$440,9)</f>
        <v>10500</v>
      </c>
      <c r="J169" s="103">
        <f>VLOOKUP($A169,'OI(Volume)'!$A$7:$O$440,11)</f>
        <v>805000</v>
      </c>
      <c r="K169" s="103">
        <f>VLOOKUP($A169,'OI(Volume)'!$A$7:$O$440,12)</f>
        <v>-8000</v>
      </c>
      <c r="L169" s="103">
        <f>VLOOKUP($A169,'OI(Value)'!$A$7:$O$323,8,0)</f>
        <v>130</v>
      </c>
      <c r="M169" s="103">
        <f>VLOOKUP($A169,'OI(Value)'!$A$7:$O$323,9,0)</f>
        <v>1</v>
      </c>
      <c r="N169" s="103">
        <f>VLOOKUP($A169,'OI(Value)'!$A$7:$O$323,11,0)</f>
        <v>109</v>
      </c>
      <c r="O169" s="103">
        <f>VLOOKUP($A169,'OI(Value)'!$A$7:$O$323,12,0)</f>
        <v>-1</v>
      </c>
      <c r="P169" s="179">
        <f>VLOOKUP(A169,'OI(Value)'!A169:O387,8,0)</f>
        <v>130</v>
      </c>
      <c r="Q169" s="179">
        <f>VLOOKUP(A169,'OI(Value)'!A169:O387,9,0)</f>
        <v>1</v>
      </c>
      <c r="R169" s="179">
        <f>VLOOKUP(A169,'OI(Value)'!A169:O387,11,0)</f>
        <v>109</v>
      </c>
      <c r="S169" s="179">
        <f>VLOOKUP(A169,'OI(Value)'!A169:O387,11,0)</f>
        <v>109</v>
      </c>
    </row>
    <row r="170" spans="1:19" x14ac:dyDescent="0.25">
      <c r="A170" s="105" t="str">
        <f>'Data Vlaue (Cr)'!C165</f>
        <v>PIIND</v>
      </c>
      <c r="B170" s="143">
        <f>VLOOKUP($A170,'Data shares'!$C:$FA,118)</f>
        <v>0.97</v>
      </c>
      <c r="C170" s="143">
        <f>VLOOKUP($A170,'Data shares'!$C:$FA,119)</f>
        <v>0.89</v>
      </c>
      <c r="D170" s="143">
        <f>VLOOKUP($A170,'Data shares'!$C:$FA,121)*100</f>
        <v>8.99</v>
      </c>
      <c r="E170" s="143">
        <f>VLOOKUP($A170,'Data shares'!$C:$FA,124)</f>
        <v>0.88</v>
      </c>
      <c r="F170" s="143">
        <f>VLOOKUP($A170,'Data shares'!$C:$FA,125)</f>
        <v>0.57999999999999996</v>
      </c>
      <c r="G170" s="143">
        <f>VLOOKUP($A170,'Data shares'!$C:$FA,127)*100</f>
        <v>51.72</v>
      </c>
      <c r="H170" s="103">
        <f>VLOOKUP($A170,'OI(Volume)'!$A$7:$O$440,8)</f>
        <v>495950</v>
      </c>
      <c r="I170" s="103">
        <f>VLOOKUP($A170,'OI(Volume)'!$A$7:$O$440,9)</f>
        <v>70175</v>
      </c>
      <c r="J170" s="103">
        <f>VLOOKUP($A170,'OI(Volume)'!$A$7:$O$440,11)</f>
        <v>478800</v>
      </c>
      <c r="K170" s="103">
        <f>VLOOKUP($A170,'OI(Volume)'!$A$7:$O$440,12)</f>
        <v>99575</v>
      </c>
      <c r="L170" s="103">
        <f>VLOOKUP($A170,'OI(Value)'!$A$7:$O$323,8,0)</f>
        <v>143</v>
      </c>
      <c r="M170" s="103">
        <f>VLOOKUP($A170,'OI(Value)'!$A$7:$O$323,9,0)</f>
        <v>20</v>
      </c>
      <c r="N170" s="103">
        <f>VLOOKUP($A170,'OI(Value)'!$A$7:$O$323,11,0)</f>
        <v>139</v>
      </c>
      <c r="O170" s="103">
        <f>VLOOKUP($A170,'OI(Value)'!$A$7:$O$323,12,0)</f>
        <v>29</v>
      </c>
      <c r="P170" s="179">
        <f>VLOOKUP(A170,'OI(Value)'!A170:O388,8,0)</f>
        <v>143</v>
      </c>
      <c r="Q170" s="179">
        <f>VLOOKUP(A170,'OI(Value)'!A170:O388,9,0)</f>
        <v>20</v>
      </c>
      <c r="R170" s="179">
        <f>VLOOKUP(A170,'OI(Value)'!A170:O388,11,0)</f>
        <v>139</v>
      </c>
      <c r="S170" s="179">
        <f>VLOOKUP(A170,'OI(Value)'!A170:O388,11,0)</f>
        <v>139</v>
      </c>
    </row>
    <row r="171" spans="1:19" x14ac:dyDescent="0.25">
      <c r="A171" s="105" t="str">
        <f>'Data Vlaue (Cr)'!C166</f>
        <v>PNB</v>
      </c>
      <c r="B171" s="143">
        <f>VLOOKUP($A171,'Data shares'!$C:$FA,118)</f>
        <v>0.76</v>
      </c>
      <c r="C171" s="143">
        <f>VLOOKUP($A171,'Data shares'!$C:$FA,119)</f>
        <v>0.79</v>
      </c>
      <c r="D171" s="143">
        <f>VLOOKUP($A171,'Data shares'!$C:$FA,121)*100</f>
        <v>-3.8</v>
      </c>
      <c r="E171" s="143">
        <f>VLOOKUP($A171,'Data shares'!$C:$FA,124)</f>
        <v>0.64</v>
      </c>
      <c r="F171" s="143">
        <f>VLOOKUP($A171,'Data shares'!$C:$FA,125)</f>
        <v>0.51</v>
      </c>
      <c r="G171" s="143">
        <f>VLOOKUP($A171,'Data shares'!$C:$FA,127)*100</f>
        <v>25.490000000000002</v>
      </c>
      <c r="H171" s="103">
        <f>VLOOKUP($A171,'OI(Volume)'!$A$7:$O$440,8)</f>
        <v>82976000</v>
      </c>
      <c r="I171" s="103">
        <f>VLOOKUP($A171,'OI(Volume)'!$A$7:$O$440,9)</f>
        <v>6664000</v>
      </c>
      <c r="J171" s="103">
        <f>VLOOKUP($A171,'OI(Volume)'!$A$7:$O$440,11)</f>
        <v>63344000</v>
      </c>
      <c r="K171" s="103">
        <f>VLOOKUP($A171,'OI(Volume)'!$A$7:$O$440,12)</f>
        <v>3072000</v>
      </c>
      <c r="L171" s="103">
        <f>VLOOKUP($A171,'OI(Value)'!$A$7:$O$323,8,0)</f>
        <v>911</v>
      </c>
      <c r="M171" s="103">
        <f>VLOOKUP($A171,'OI(Value)'!$A$7:$O$323,9,0)</f>
        <v>73</v>
      </c>
      <c r="N171" s="103">
        <f>VLOOKUP($A171,'OI(Value)'!$A$7:$O$323,11,0)</f>
        <v>696</v>
      </c>
      <c r="O171" s="103">
        <f>VLOOKUP($A171,'OI(Value)'!$A$7:$O$323,12,0)</f>
        <v>34</v>
      </c>
      <c r="P171" s="179">
        <f>VLOOKUP(A171,'OI(Value)'!A171:O389,8,0)</f>
        <v>911</v>
      </c>
      <c r="Q171" s="179">
        <f>VLOOKUP(A171,'OI(Value)'!A171:O389,9,0)</f>
        <v>73</v>
      </c>
      <c r="R171" s="179">
        <f>VLOOKUP(A171,'OI(Value)'!A171:O389,11,0)</f>
        <v>696</v>
      </c>
      <c r="S171" s="179">
        <f>VLOOKUP(A171,'OI(Value)'!A171:O389,11,0)</f>
        <v>696</v>
      </c>
    </row>
    <row r="172" spans="1:19" x14ac:dyDescent="0.25">
      <c r="A172" s="105" t="str">
        <f>'Data Vlaue (Cr)'!C167</f>
        <v>PNBHOUSING</v>
      </c>
      <c r="B172" s="143">
        <f>VLOOKUP($A172,'Data shares'!$C:$FA,118)</f>
        <v>0.87</v>
      </c>
      <c r="C172" s="143">
        <f>VLOOKUP($A172,'Data shares'!$C:$FA,119)</f>
        <v>0.78</v>
      </c>
      <c r="D172" s="143">
        <f>VLOOKUP($A172,'Data shares'!$C:$FA,121)*100</f>
        <v>11.540000000000001</v>
      </c>
      <c r="E172" s="143">
        <f>VLOOKUP($A172,'Data shares'!$C:$FA,124)</f>
        <v>3.6</v>
      </c>
      <c r="F172" s="143">
        <f>VLOOKUP($A172,'Data shares'!$C:$FA,125)</f>
        <v>0.42</v>
      </c>
      <c r="G172" s="143">
        <f>VLOOKUP($A172,'Data shares'!$C:$FA,127)*100</f>
        <v>757.14</v>
      </c>
      <c r="H172" s="103">
        <f>VLOOKUP($A172,'OI(Volume)'!$A$7:$O$440,8)</f>
        <v>1229800</v>
      </c>
      <c r="I172" s="103">
        <f>VLOOKUP($A172,'OI(Volume)'!$A$7:$O$440,9)</f>
        <v>-40950</v>
      </c>
      <c r="J172" s="103">
        <f>VLOOKUP($A172,'OI(Volume)'!$A$7:$O$440,11)</f>
        <v>1064700</v>
      </c>
      <c r="K172" s="103">
        <f>VLOOKUP($A172,'OI(Volume)'!$A$7:$O$440,12)</f>
        <v>69550</v>
      </c>
      <c r="L172" s="103">
        <f>VLOOKUP($A172,'OI(Value)'!$A$7:$O$323,8,0)</f>
        <v>107</v>
      </c>
      <c r="M172" s="103">
        <f>VLOOKUP($A172,'OI(Value)'!$A$7:$O$323,9,0)</f>
        <v>-4</v>
      </c>
      <c r="N172" s="103">
        <f>VLOOKUP($A172,'OI(Value)'!$A$7:$O$323,11,0)</f>
        <v>92</v>
      </c>
      <c r="O172" s="103">
        <f>VLOOKUP($A172,'OI(Value)'!$A$7:$O$323,12,0)</f>
        <v>6</v>
      </c>
      <c r="P172" s="179">
        <f>VLOOKUP(A172,'OI(Value)'!A172:O390,8,0)</f>
        <v>107</v>
      </c>
      <c r="Q172" s="179">
        <f>VLOOKUP(A172,'OI(Value)'!A172:O390,9,0)</f>
        <v>-4</v>
      </c>
      <c r="R172" s="179">
        <f>VLOOKUP(A172,'OI(Value)'!A172:O390,11,0)</f>
        <v>92</v>
      </c>
      <c r="S172" s="179">
        <f>VLOOKUP(A172,'OI(Value)'!A172:O390,11,0)</f>
        <v>92</v>
      </c>
    </row>
    <row r="173" spans="1:19" x14ac:dyDescent="0.25">
      <c r="A173" s="105" t="str">
        <f>'Data Vlaue (Cr)'!C168</f>
        <v>POLICYBZR</v>
      </c>
      <c r="B173" s="143">
        <f>VLOOKUP($A173,'Data shares'!$C:$FA,118)</f>
        <v>0.91</v>
      </c>
      <c r="C173" s="143">
        <f>VLOOKUP($A173,'Data shares'!$C:$FA,119)</f>
        <v>0.9</v>
      </c>
      <c r="D173" s="143">
        <f>VLOOKUP($A173,'Data shares'!$C:$FA,121)*100</f>
        <v>1.1100000000000001</v>
      </c>
      <c r="E173" s="143">
        <f>VLOOKUP($A173,'Data shares'!$C:$FA,124)</f>
        <v>0.43</v>
      </c>
      <c r="F173" s="143">
        <f>VLOOKUP($A173,'Data shares'!$C:$FA,125)</f>
        <v>0.49</v>
      </c>
      <c r="G173" s="143">
        <f>VLOOKUP($A173,'Data shares'!$C:$FA,127)*100</f>
        <v>-12.24</v>
      </c>
      <c r="H173" s="103">
        <f>VLOOKUP($A173,'OI(Volume)'!$A$7:$O$440,8)</f>
        <v>1005900</v>
      </c>
      <c r="I173" s="103">
        <f>VLOOKUP($A173,'OI(Volume)'!$A$7:$O$440,9)</f>
        <v>32900</v>
      </c>
      <c r="J173" s="103">
        <f>VLOOKUP($A173,'OI(Volume)'!$A$7:$O$440,11)</f>
        <v>912100</v>
      </c>
      <c r="K173" s="103">
        <f>VLOOKUP($A173,'OI(Volume)'!$A$7:$O$440,12)</f>
        <v>35700</v>
      </c>
      <c r="L173" s="103">
        <f>VLOOKUP($A173,'OI(Value)'!$A$7:$O$323,8,0)</f>
        <v>151</v>
      </c>
      <c r="M173" s="103">
        <f>VLOOKUP($A173,'OI(Value)'!$A$7:$O$323,9,0)</f>
        <v>5</v>
      </c>
      <c r="N173" s="103">
        <f>VLOOKUP($A173,'OI(Value)'!$A$7:$O$323,11,0)</f>
        <v>137</v>
      </c>
      <c r="O173" s="103">
        <f>VLOOKUP($A173,'OI(Value)'!$A$7:$O$323,12,0)</f>
        <v>5</v>
      </c>
    </row>
    <row r="174" spans="1:19" x14ac:dyDescent="0.25">
      <c r="A174" s="105" t="str">
        <f>'Data Vlaue (Cr)'!C169</f>
        <v>POLYCAB</v>
      </c>
      <c r="B174" s="143">
        <f>VLOOKUP($A174,'Data shares'!$C:$FA,118)</f>
        <v>0.97</v>
      </c>
      <c r="C174" s="143">
        <f>VLOOKUP($A174,'Data shares'!$C:$FA,119)</f>
        <v>0.99</v>
      </c>
      <c r="D174" s="143">
        <f>VLOOKUP($A174,'Data shares'!$C:$FA,121)*100</f>
        <v>-2.02</v>
      </c>
      <c r="E174" s="143">
        <f>VLOOKUP($A174,'Data shares'!$C:$FA,124)</f>
        <v>0.86</v>
      </c>
      <c r="F174" s="143">
        <f>VLOOKUP($A174,'Data shares'!$C:$FA,125)</f>
        <v>0.88</v>
      </c>
      <c r="G174" s="143">
        <f>VLOOKUP($A174,'Data shares'!$C:$FA,127)*100</f>
        <v>-2.27</v>
      </c>
      <c r="H174" s="103">
        <f>VLOOKUP($A174,'OI(Volume)'!$A$7:$O$440,8)</f>
        <v>824000</v>
      </c>
      <c r="I174" s="103">
        <f>VLOOKUP($A174,'OI(Volume)'!$A$7:$O$440,9)</f>
        <v>73250</v>
      </c>
      <c r="J174" s="103">
        <f>VLOOKUP($A174,'OI(Volume)'!$A$7:$O$440,11)</f>
        <v>795500</v>
      </c>
      <c r="K174" s="103">
        <f>VLOOKUP($A174,'OI(Volume)'!$A$7:$O$440,12)</f>
        <v>55125</v>
      </c>
      <c r="L174" s="103">
        <f>VLOOKUP($A174,'OI(Value)'!$A$7:$O$323,8,0)</f>
        <v>626</v>
      </c>
      <c r="M174" s="103">
        <f>VLOOKUP($A174,'OI(Value)'!$A$7:$O$323,9,0)</f>
        <v>56</v>
      </c>
      <c r="N174" s="103">
        <f>VLOOKUP($A174,'OI(Value)'!$A$7:$O$323,11,0)</f>
        <v>604</v>
      </c>
      <c r="O174" s="103">
        <f>VLOOKUP($A174,'OI(Value)'!$A$7:$O$323,12,0)</f>
        <v>42</v>
      </c>
    </row>
    <row r="175" spans="1:19" x14ac:dyDescent="0.25">
      <c r="A175" s="105" t="str">
        <f>'Data Vlaue (Cr)'!C170</f>
        <v>POWERGRID</v>
      </c>
      <c r="B175" s="143">
        <f>VLOOKUP($A175,'Data shares'!$C:$FA,118)</f>
        <v>0.51</v>
      </c>
      <c r="C175" s="143">
        <f>VLOOKUP($A175,'Data shares'!$C:$FA,119)</f>
        <v>0.47</v>
      </c>
      <c r="D175" s="143">
        <f>VLOOKUP($A175,'Data shares'!$C:$FA,121)*100</f>
        <v>8.51</v>
      </c>
      <c r="E175" s="143">
        <f>VLOOKUP($A175,'Data shares'!$C:$FA,124)</f>
        <v>0.26</v>
      </c>
      <c r="F175" s="143">
        <f>VLOOKUP($A175,'Data shares'!$C:$FA,125)</f>
        <v>0.38</v>
      </c>
      <c r="G175" s="143">
        <f>VLOOKUP($A175,'Data shares'!$C:$FA,127)*100</f>
        <v>-31.580000000000002</v>
      </c>
      <c r="H175" s="103">
        <f>VLOOKUP($A175,'OI(Volume)'!$A$7:$O$440,8)</f>
        <v>29833800</v>
      </c>
      <c r="I175" s="103">
        <f>VLOOKUP($A175,'OI(Volume)'!$A$7:$O$440,9)</f>
        <v>-1594100</v>
      </c>
      <c r="J175" s="103">
        <f>VLOOKUP($A175,'OI(Volume)'!$A$7:$O$440,11)</f>
        <v>15089800</v>
      </c>
      <c r="K175" s="103">
        <f>VLOOKUP($A175,'OI(Volume)'!$A$7:$O$440,12)</f>
        <v>433200</v>
      </c>
      <c r="L175" s="103">
        <f>VLOOKUP($A175,'OI(Value)'!$A$7:$O$323,8,0)</f>
        <v>893</v>
      </c>
      <c r="M175" s="103">
        <f>VLOOKUP($A175,'OI(Value)'!$A$7:$O$323,9,0)</f>
        <v>-48</v>
      </c>
      <c r="N175" s="103">
        <f>VLOOKUP($A175,'OI(Value)'!$A$7:$O$323,11,0)</f>
        <v>452</v>
      </c>
      <c r="O175" s="103">
        <f>VLOOKUP($A175,'OI(Value)'!$A$7:$O$323,12,0)</f>
        <v>13</v>
      </c>
    </row>
    <row r="176" spans="1:19" x14ac:dyDescent="0.25">
      <c r="A176" s="105" t="str">
        <f>'Data Vlaue (Cr)'!C171</f>
        <v>POWERINDIA</v>
      </c>
      <c r="B176" s="143">
        <f>VLOOKUP($A176,'Data shares'!$C:$FA,118)</f>
        <v>0.96</v>
      </c>
      <c r="C176" s="143">
        <f>VLOOKUP($A176,'Data shares'!$C:$FA,119)</f>
        <v>0.85</v>
      </c>
      <c r="D176" s="143">
        <f>VLOOKUP($A176,'Data shares'!$C:$FA,121)*100</f>
        <v>12.94</v>
      </c>
      <c r="E176" s="143">
        <f>VLOOKUP($A176,'Data shares'!$C:$FA,124)</f>
        <v>0.37</v>
      </c>
      <c r="F176" s="143">
        <f>VLOOKUP($A176,'Data shares'!$C:$FA,125)</f>
        <v>0.47</v>
      </c>
      <c r="G176" s="143">
        <f>VLOOKUP($A176,'Data shares'!$C:$FA,127)*100</f>
        <v>-21.279999999999998</v>
      </c>
      <c r="H176" s="103">
        <f>VLOOKUP($A176,'OI(Volume)'!$A$7:$O$440,8)</f>
        <v>159700</v>
      </c>
      <c r="I176" s="103">
        <f>VLOOKUP($A176,'OI(Volume)'!$A$7:$O$440,9)</f>
        <v>42550</v>
      </c>
      <c r="J176" s="103">
        <f>VLOOKUP($A176,'OI(Volume)'!$A$7:$O$440,11)</f>
        <v>153600</v>
      </c>
      <c r="K176" s="103">
        <f>VLOOKUP($A176,'OI(Volume)'!$A$7:$O$440,12)</f>
        <v>54200</v>
      </c>
      <c r="L176" s="103">
        <f>VLOOKUP($A176,'OI(Value)'!$A$7:$O$323,8,0)</f>
        <v>438</v>
      </c>
      <c r="M176" s="103">
        <f>VLOOKUP($A176,'OI(Value)'!$A$7:$O$323,9,0)</f>
        <v>117</v>
      </c>
      <c r="N176" s="103">
        <f>VLOOKUP($A176,'OI(Value)'!$A$7:$O$323,11,0)</f>
        <v>421</v>
      </c>
      <c r="O176" s="103">
        <f>VLOOKUP($A176,'OI(Value)'!$A$7:$O$323,12,0)</f>
        <v>149</v>
      </c>
    </row>
    <row r="177" spans="1:15" x14ac:dyDescent="0.25">
      <c r="A177" s="105" t="str">
        <f>'Data Vlaue (Cr)'!C172</f>
        <v>PPLPHARMA</v>
      </c>
      <c r="B177" s="143">
        <f>VLOOKUP($A177,'Data shares'!$C:$FA,118)</f>
        <v>0.6</v>
      </c>
      <c r="C177" s="143">
        <f>VLOOKUP($A177,'Data shares'!$C:$FA,119)</f>
        <v>0.7</v>
      </c>
      <c r="D177" s="143">
        <f>VLOOKUP($A177,'Data shares'!$C:$FA,121)*100</f>
        <v>-14.29</v>
      </c>
      <c r="E177" s="143">
        <f>VLOOKUP($A177,'Data shares'!$C:$FA,124)</f>
        <v>0.28999999999999998</v>
      </c>
      <c r="F177" s="143">
        <f>VLOOKUP($A177,'Data shares'!$C:$FA,125)</f>
        <v>0.33</v>
      </c>
      <c r="G177" s="143">
        <f>VLOOKUP($A177,'Data shares'!$C:$FA,127)*100</f>
        <v>-12.120000000000001</v>
      </c>
      <c r="H177" s="103">
        <f>VLOOKUP($A177,'OI(Volume)'!$A$7:$O$440,8)</f>
        <v>4160625</v>
      </c>
      <c r="I177" s="103">
        <f>VLOOKUP($A177,'OI(Volume)'!$A$7:$O$440,9)</f>
        <v>832125</v>
      </c>
      <c r="J177" s="103">
        <f>VLOOKUP($A177,'OI(Volume)'!$A$7:$O$440,11)</f>
        <v>2491125</v>
      </c>
      <c r="K177" s="103">
        <f>VLOOKUP($A177,'OI(Volume)'!$A$7:$O$440,12)</f>
        <v>165375</v>
      </c>
      <c r="L177" s="103">
        <f>VLOOKUP($A177,'OI(Value)'!$A$7:$O$323,8,0)</f>
        <v>59</v>
      </c>
      <c r="M177" s="103">
        <f>VLOOKUP($A177,'OI(Value)'!$A$7:$O$323,9,0)</f>
        <v>12</v>
      </c>
      <c r="N177" s="103">
        <f>VLOOKUP($A177,'OI(Value)'!$A$7:$O$323,11,0)</f>
        <v>35</v>
      </c>
      <c r="O177" s="103">
        <f>VLOOKUP($A177,'OI(Value)'!$A$7:$O$323,12,0)</f>
        <v>2</v>
      </c>
    </row>
    <row r="178" spans="1:15" x14ac:dyDescent="0.25">
      <c r="A178" s="105" t="str">
        <f>'Data Vlaue (Cr)'!C173</f>
        <v>PREMIERENE</v>
      </c>
      <c r="B178" s="143">
        <f>VLOOKUP($A178,'Data shares'!$C:$FA,118)</f>
        <v>0.84</v>
      </c>
      <c r="C178" s="143">
        <f>VLOOKUP($A178,'Data shares'!$C:$FA,119)</f>
        <v>0.9</v>
      </c>
      <c r="D178" s="143">
        <f>VLOOKUP($A178,'Data shares'!$C:$FA,121)*100</f>
        <v>-6.67</v>
      </c>
      <c r="E178" s="143">
        <f>VLOOKUP($A178,'Data shares'!$C:$FA,124)</f>
        <v>0.36</v>
      </c>
      <c r="F178" s="143">
        <f>VLOOKUP($A178,'Data shares'!$C:$FA,125)</f>
        <v>0.52</v>
      </c>
      <c r="G178" s="143">
        <f>VLOOKUP($A178,'Data shares'!$C:$FA,127)*100</f>
        <v>-30.769999999999996</v>
      </c>
      <c r="H178" s="103">
        <f>VLOOKUP($A178,'OI(Volume)'!$A$7:$O$440,8)</f>
        <v>2074600</v>
      </c>
      <c r="I178" s="103">
        <f>VLOOKUP($A178,'OI(Volume)'!$A$7:$O$440,9)</f>
        <v>221375</v>
      </c>
      <c r="J178" s="103">
        <f>VLOOKUP($A178,'OI(Volume)'!$A$7:$O$440,11)</f>
        <v>1751450</v>
      </c>
      <c r="K178" s="103">
        <f>VLOOKUP($A178,'OI(Volume)'!$A$7:$O$440,12)</f>
        <v>90275</v>
      </c>
      <c r="L178" s="103">
        <f>VLOOKUP($A178,'OI(Value)'!$A$7:$O$323,8,0)</f>
        <v>199</v>
      </c>
      <c r="M178" s="103">
        <f>VLOOKUP($A178,'OI(Value)'!$A$7:$O$323,9,0)</f>
        <v>21</v>
      </c>
      <c r="N178" s="103">
        <f>VLOOKUP($A178,'OI(Value)'!$A$7:$O$323,11,0)</f>
        <v>168</v>
      </c>
      <c r="O178" s="103">
        <f>VLOOKUP($A178,'OI(Value)'!$A$7:$O$323,12,0)</f>
        <v>9</v>
      </c>
    </row>
    <row r="179" spans="1:15" x14ac:dyDescent="0.25">
      <c r="A179" s="105" t="str">
        <f>'Data Vlaue (Cr)'!C174</f>
        <v>PRESTIGE</v>
      </c>
      <c r="B179" s="143">
        <f>VLOOKUP($A179,'Data shares'!$C:$FA,118)</f>
        <v>0.61</v>
      </c>
      <c r="C179" s="143">
        <f>VLOOKUP($A179,'Data shares'!$C:$FA,119)</f>
        <v>0.65</v>
      </c>
      <c r="D179" s="143">
        <f>VLOOKUP($A179,'Data shares'!$C:$FA,121)*100</f>
        <v>-6.15</v>
      </c>
      <c r="E179" s="143">
        <f>VLOOKUP($A179,'Data shares'!$C:$FA,124)</f>
        <v>0.57999999999999996</v>
      </c>
      <c r="F179" s="143">
        <f>VLOOKUP($A179,'Data shares'!$C:$FA,125)</f>
        <v>0.42</v>
      </c>
      <c r="G179" s="143">
        <f>VLOOKUP($A179,'Data shares'!$C:$FA,127)*100</f>
        <v>38.1</v>
      </c>
      <c r="H179" s="103">
        <f>VLOOKUP($A179,'OI(Volume)'!$A$7:$O$440,8)</f>
        <v>1670850</v>
      </c>
      <c r="I179" s="103">
        <f>VLOOKUP($A179,'OI(Volume)'!$A$7:$O$440,9)</f>
        <v>213750</v>
      </c>
      <c r="J179" s="103">
        <f>VLOOKUP($A179,'OI(Volume)'!$A$7:$O$440,11)</f>
        <v>1014750</v>
      </c>
      <c r="K179" s="103">
        <f>VLOOKUP($A179,'OI(Volume)'!$A$7:$O$440,12)</f>
        <v>67500</v>
      </c>
      <c r="L179" s="103">
        <f>VLOOKUP($A179,'OI(Value)'!$A$7:$O$323,8,0)</f>
        <v>222</v>
      </c>
      <c r="M179" s="103">
        <f>VLOOKUP($A179,'OI(Value)'!$A$7:$O$323,9,0)</f>
        <v>28</v>
      </c>
      <c r="N179" s="103">
        <f>VLOOKUP($A179,'OI(Value)'!$A$7:$O$323,11,0)</f>
        <v>135</v>
      </c>
      <c r="O179" s="103">
        <f>VLOOKUP($A179,'OI(Value)'!$A$7:$O$323,12,0)</f>
        <v>9</v>
      </c>
    </row>
    <row r="180" spans="1:15" x14ac:dyDescent="0.25">
      <c r="A180" s="105" t="str">
        <f>'Data Vlaue (Cr)'!C175</f>
        <v>RBLBANK</v>
      </c>
      <c r="B180" s="143">
        <f>VLOOKUP($A180,'Data shares'!$C:$FA,118)</f>
        <v>1.05</v>
      </c>
      <c r="C180" s="143">
        <f>VLOOKUP($A180,'Data shares'!$C:$FA,119)</f>
        <v>1.07</v>
      </c>
      <c r="D180" s="143">
        <f>VLOOKUP($A180,'Data shares'!$C:$FA,121)*100</f>
        <v>-1.87</v>
      </c>
      <c r="E180" s="143">
        <f>VLOOKUP($A180,'Data shares'!$C:$FA,124)</f>
        <v>0.75</v>
      </c>
      <c r="F180" s="143">
        <f>VLOOKUP($A180,'Data shares'!$C:$FA,125)</f>
        <v>0.54</v>
      </c>
      <c r="G180" s="143">
        <f>VLOOKUP($A180,'Data shares'!$C:$FA,127)*100</f>
        <v>38.89</v>
      </c>
      <c r="H180" s="103">
        <f>VLOOKUP($A180,'OI(Volume)'!$A$7:$O$440,8)</f>
        <v>27670125</v>
      </c>
      <c r="I180" s="103">
        <f>VLOOKUP($A180,'OI(Volume)'!$A$7:$O$440,9)</f>
        <v>403225</v>
      </c>
      <c r="J180" s="103">
        <f>VLOOKUP($A180,'OI(Volume)'!$A$7:$O$440,11)</f>
        <v>29013150</v>
      </c>
      <c r="K180" s="103">
        <f>VLOOKUP($A180,'OI(Volume)'!$A$7:$O$440,12)</f>
        <v>-82550</v>
      </c>
      <c r="L180" s="103">
        <f>VLOOKUP($A180,'OI(Value)'!$A$7:$O$323,8,0)</f>
        <v>881</v>
      </c>
      <c r="M180" s="103">
        <f>VLOOKUP($A180,'OI(Value)'!$A$7:$O$323,9,0)</f>
        <v>13</v>
      </c>
      <c r="N180" s="103">
        <f>VLOOKUP($A180,'OI(Value)'!$A$7:$O$323,11,0)</f>
        <v>924</v>
      </c>
      <c r="O180" s="103">
        <f>VLOOKUP($A180,'OI(Value)'!$A$7:$O$323,12,0)</f>
        <v>-3</v>
      </c>
    </row>
    <row r="181" spans="1:15" x14ac:dyDescent="0.25">
      <c r="A181" s="105" t="str">
        <f>'Data Vlaue (Cr)'!C176</f>
        <v>RECLTD</v>
      </c>
      <c r="B181" s="143">
        <f>VLOOKUP($A181,'Data shares'!$C:$FA,118)</f>
        <v>0.89</v>
      </c>
      <c r="C181" s="143">
        <f>VLOOKUP($A181,'Data shares'!$C:$FA,119)</f>
        <v>0.9</v>
      </c>
      <c r="D181" s="143">
        <f>VLOOKUP($A181,'Data shares'!$C:$FA,121)*100</f>
        <v>-1.1100000000000001</v>
      </c>
      <c r="E181" s="143">
        <f>VLOOKUP($A181,'Data shares'!$C:$FA,124)</f>
        <v>0.51</v>
      </c>
      <c r="F181" s="143">
        <f>VLOOKUP($A181,'Data shares'!$C:$FA,125)</f>
        <v>0.63</v>
      </c>
      <c r="G181" s="143">
        <f>VLOOKUP($A181,'Data shares'!$C:$FA,127)*100</f>
        <v>-19.05</v>
      </c>
      <c r="H181" s="103">
        <f>VLOOKUP($A181,'OI(Volume)'!$A$7:$O$440,8)</f>
        <v>20868400</v>
      </c>
      <c r="I181" s="103">
        <f>VLOOKUP($A181,'OI(Volume)'!$A$7:$O$440,9)</f>
        <v>1069600</v>
      </c>
      <c r="J181" s="103">
        <f>VLOOKUP($A181,'OI(Volume)'!$A$7:$O$440,11)</f>
        <v>18562600</v>
      </c>
      <c r="K181" s="103">
        <f>VLOOKUP($A181,'OI(Volume)'!$A$7:$O$440,12)</f>
        <v>665000</v>
      </c>
      <c r="L181" s="103">
        <f>VLOOKUP($A181,'OI(Value)'!$A$7:$O$323,8,0)</f>
        <v>727</v>
      </c>
      <c r="M181" s="103">
        <f>VLOOKUP($A181,'OI(Value)'!$A$7:$O$323,9,0)</f>
        <v>37</v>
      </c>
      <c r="N181" s="103">
        <f>VLOOKUP($A181,'OI(Value)'!$A$7:$O$323,11,0)</f>
        <v>646</v>
      </c>
      <c r="O181" s="103">
        <f>VLOOKUP($A181,'OI(Value)'!$A$7:$O$323,12,0)</f>
        <v>23</v>
      </c>
    </row>
    <row r="182" spans="1:15" x14ac:dyDescent="0.25">
      <c r="A182" s="105" t="str">
        <f>'Data Vlaue (Cr)'!C177</f>
        <v>RELIANCE</v>
      </c>
      <c r="B182" s="143">
        <f>VLOOKUP($A182,'Data shares'!$C:$FA,118)</f>
        <v>0.44</v>
      </c>
      <c r="C182" s="143">
        <f>VLOOKUP($A182,'Data shares'!$C:$FA,119)</f>
        <v>0.43</v>
      </c>
      <c r="D182" s="143">
        <f>VLOOKUP($A182,'Data shares'!$C:$FA,121)*100</f>
        <v>2.33</v>
      </c>
      <c r="E182" s="143">
        <f>VLOOKUP($A182,'Data shares'!$C:$FA,124)</f>
        <v>0.61</v>
      </c>
      <c r="F182" s="143">
        <f>VLOOKUP($A182,'Data shares'!$C:$FA,125)</f>
        <v>0.38</v>
      </c>
      <c r="G182" s="143">
        <f>VLOOKUP($A182,'Data shares'!$C:$FA,127)*100</f>
        <v>60.529999999999994</v>
      </c>
      <c r="H182" s="103">
        <f>VLOOKUP($A182,'OI(Volume)'!$A$7:$O$440,8)</f>
        <v>80429500</v>
      </c>
      <c r="I182" s="103">
        <f>VLOOKUP($A182,'OI(Volume)'!$A$7:$O$440,9)</f>
        <v>540000</v>
      </c>
      <c r="J182" s="103">
        <f>VLOOKUP($A182,'OI(Volume)'!$A$7:$O$440,11)</f>
        <v>35006500</v>
      </c>
      <c r="K182" s="103">
        <f>VLOOKUP($A182,'OI(Volume)'!$A$7:$O$440,12)</f>
        <v>352000</v>
      </c>
      <c r="L182" s="103">
        <f>VLOOKUP($A182,'OI(Value)'!$A$7:$O$323,8,0)</f>
        <v>10743</v>
      </c>
      <c r="M182" s="103">
        <f>VLOOKUP($A182,'OI(Value)'!$A$7:$O$323,9,0)</f>
        <v>72</v>
      </c>
      <c r="N182" s="103">
        <f>VLOOKUP($A182,'OI(Value)'!$A$7:$O$323,11,0)</f>
        <v>4676</v>
      </c>
      <c r="O182" s="103">
        <f>VLOOKUP($A182,'OI(Value)'!$A$7:$O$323,12,0)</f>
        <v>47</v>
      </c>
    </row>
    <row r="183" spans="1:15" x14ac:dyDescent="0.25">
      <c r="A183" s="105" t="str">
        <f>'Data Vlaue (Cr)'!C178</f>
        <v>RVNL</v>
      </c>
      <c r="B183" s="143">
        <f>VLOOKUP($A183,'Data shares'!$C:$FA,118)</f>
        <v>0.71</v>
      </c>
      <c r="C183" s="143">
        <f>VLOOKUP($A183,'Data shares'!$C:$FA,119)</f>
        <v>0.73</v>
      </c>
      <c r="D183" s="143">
        <f>VLOOKUP($A183,'Data shares'!$C:$FA,121)*100</f>
        <v>-2.74</v>
      </c>
      <c r="E183" s="143">
        <f>VLOOKUP($A183,'Data shares'!$C:$FA,124)</f>
        <v>0.31</v>
      </c>
      <c r="F183" s="143">
        <f>VLOOKUP($A183,'Data shares'!$C:$FA,125)</f>
        <v>0.38</v>
      </c>
      <c r="G183" s="143">
        <f>VLOOKUP($A183,'Data shares'!$C:$FA,127)*100</f>
        <v>-18.420000000000002</v>
      </c>
      <c r="H183" s="103">
        <f>VLOOKUP($A183,'OI(Volume)'!$A$7:$O$440,8)</f>
        <v>15095975</v>
      </c>
      <c r="I183" s="103">
        <f>VLOOKUP($A183,'OI(Volume)'!$A$7:$O$440,9)</f>
        <v>753350</v>
      </c>
      <c r="J183" s="103">
        <f>VLOOKUP($A183,'OI(Volume)'!$A$7:$O$440,11)</f>
        <v>10772600</v>
      </c>
      <c r="K183" s="103">
        <f>VLOOKUP($A183,'OI(Volume)'!$A$7:$O$440,12)</f>
        <v>272975</v>
      </c>
      <c r="L183" s="103">
        <f>VLOOKUP($A183,'OI(Value)'!$A$7:$O$323,8,0)</f>
        <v>410</v>
      </c>
      <c r="M183" s="103">
        <f>VLOOKUP($A183,'OI(Value)'!$A$7:$O$323,9,0)</f>
        <v>20</v>
      </c>
      <c r="N183" s="103">
        <f>VLOOKUP($A183,'OI(Value)'!$A$7:$O$323,11,0)</f>
        <v>293</v>
      </c>
      <c r="O183" s="103">
        <f>VLOOKUP($A183,'OI(Value)'!$A$7:$O$323,12,0)</f>
        <v>7</v>
      </c>
    </row>
    <row r="184" spans="1:15" x14ac:dyDescent="0.25">
      <c r="A184" s="105" t="str">
        <f>'Data Vlaue (Cr)'!C179</f>
        <v>SAIL</v>
      </c>
      <c r="B184" s="143">
        <f>VLOOKUP($A184,'Data shares'!$C:$FA,118)</f>
        <v>0.71</v>
      </c>
      <c r="C184" s="143">
        <f>VLOOKUP($A184,'Data shares'!$C:$FA,119)</f>
        <v>0.68</v>
      </c>
      <c r="D184" s="143">
        <f>VLOOKUP($A184,'Data shares'!$C:$FA,121)*100</f>
        <v>4.41</v>
      </c>
      <c r="E184" s="143">
        <f>VLOOKUP($A184,'Data shares'!$C:$FA,124)</f>
        <v>0.35</v>
      </c>
      <c r="F184" s="143">
        <f>VLOOKUP($A184,'Data shares'!$C:$FA,125)</f>
        <v>0.45</v>
      </c>
      <c r="G184" s="143">
        <f>VLOOKUP($A184,'Data shares'!$C:$FA,127)*100</f>
        <v>-22.220000000000002</v>
      </c>
      <c r="H184" s="103">
        <f>VLOOKUP($A184,'OI(Volume)'!$A$7:$O$440,8)</f>
        <v>12032000</v>
      </c>
      <c r="I184" s="103">
        <f>VLOOKUP($A184,'OI(Volume)'!$A$7:$O$440,9)</f>
        <v>-878900</v>
      </c>
      <c r="J184" s="103">
        <f>VLOOKUP($A184,'OI(Volume)'!$A$7:$O$440,11)</f>
        <v>8582200</v>
      </c>
      <c r="K184" s="103">
        <f>VLOOKUP($A184,'OI(Volume)'!$A$7:$O$440,12)</f>
        <v>-249100</v>
      </c>
      <c r="L184" s="103">
        <f>VLOOKUP($A184,'OI(Value)'!$A$7:$O$323,8,0)</f>
        <v>201</v>
      </c>
      <c r="M184" s="103">
        <f>VLOOKUP($A184,'OI(Value)'!$A$7:$O$323,9,0)</f>
        <v>-15</v>
      </c>
      <c r="N184" s="103">
        <f>VLOOKUP($A184,'OI(Value)'!$A$7:$O$323,11,0)</f>
        <v>143</v>
      </c>
      <c r="O184" s="103">
        <f>VLOOKUP($A184,'OI(Value)'!$A$7:$O$323,12,0)</f>
        <v>-4</v>
      </c>
    </row>
    <row r="185" spans="1:15" x14ac:dyDescent="0.25">
      <c r="A185" s="105" t="str">
        <f>'Data Vlaue (Cr)'!C180</f>
        <v>SAMMAANCAP</v>
      </c>
      <c r="B185" s="143">
        <f>VLOOKUP($A185,'Data shares'!$C:$FA,118)</f>
        <v>1.05</v>
      </c>
      <c r="C185" s="143">
        <f>VLOOKUP($A185,'Data shares'!$C:$FA,119)</f>
        <v>1.03</v>
      </c>
      <c r="D185" s="143">
        <f>VLOOKUP($A185,'Data shares'!$C:$FA,121)*100</f>
        <v>1.94</v>
      </c>
      <c r="E185" s="143">
        <f>VLOOKUP($A185,'Data shares'!$C:$FA,124)</f>
        <v>0.62</v>
      </c>
      <c r="F185" s="143">
        <f>VLOOKUP($A185,'Data shares'!$C:$FA,125)</f>
        <v>0.86</v>
      </c>
      <c r="G185" s="143">
        <f>VLOOKUP($A185,'Data shares'!$C:$FA,127)*100</f>
        <v>-27.91</v>
      </c>
      <c r="H185" s="103">
        <f>VLOOKUP($A185,'OI(Volume)'!$A$7:$O$440,8)</f>
        <v>19887500</v>
      </c>
      <c r="I185" s="103">
        <f>VLOOKUP($A185,'OI(Volume)'!$A$7:$O$440,9)</f>
        <v>-503100</v>
      </c>
      <c r="J185" s="103">
        <f>VLOOKUP($A185,'OI(Volume)'!$A$7:$O$440,11)</f>
        <v>20799100</v>
      </c>
      <c r="K185" s="103">
        <f>VLOOKUP($A185,'OI(Volume)'!$A$7:$O$440,12)</f>
        <v>-253700</v>
      </c>
      <c r="L185" s="103">
        <f>VLOOKUP($A185,'OI(Value)'!$A$7:$O$323,8,0)</f>
        <v>306</v>
      </c>
      <c r="M185" s="103">
        <f>VLOOKUP($A185,'OI(Value)'!$A$7:$O$323,9,0)</f>
        <v>-8</v>
      </c>
      <c r="N185" s="103">
        <f>VLOOKUP($A185,'OI(Value)'!$A$7:$O$323,11,0)</f>
        <v>320</v>
      </c>
      <c r="O185" s="103">
        <f>VLOOKUP($A185,'OI(Value)'!$A$7:$O$323,12,0)</f>
        <v>-4</v>
      </c>
    </row>
    <row r="186" spans="1:15" x14ac:dyDescent="0.25">
      <c r="A186" s="105" t="str">
        <f>'Data Vlaue (Cr)'!C181</f>
        <v>SBICARD</v>
      </c>
      <c r="B186" s="143">
        <f>VLOOKUP($A186,'Data shares'!$C:$FA,118)</f>
        <v>0.76</v>
      </c>
      <c r="C186" s="143">
        <f>VLOOKUP($A186,'Data shares'!$C:$FA,119)</f>
        <v>0.84</v>
      </c>
      <c r="D186" s="143">
        <f>VLOOKUP($A186,'Data shares'!$C:$FA,121)*100</f>
        <v>-9.5200000000000014</v>
      </c>
      <c r="E186" s="143">
        <f>VLOOKUP($A186,'Data shares'!$C:$FA,124)</f>
        <v>0.62</v>
      </c>
      <c r="F186" s="143">
        <f>VLOOKUP($A186,'Data shares'!$C:$FA,125)</f>
        <v>0.45</v>
      </c>
      <c r="G186" s="143">
        <f>VLOOKUP($A186,'Data shares'!$C:$FA,127)*100</f>
        <v>37.78</v>
      </c>
      <c r="H186" s="103">
        <f>VLOOKUP($A186,'OI(Volume)'!$A$7:$O$440,8)</f>
        <v>6051200</v>
      </c>
      <c r="I186" s="103">
        <f>VLOOKUP($A186,'OI(Volume)'!$A$7:$O$440,9)</f>
        <v>397600</v>
      </c>
      <c r="J186" s="103">
        <f>VLOOKUP($A186,'OI(Volume)'!$A$7:$O$440,11)</f>
        <v>4574400</v>
      </c>
      <c r="K186" s="103">
        <f>VLOOKUP($A186,'OI(Volume)'!$A$7:$O$440,12)</f>
        <v>-178400</v>
      </c>
      <c r="L186" s="103">
        <f>VLOOKUP($A186,'OI(Value)'!$A$7:$O$323,8,0)</f>
        <v>403</v>
      </c>
      <c r="M186" s="103">
        <f>VLOOKUP($A186,'OI(Value)'!$A$7:$O$323,9,0)</f>
        <v>27</v>
      </c>
      <c r="N186" s="103">
        <f>VLOOKUP($A186,'OI(Value)'!$A$7:$O$323,11,0)</f>
        <v>305</v>
      </c>
      <c r="O186" s="103">
        <f>VLOOKUP($A186,'OI(Value)'!$A$7:$O$323,12,0)</f>
        <v>-12</v>
      </c>
    </row>
    <row r="187" spans="1:15" x14ac:dyDescent="0.25">
      <c r="A187" s="105" t="str">
        <f>'Data Vlaue (Cr)'!C182</f>
        <v>SBILIFE</v>
      </c>
      <c r="B187" s="143">
        <f>VLOOKUP($A187,'Data shares'!$C:$FA,118)</f>
        <v>1.5</v>
      </c>
      <c r="C187" s="143">
        <f>VLOOKUP($A187,'Data shares'!$C:$FA,119)</f>
        <v>1.77</v>
      </c>
      <c r="D187" s="143">
        <f>VLOOKUP($A187,'Data shares'!$C:$FA,121)*100</f>
        <v>-15.25</v>
      </c>
      <c r="E187" s="143">
        <f>VLOOKUP($A187,'Data shares'!$C:$FA,124)</f>
        <v>0.84</v>
      </c>
      <c r="F187" s="143">
        <f>VLOOKUP($A187,'Data shares'!$C:$FA,125)</f>
        <v>1.02</v>
      </c>
      <c r="G187" s="143">
        <f>VLOOKUP($A187,'Data shares'!$C:$FA,127)*100</f>
        <v>-17.649999999999999</v>
      </c>
      <c r="H187" s="103">
        <f>VLOOKUP($A187,'OI(Volume)'!$A$7:$O$440,8)</f>
        <v>800250</v>
      </c>
      <c r="I187" s="103">
        <f>VLOOKUP($A187,'OI(Volume)'!$A$7:$O$440,9)</f>
        <v>112500</v>
      </c>
      <c r="J187" s="103">
        <f>VLOOKUP($A187,'OI(Volume)'!$A$7:$O$440,11)</f>
        <v>1203375</v>
      </c>
      <c r="K187" s="103">
        <f>VLOOKUP($A187,'OI(Volume)'!$A$7:$O$440,12)</f>
        <v>-13125</v>
      </c>
      <c r="L187" s="103">
        <f>VLOOKUP($A187,'OI(Value)'!$A$7:$O$323,8,0)</f>
        <v>153</v>
      </c>
      <c r="M187" s="103">
        <f>VLOOKUP($A187,'OI(Value)'!$A$7:$O$323,9,0)</f>
        <v>22</v>
      </c>
      <c r="N187" s="103">
        <f>VLOOKUP($A187,'OI(Value)'!$A$7:$O$323,11,0)</f>
        <v>230</v>
      </c>
      <c r="O187" s="103">
        <f>VLOOKUP($A187,'OI(Value)'!$A$7:$O$323,12,0)</f>
        <v>-3</v>
      </c>
    </row>
    <row r="188" spans="1:15" x14ac:dyDescent="0.25">
      <c r="A188" s="105" t="str">
        <f>'Data Vlaue (Cr)'!C183</f>
        <v>SBIN</v>
      </c>
      <c r="B188" s="143">
        <f>VLOOKUP($A188,'Data shares'!$C:$FA,118)</f>
        <v>0.65</v>
      </c>
      <c r="C188" s="143">
        <f>VLOOKUP($A188,'Data shares'!$C:$FA,119)</f>
        <v>0.71</v>
      </c>
      <c r="D188" s="143">
        <f>VLOOKUP($A188,'Data shares'!$C:$FA,121)*100</f>
        <v>-8.4500000000000011</v>
      </c>
      <c r="E188" s="143">
        <f>VLOOKUP($A188,'Data shares'!$C:$FA,124)</f>
        <v>0.69</v>
      </c>
      <c r="F188" s="143">
        <f>VLOOKUP($A188,'Data shares'!$C:$FA,125)</f>
        <v>0.56999999999999995</v>
      </c>
      <c r="G188" s="143">
        <f>VLOOKUP($A188,'Data shares'!$C:$FA,127)*100</f>
        <v>21.05</v>
      </c>
      <c r="H188" s="103">
        <f>VLOOKUP($A188,'OI(Volume)'!$A$7:$O$440,8)</f>
        <v>42215250</v>
      </c>
      <c r="I188" s="103">
        <f>VLOOKUP($A188,'OI(Volume)'!$A$7:$O$440,9)</f>
        <v>5010000</v>
      </c>
      <c r="J188" s="103">
        <f>VLOOKUP($A188,'OI(Volume)'!$A$7:$O$440,11)</f>
        <v>27324750</v>
      </c>
      <c r="K188" s="103">
        <f>VLOOKUP($A188,'OI(Volume)'!$A$7:$O$440,12)</f>
        <v>774000</v>
      </c>
      <c r="L188" s="103">
        <f>VLOOKUP($A188,'OI(Value)'!$A$7:$O$323,8,0)</f>
        <v>4414</v>
      </c>
      <c r="M188" s="103">
        <f>VLOOKUP($A188,'OI(Value)'!$A$7:$O$323,9,0)</f>
        <v>524</v>
      </c>
      <c r="N188" s="103">
        <f>VLOOKUP($A188,'OI(Value)'!$A$7:$O$323,11,0)</f>
        <v>2857</v>
      </c>
      <c r="O188" s="103">
        <f>VLOOKUP($A188,'OI(Value)'!$A$7:$O$323,12,0)</f>
        <v>81</v>
      </c>
    </row>
    <row r="189" spans="1:15" x14ac:dyDescent="0.25">
      <c r="A189" s="105" t="str">
        <f>'Data Vlaue (Cr)'!C184</f>
        <v>SHREECEM</v>
      </c>
      <c r="B189" s="143">
        <f>VLOOKUP($A189,'Data shares'!$C:$FA,118)</f>
        <v>0.67</v>
      </c>
      <c r="C189" s="143">
        <f>VLOOKUP($A189,'Data shares'!$C:$FA,119)</f>
        <v>0.71</v>
      </c>
      <c r="D189" s="143">
        <f>VLOOKUP($A189,'Data shares'!$C:$FA,121)*100</f>
        <v>-5.63</v>
      </c>
      <c r="E189" s="143">
        <f>VLOOKUP($A189,'Data shares'!$C:$FA,124)</f>
        <v>0.3</v>
      </c>
      <c r="F189" s="143">
        <f>VLOOKUP($A189,'Data shares'!$C:$FA,125)</f>
        <v>0.4</v>
      </c>
      <c r="G189" s="143">
        <f>VLOOKUP($A189,'Data shares'!$C:$FA,127)*100</f>
        <v>-25</v>
      </c>
      <c r="H189" s="103">
        <f>VLOOKUP($A189,'OI(Volume)'!$A$7:$O$440,8)</f>
        <v>57125</v>
      </c>
      <c r="I189" s="103">
        <f>VLOOKUP($A189,'OI(Volume)'!$A$7:$O$440,9)</f>
        <v>6675</v>
      </c>
      <c r="J189" s="103">
        <f>VLOOKUP($A189,'OI(Volume)'!$A$7:$O$440,11)</f>
        <v>38000</v>
      </c>
      <c r="K189" s="103">
        <f>VLOOKUP($A189,'OI(Volume)'!$A$7:$O$440,12)</f>
        <v>2075</v>
      </c>
      <c r="L189" s="103">
        <f>VLOOKUP($A189,'OI(Value)'!$A$7:$O$323,8,0)</f>
        <v>137</v>
      </c>
      <c r="M189" s="103">
        <f>VLOOKUP($A189,'OI(Value)'!$A$7:$O$323,9,0)</f>
        <v>16</v>
      </c>
      <c r="N189" s="103">
        <f>VLOOKUP($A189,'OI(Value)'!$A$7:$O$323,11,0)</f>
        <v>91</v>
      </c>
      <c r="O189" s="103">
        <f>VLOOKUP($A189,'OI(Value)'!$A$7:$O$323,12,0)</f>
        <v>5</v>
      </c>
    </row>
    <row r="190" spans="1:15" x14ac:dyDescent="0.25">
      <c r="A190" s="105" t="str">
        <f>'Data Vlaue (Cr)'!C185</f>
        <v>SHRIRAMFIN</v>
      </c>
      <c r="B190" s="143">
        <f>VLOOKUP($A190,'Data shares'!$C:$FA,118)</f>
        <v>0.7</v>
      </c>
      <c r="C190" s="143">
        <f>VLOOKUP($A190,'Data shares'!$C:$FA,119)</f>
        <v>0.75</v>
      </c>
      <c r="D190" s="143">
        <f>VLOOKUP($A190,'Data shares'!$C:$FA,121)*100</f>
        <v>-6.67</v>
      </c>
      <c r="E190" s="143">
        <f>VLOOKUP($A190,'Data shares'!$C:$FA,124)</f>
        <v>0.73</v>
      </c>
      <c r="F190" s="143">
        <f>VLOOKUP($A190,'Data shares'!$C:$FA,125)</f>
        <v>0.46</v>
      </c>
      <c r="G190" s="143">
        <f>VLOOKUP($A190,'Data shares'!$C:$FA,127)*100</f>
        <v>58.699999999999996</v>
      </c>
      <c r="H190" s="103">
        <f>VLOOKUP($A190,'OI(Volume)'!$A$7:$O$440,8)</f>
        <v>11757075</v>
      </c>
      <c r="I190" s="103">
        <f>VLOOKUP($A190,'OI(Volume)'!$A$7:$O$440,9)</f>
        <v>839850</v>
      </c>
      <c r="J190" s="103">
        <f>VLOOKUP($A190,'OI(Volume)'!$A$7:$O$440,11)</f>
        <v>8203800</v>
      </c>
      <c r="K190" s="103">
        <f>VLOOKUP($A190,'OI(Volume)'!$A$7:$O$440,12)</f>
        <v>31350</v>
      </c>
      <c r="L190" s="103">
        <f>VLOOKUP($A190,'OI(Value)'!$A$7:$O$323,8,0)</f>
        <v>1175</v>
      </c>
      <c r="M190" s="103">
        <f>VLOOKUP($A190,'OI(Value)'!$A$7:$O$323,9,0)</f>
        <v>84</v>
      </c>
      <c r="N190" s="103">
        <f>VLOOKUP($A190,'OI(Value)'!$A$7:$O$323,11,0)</f>
        <v>820</v>
      </c>
      <c r="O190" s="103">
        <f>VLOOKUP($A190,'OI(Value)'!$A$7:$O$323,12,0)</f>
        <v>3</v>
      </c>
    </row>
    <row r="191" spans="1:15" x14ac:dyDescent="0.25">
      <c r="A191" s="105" t="str">
        <f>'Data Vlaue (Cr)'!C186</f>
        <v>SIEMENS</v>
      </c>
      <c r="B191" s="143">
        <f>VLOOKUP($A191,'Data shares'!$C:$FA,118)</f>
        <v>0.69</v>
      </c>
      <c r="C191" s="143">
        <f>VLOOKUP($A191,'Data shares'!$C:$FA,119)</f>
        <v>0.66</v>
      </c>
      <c r="D191" s="143">
        <f>VLOOKUP($A191,'Data shares'!$C:$FA,121)*100</f>
        <v>4.55</v>
      </c>
      <c r="E191" s="143">
        <f>VLOOKUP($A191,'Data shares'!$C:$FA,124)</f>
        <v>0.47</v>
      </c>
      <c r="F191" s="143">
        <f>VLOOKUP($A191,'Data shares'!$C:$FA,125)</f>
        <v>0.33</v>
      </c>
      <c r="G191" s="143">
        <f>VLOOKUP($A191,'Data shares'!$C:$FA,127)*100</f>
        <v>42.42</v>
      </c>
      <c r="H191" s="103">
        <f>VLOOKUP($A191,'OI(Volume)'!$A$7:$O$440,8)</f>
        <v>545825</v>
      </c>
      <c r="I191" s="103">
        <f>VLOOKUP($A191,'OI(Volume)'!$A$7:$O$440,9)</f>
        <v>22925</v>
      </c>
      <c r="J191" s="103">
        <f>VLOOKUP($A191,'OI(Volume)'!$A$7:$O$440,11)</f>
        <v>377475</v>
      </c>
      <c r="K191" s="103">
        <f>VLOOKUP($A191,'OI(Volume)'!$A$7:$O$440,12)</f>
        <v>29925</v>
      </c>
      <c r="L191" s="103">
        <f>VLOOKUP($A191,'OI(Value)'!$A$7:$O$323,8,0)</f>
        <v>177</v>
      </c>
      <c r="M191" s="103">
        <f>VLOOKUP($A191,'OI(Value)'!$A$7:$O$323,9,0)</f>
        <v>7</v>
      </c>
      <c r="N191" s="103">
        <f>VLOOKUP($A191,'OI(Value)'!$A$7:$O$323,11,0)</f>
        <v>122</v>
      </c>
      <c r="O191" s="103">
        <f>VLOOKUP($A191,'OI(Value)'!$A$7:$O$323,12,0)</f>
        <v>10</v>
      </c>
    </row>
    <row r="192" spans="1:15" x14ac:dyDescent="0.25">
      <c r="A192" s="105" t="str">
        <f>'Data Vlaue (Cr)'!C187</f>
        <v>SOLARINDS</v>
      </c>
      <c r="B192" s="143">
        <f>VLOOKUP($A192,'Data shares'!$C:$FA,118)</f>
        <v>0.82</v>
      </c>
      <c r="C192" s="143">
        <f>VLOOKUP($A192,'Data shares'!$C:$FA,119)</f>
        <v>0.84</v>
      </c>
      <c r="D192" s="143">
        <f>VLOOKUP($A192,'Data shares'!$C:$FA,121)*100</f>
        <v>-2.3800000000000003</v>
      </c>
      <c r="E192" s="143">
        <f>VLOOKUP($A192,'Data shares'!$C:$FA,124)</f>
        <v>0.34</v>
      </c>
      <c r="F192" s="143">
        <f>VLOOKUP($A192,'Data shares'!$C:$FA,125)</f>
        <v>0.45</v>
      </c>
      <c r="G192" s="143">
        <f>VLOOKUP($A192,'Data shares'!$C:$FA,127)*100</f>
        <v>-24.44</v>
      </c>
      <c r="H192" s="103">
        <f>VLOOKUP($A192,'OI(Volume)'!$A$7:$O$440,8)</f>
        <v>221550</v>
      </c>
      <c r="I192" s="103">
        <f>VLOOKUP($A192,'OI(Volume)'!$A$7:$O$440,9)</f>
        <v>36950</v>
      </c>
      <c r="J192" s="103">
        <f>VLOOKUP($A192,'OI(Volume)'!$A$7:$O$440,11)</f>
        <v>180600</v>
      </c>
      <c r="K192" s="103">
        <f>VLOOKUP($A192,'OI(Volume)'!$A$7:$O$440,12)</f>
        <v>25250</v>
      </c>
      <c r="L192" s="103">
        <f>VLOOKUP($A192,'OI(Value)'!$A$7:$O$323,8,0)</f>
        <v>310</v>
      </c>
      <c r="M192" s="103">
        <f>VLOOKUP($A192,'OI(Value)'!$A$7:$O$323,9,0)</f>
        <v>52</v>
      </c>
      <c r="N192" s="103">
        <f>VLOOKUP($A192,'OI(Value)'!$A$7:$O$323,11,0)</f>
        <v>253</v>
      </c>
      <c r="O192" s="103">
        <f>VLOOKUP($A192,'OI(Value)'!$A$7:$O$323,12,0)</f>
        <v>35</v>
      </c>
    </row>
    <row r="193" spans="1:15" x14ac:dyDescent="0.25">
      <c r="A193" s="105" t="str">
        <f>'Data Vlaue (Cr)'!C188</f>
        <v>SONACOMS</v>
      </c>
      <c r="B193" s="143">
        <f>VLOOKUP($A193,'Data shares'!$C:$FA,118)</f>
        <v>0.69</v>
      </c>
      <c r="C193" s="143">
        <f>VLOOKUP($A193,'Data shares'!$C:$FA,119)</f>
        <v>0.76</v>
      </c>
      <c r="D193" s="143">
        <f>VLOOKUP($A193,'Data shares'!$C:$FA,121)*100</f>
        <v>-9.2100000000000009</v>
      </c>
      <c r="E193" s="143">
        <f>VLOOKUP($A193,'Data shares'!$C:$FA,124)</f>
        <v>0.45</v>
      </c>
      <c r="F193" s="143">
        <f>VLOOKUP($A193,'Data shares'!$C:$FA,125)</f>
        <v>0.4</v>
      </c>
      <c r="G193" s="143">
        <f>VLOOKUP($A193,'Data shares'!$C:$FA,127)*100</f>
        <v>12.5</v>
      </c>
      <c r="H193" s="103">
        <f>VLOOKUP($A193,'OI(Volume)'!$A$7:$O$440,8)</f>
        <v>3482675</v>
      </c>
      <c r="I193" s="103">
        <f>VLOOKUP($A193,'OI(Volume)'!$A$7:$O$440,9)</f>
        <v>387100</v>
      </c>
      <c r="J193" s="103">
        <f>VLOOKUP($A193,'OI(Volume)'!$A$7:$O$440,11)</f>
        <v>2416925</v>
      </c>
      <c r="K193" s="103">
        <f>VLOOKUP($A193,'OI(Volume)'!$A$7:$O$440,12)</f>
        <v>73500</v>
      </c>
      <c r="L193" s="103">
        <f>VLOOKUP($A193,'OI(Value)'!$A$7:$O$323,8,0)</f>
        <v>182</v>
      </c>
      <c r="M193" s="103">
        <f>VLOOKUP($A193,'OI(Value)'!$A$7:$O$323,9,0)</f>
        <v>20</v>
      </c>
      <c r="N193" s="103">
        <f>VLOOKUP($A193,'OI(Value)'!$A$7:$O$323,11,0)</f>
        <v>127</v>
      </c>
      <c r="O193" s="103">
        <f>VLOOKUP($A193,'OI(Value)'!$A$7:$O$323,12,0)</f>
        <v>4</v>
      </c>
    </row>
    <row r="194" spans="1:15" x14ac:dyDescent="0.25">
      <c r="A194" s="105" t="str">
        <f>'Data Vlaue (Cr)'!C189</f>
        <v>SRF</v>
      </c>
      <c r="B194" s="143">
        <f>VLOOKUP($A194,'Data shares'!$C:$FA,118)</f>
        <v>0.67</v>
      </c>
      <c r="C194" s="143">
        <f>VLOOKUP($A194,'Data shares'!$C:$FA,119)</f>
        <v>0.72</v>
      </c>
      <c r="D194" s="143">
        <f>VLOOKUP($A194,'Data shares'!$C:$FA,121)*100</f>
        <v>-6.94</v>
      </c>
      <c r="E194" s="143">
        <f>VLOOKUP($A194,'Data shares'!$C:$FA,124)</f>
        <v>0.42</v>
      </c>
      <c r="F194" s="143">
        <f>VLOOKUP($A194,'Data shares'!$C:$FA,125)</f>
        <v>0.37</v>
      </c>
      <c r="G194" s="143">
        <f>VLOOKUP($A194,'Data shares'!$C:$FA,127)*100</f>
        <v>13.51</v>
      </c>
      <c r="H194" s="103">
        <f>VLOOKUP($A194,'OI(Volume)'!$A$7:$O$440,8)</f>
        <v>1543200</v>
      </c>
      <c r="I194" s="103">
        <f>VLOOKUP($A194,'OI(Volume)'!$A$7:$O$440,9)</f>
        <v>175000</v>
      </c>
      <c r="J194" s="103">
        <f>VLOOKUP($A194,'OI(Volume)'!$A$7:$O$440,11)</f>
        <v>1032800</v>
      </c>
      <c r="K194" s="103">
        <f>VLOOKUP($A194,'OI(Volume)'!$A$7:$O$440,12)</f>
        <v>51200</v>
      </c>
      <c r="L194" s="103">
        <f>VLOOKUP($A194,'OI(Value)'!$A$7:$O$323,8,0)</f>
        <v>372</v>
      </c>
      <c r="M194" s="103">
        <f>VLOOKUP($A194,'OI(Value)'!$A$7:$O$323,9,0)</f>
        <v>42</v>
      </c>
      <c r="N194" s="103">
        <f>VLOOKUP($A194,'OI(Value)'!$A$7:$O$323,11,0)</f>
        <v>249</v>
      </c>
      <c r="O194" s="103">
        <f>VLOOKUP($A194,'OI(Value)'!$A$7:$O$323,12,0)</f>
        <v>12</v>
      </c>
    </row>
    <row r="195" spans="1:15" x14ac:dyDescent="0.25">
      <c r="A195" s="105" t="str">
        <f>'Data Vlaue (Cr)'!C190</f>
        <v>SUNPHARMA</v>
      </c>
      <c r="B195" s="143">
        <f>VLOOKUP($A195,'Data shares'!$C:$FA,118)</f>
        <v>0.89</v>
      </c>
      <c r="C195" s="143">
        <f>VLOOKUP($A195,'Data shares'!$C:$FA,119)</f>
        <v>0.88</v>
      </c>
      <c r="D195" s="143">
        <f>VLOOKUP($A195,'Data shares'!$C:$FA,121)*100</f>
        <v>1.1400000000000001</v>
      </c>
      <c r="E195" s="143">
        <f>VLOOKUP($A195,'Data shares'!$C:$FA,124)</f>
        <v>0.62</v>
      </c>
      <c r="F195" s="143">
        <f>VLOOKUP($A195,'Data shares'!$C:$FA,125)</f>
        <v>0.67</v>
      </c>
      <c r="G195" s="143">
        <f>VLOOKUP($A195,'Data shares'!$C:$FA,127)*100</f>
        <v>-7.46</v>
      </c>
      <c r="H195" s="103">
        <f>VLOOKUP($A195,'OI(Volume)'!$A$7:$O$440,8)</f>
        <v>4630500</v>
      </c>
      <c r="I195" s="103">
        <f>VLOOKUP($A195,'OI(Volume)'!$A$7:$O$440,9)</f>
        <v>-136850</v>
      </c>
      <c r="J195" s="103">
        <f>VLOOKUP($A195,'OI(Volume)'!$A$7:$O$440,11)</f>
        <v>4135250</v>
      </c>
      <c r="K195" s="103">
        <f>VLOOKUP($A195,'OI(Volume)'!$A$7:$O$440,12)</f>
        <v>-73150</v>
      </c>
      <c r="L195" s="103">
        <f>VLOOKUP($A195,'OI(Value)'!$A$7:$O$323,8,0)</f>
        <v>799</v>
      </c>
      <c r="M195" s="103">
        <f>VLOOKUP($A195,'OI(Value)'!$A$7:$O$323,9,0)</f>
        <v>-24</v>
      </c>
      <c r="N195" s="103">
        <f>VLOOKUP($A195,'OI(Value)'!$A$7:$O$323,11,0)</f>
        <v>713</v>
      </c>
      <c r="O195" s="103">
        <f>VLOOKUP($A195,'OI(Value)'!$A$7:$O$323,12,0)</f>
        <v>-13</v>
      </c>
    </row>
    <row r="196" spans="1:15" x14ac:dyDescent="0.25">
      <c r="A196" s="105" t="str">
        <f>'Data Vlaue (Cr)'!C191</f>
        <v>SUPREMEIND</v>
      </c>
      <c r="B196" s="143">
        <f>VLOOKUP($A196,'Data shares'!$C:$FA,118)</f>
        <v>0.64</v>
      </c>
      <c r="C196" s="143">
        <f>VLOOKUP($A196,'Data shares'!$C:$FA,119)</f>
        <v>0.79</v>
      </c>
      <c r="D196" s="143">
        <f>VLOOKUP($A196,'Data shares'!$C:$FA,121)*100</f>
        <v>-18.990000000000002</v>
      </c>
      <c r="E196" s="143">
        <f>VLOOKUP($A196,'Data shares'!$C:$FA,124)</f>
        <v>0.44</v>
      </c>
      <c r="F196" s="143">
        <f>VLOOKUP($A196,'Data shares'!$C:$FA,125)</f>
        <v>0.84</v>
      </c>
      <c r="G196" s="143">
        <f>VLOOKUP($A196,'Data shares'!$C:$FA,127)*100</f>
        <v>-47.620000000000005</v>
      </c>
      <c r="H196" s="103">
        <f>VLOOKUP($A196,'OI(Volume)'!$A$7:$O$440,8)</f>
        <v>514850</v>
      </c>
      <c r="I196" s="103">
        <f>VLOOKUP($A196,'OI(Volume)'!$A$7:$O$440,9)</f>
        <v>131600</v>
      </c>
      <c r="J196" s="103">
        <f>VLOOKUP($A196,'OI(Volume)'!$A$7:$O$440,11)</f>
        <v>330225</v>
      </c>
      <c r="K196" s="103">
        <f>VLOOKUP($A196,'OI(Volume)'!$A$7:$O$440,12)</f>
        <v>26600</v>
      </c>
      <c r="L196" s="103">
        <f>VLOOKUP($A196,'OI(Value)'!$A$7:$O$323,8,0)</f>
        <v>195</v>
      </c>
      <c r="M196" s="103">
        <f>VLOOKUP($A196,'OI(Value)'!$A$7:$O$323,9,0)</f>
        <v>50</v>
      </c>
      <c r="N196" s="103">
        <f>VLOOKUP($A196,'OI(Value)'!$A$7:$O$323,11,0)</f>
        <v>125</v>
      </c>
      <c r="O196" s="103">
        <f>VLOOKUP($A196,'OI(Value)'!$A$7:$O$323,12,0)</f>
        <v>10</v>
      </c>
    </row>
    <row r="197" spans="1:15" x14ac:dyDescent="0.25">
      <c r="A197" s="105" t="str">
        <f>'Data Vlaue (Cr)'!C192</f>
        <v>SUZLON</v>
      </c>
      <c r="B197" s="143">
        <f>VLOOKUP($A197,'Data shares'!$C:$FA,118)</f>
        <v>0.46</v>
      </c>
      <c r="C197" s="143">
        <f>VLOOKUP($A197,'Data shares'!$C:$FA,119)</f>
        <v>0.47</v>
      </c>
      <c r="D197" s="143">
        <f>VLOOKUP($A197,'Data shares'!$C:$FA,121)*100</f>
        <v>-2.13</v>
      </c>
      <c r="E197" s="143">
        <f>VLOOKUP($A197,'Data shares'!$C:$FA,124)</f>
        <v>0.41</v>
      </c>
      <c r="F197" s="143">
        <f>VLOOKUP($A197,'Data shares'!$C:$FA,125)</f>
        <v>0.31</v>
      </c>
      <c r="G197" s="143">
        <f>VLOOKUP($A197,'Data shares'!$C:$FA,127)*100</f>
        <v>32.26</v>
      </c>
      <c r="H197" s="103">
        <f>VLOOKUP($A197,'OI(Volume)'!$A$7:$O$440,8)</f>
        <v>119057800</v>
      </c>
      <c r="I197" s="103">
        <f>VLOOKUP($A197,'OI(Volume)'!$A$7:$O$440,9)</f>
        <v>8023225</v>
      </c>
      <c r="J197" s="103">
        <f>VLOOKUP($A197,'OI(Volume)'!$A$7:$O$440,11)</f>
        <v>54465875</v>
      </c>
      <c r="K197" s="103">
        <f>VLOOKUP($A197,'OI(Volume)'!$A$7:$O$440,12)</f>
        <v>2265275</v>
      </c>
      <c r="L197" s="103">
        <f>VLOOKUP($A197,'OI(Value)'!$A$7:$O$323,8,0)</f>
        <v>528</v>
      </c>
      <c r="M197" s="103">
        <f>VLOOKUP($A197,'OI(Value)'!$A$7:$O$323,9,0)</f>
        <v>36</v>
      </c>
      <c r="N197" s="103">
        <f>VLOOKUP($A197,'OI(Value)'!$A$7:$O$323,11,0)</f>
        <v>242</v>
      </c>
      <c r="O197" s="103">
        <f>VLOOKUP($A197,'OI(Value)'!$A$7:$O$323,12,0)</f>
        <v>10</v>
      </c>
    </row>
    <row r="198" spans="1:15" x14ac:dyDescent="0.25">
      <c r="A198" s="105" t="str">
        <f>'Data Vlaue (Cr)'!C193</f>
        <v>SWIGGY</v>
      </c>
      <c r="B198" s="143">
        <f>VLOOKUP($A198,'Data shares'!$C:$FA,118)</f>
        <v>0.65</v>
      </c>
      <c r="C198" s="143">
        <f>VLOOKUP($A198,'Data shares'!$C:$FA,119)</f>
        <v>0.7</v>
      </c>
      <c r="D198" s="143">
        <f>VLOOKUP($A198,'Data shares'!$C:$FA,121)*100</f>
        <v>-7.1400000000000006</v>
      </c>
      <c r="E198" s="143">
        <f>VLOOKUP($A198,'Data shares'!$C:$FA,124)</f>
        <v>0.46</v>
      </c>
      <c r="F198" s="143">
        <f>VLOOKUP($A198,'Data shares'!$C:$FA,125)</f>
        <v>0.42</v>
      </c>
      <c r="G198" s="143">
        <f>VLOOKUP($A198,'Data shares'!$C:$FA,127)*100</f>
        <v>9.5200000000000014</v>
      </c>
      <c r="H198" s="103">
        <f>VLOOKUP($A198,'OI(Volume)'!$A$7:$O$440,8)</f>
        <v>6219200</v>
      </c>
      <c r="I198" s="103">
        <f>VLOOKUP($A198,'OI(Volume)'!$A$7:$O$440,9)</f>
        <v>873600</v>
      </c>
      <c r="J198" s="103">
        <f>VLOOKUP($A198,'OI(Volume)'!$A$7:$O$440,11)</f>
        <v>4033900</v>
      </c>
      <c r="K198" s="103">
        <f>VLOOKUP($A198,'OI(Volume)'!$A$7:$O$440,12)</f>
        <v>266500</v>
      </c>
      <c r="L198" s="103">
        <f>VLOOKUP($A198,'OI(Value)'!$A$7:$O$323,8,0)</f>
        <v>170</v>
      </c>
      <c r="M198" s="103">
        <f>VLOOKUP($A198,'OI(Value)'!$A$7:$O$323,9,0)</f>
        <v>24</v>
      </c>
      <c r="N198" s="103">
        <f>VLOOKUP($A198,'OI(Value)'!$A$7:$O$323,11,0)</f>
        <v>110</v>
      </c>
      <c r="O198" s="103">
        <f>VLOOKUP($A198,'OI(Value)'!$A$7:$O$323,12,0)</f>
        <v>7</v>
      </c>
    </row>
    <row r="199" spans="1:15" x14ac:dyDescent="0.25">
      <c r="A199" s="105" t="str">
        <f>'Data Vlaue (Cr)'!C194</f>
        <v>TATACONSUM</v>
      </c>
      <c r="B199" s="143">
        <f>VLOOKUP($A199,'Data shares'!$C:$FA,118)</f>
        <v>1.56</v>
      </c>
      <c r="C199" s="143">
        <f>VLOOKUP($A199,'Data shares'!$C:$FA,119)</f>
        <v>1.52</v>
      </c>
      <c r="D199" s="143">
        <f>VLOOKUP($A199,'Data shares'!$C:$FA,121)*100</f>
        <v>2.63</v>
      </c>
      <c r="E199" s="143">
        <f>VLOOKUP($A199,'Data shares'!$C:$FA,124)</f>
        <v>0.37</v>
      </c>
      <c r="F199" s="143">
        <f>VLOOKUP($A199,'Data shares'!$C:$FA,125)</f>
        <v>0.4</v>
      </c>
      <c r="G199" s="143">
        <f>VLOOKUP($A199,'Data shares'!$C:$FA,127)*100</f>
        <v>-7.5</v>
      </c>
      <c r="H199" s="103">
        <f>VLOOKUP($A199,'OI(Volume)'!$A$7:$O$440,8)</f>
        <v>1364550</v>
      </c>
      <c r="I199" s="103">
        <f>VLOOKUP($A199,'OI(Volume)'!$A$7:$O$440,9)</f>
        <v>-23100</v>
      </c>
      <c r="J199" s="103">
        <f>VLOOKUP($A199,'OI(Volume)'!$A$7:$O$440,11)</f>
        <v>2132350</v>
      </c>
      <c r="K199" s="103">
        <f>VLOOKUP($A199,'OI(Volume)'!$A$7:$O$440,12)</f>
        <v>18150</v>
      </c>
      <c r="L199" s="103">
        <f>VLOOKUP($A199,'OI(Value)'!$A$7:$O$323,8,0)</f>
        <v>148</v>
      </c>
      <c r="M199" s="103">
        <f>VLOOKUP($A199,'OI(Value)'!$A$7:$O$323,9,0)</f>
        <v>-3</v>
      </c>
      <c r="N199" s="103">
        <f>VLOOKUP($A199,'OI(Value)'!$A$7:$O$323,11,0)</f>
        <v>231</v>
      </c>
      <c r="O199" s="103">
        <f>VLOOKUP($A199,'OI(Value)'!$A$7:$O$323,12,0)</f>
        <v>2</v>
      </c>
    </row>
    <row r="200" spans="1:15" x14ac:dyDescent="0.25">
      <c r="A200" s="105" t="str">
        <f>'Data Vlaue (Cr)'!C195</f>
        <v>TATAELXSI</v>
      </c>
      <c r="B200" s="143">
        <f>VLOOKUP($A200,'Data shares'!$C:$FA,118)</f>
        <v>0.74</v>
      </c>
      <c r="C200" s="143">
        <f>VLOOKUP($A200,'Data shares'!$C:$FA,119)</f>
        <v>0.66</v>
      </c>
      <c r="D200" s="143">
        <f>VLOOKUP($A200,'Data shares'!$C:$FA,121)*100</f>
        <v>12.120000000000001</v>
      </c>
      <c r="E200" s="143">
        <f>VLOOKUP($A200,'Data shares'!$C:$FA,124)</f>
        <v>0.59</v>
      </c>
      <c r="F200" s="143">
        <f>VLOOKUP($A200,'Data shares'!$C:$FA,125)</f>
        <v>0.48</v>
      </c>
      <c r="G200" s="143">
        <f>VLOOKUP($A200,'Data shares'!$C:$FA,127)*100</f>
        <v>22.919999999999998</v>
      </c>
      <c r="H200" s="103">
        <f>VLOOKUP($A200,'OI(Volume)'!$A$7:$O$440,8)</f>
        <v>591000</v>
      </c>
      <c r="I200" s="103">
        <f>VLOOKUP($A200,'OI(Volume)'!$A$7:$O$440,9)</f>
        <v>34000</v>
      </c>
      <c r="J200" s="103">
        <f>VLOOKUP($A200,'OI(Volume)'!$A$7:$O$440,11)</f>
        <v>435600</v>
      </c>
      <c r="K200" s="103">
        <f>VLOOKUP($A200,'OI(Volume)'!$A$7:$O$440,12)</f>
        <v>67500</v>
      </c>
      <c r="L200" s="103">
        <f>VLOOKUP($A200,'OI(Value)'!$A$7:$O$323,8,0)</f>
        <v>264</v>
      </c>
      <c r="M200" s="103">
        <f>VLOOKUP($A200,'OI(Value)'!$A$7:$O$323,9,0)</f>
        <v>15</v>
      </c>
      <c r="N200" s="103">
        <f>VLOOKUP($A200,'OI(Value)'!$A$7:$O$323,11,0)</f>
        <v>194</v>
      </c>
      <c r="O200" s="103">
        <f>VLOOKUP($A200,'OI(Value)'!$A$7:$O$323,12,0)</f>
        <v>30</v>
      </c>
    </row>
    <row r="201" spans="1:15" x14ac:dyDescent="0.25">
      <c r="A201" s="105" t="str">
        <f>'Data Vlaue (Cr)'!C196</f>
        <v>TATAPOWER</v>
      </c>
      <c r="B201" s="143">
        <f>VLOOKUP($A201,'Data shares'!$C:$FA,118)</f>
        <v>0.7</v>
      </c>
      <c r="C201" s="143">
        <f>VLOOKUP($A201,'Data shares'!$C:$FA,119)</f>
        <v>0.69</v>
      </c>
      <c r="D201" s="143">
        <f>VLOOKUP($A201,'Data shares'!$C:$FA,121)*100</f>
        <v>1.4500000000000002</v>
      </c>
      <c r="E201" s="143">
        <f>VLOOKUP($A201,'Data shares'!$C:$FA,124)</f>
        <v>0.37</v>
      </c>
      <c r="F201" s="143">
        <f>VLOOKUP($A201,'Data shares'!$C:$FA,125)</f>
        <v>0.34</v>
      </c>
      <c r="G201" s="143">
        <f>VLOOKUP($A201,'Data shares'!$C:$FA,127)*100</f>
        <v>8.82</v>
      </c>
      <c r="H201" s="103">
        <f>VLOOKUP($A201,'OI(Volume)'!$A$7:$O$440,8)</f>
        <v>30007750</v>
      </c>
      <c r="I201" s="103">
        <f>VLOOKUP($A201,'OI(Volume)'!$A$7:$O$440,9)</f>
        <v>1244100</v>
      </c>
      <c r="J201" s="103">
        <f>VLOOKUP($A201,'OI(Volume)'!$A$7:$O$440,11)</f>
        <v>20920600</v>
      </c>
      <c r="K201" s="103">
        <f>VLOOKUP($A201,'OI(Volume)'!$A$7:$O$440,12)</f>
        <v>1112150</v>
      </c>
      <c r="L201" s="103">
        <f>VLOOKUP($A201,'OI(Value)'!$A$7:$O$323,8,0)</f>
        <v>1191</v>
      </c>
      <c r="M201" s="103">
        <f>VLOOKUP($A201,'OI(Value)'!$A$7:$O$323,9,0)</f>
        <v>49</v>
      </c>
      <c r="N201" s="103">
        <f>VLOOKUP($A201,'OI(Value)'!$A$7:$O$323,11,0)</f>
        <v>830</v>
      </c>
      <c r="O201" s="103">
        <f>VLOOKUP($A201,'OI(Value)'!$A$7:$O$323,12,0)</f>
        <v>44</v>
      </c>
    </row>
    <row r="202" spans="1:15" x14ac:dyDescent="0.25">
      <c r="A202" s="105" t="str">
        <f>'Data Vlaue (Cr)'!C197</f>
        <v>TATASTEEL</v>
      </c>
      <c r="B202" s="143">
        <f>VLOOKUP($A202,'Data shares'!$C:$FA,118)</f>
        <v>0.78</v>
      </c>
      <c r="C202" s="143">
        <f>VLOOKUP($A202,'Data shares'!$C:$FA,119)</f>
        <v>0.75</v>
      </c>
      <c r="D202" s="143">
        <f>VLOOKUP($A202,'Data shares'!$C:$FA,121)*100</f>
        <v>4</v>
      </c>
      <c r="E202" s="143">
        <f>VLOOKUP($A202,'Data shares'!$C:$FA,124)</f>
        <v>0.68</v>
      </c>
      <c r="F202" s="143">
        <f>VLOOKUP($A202,'Data shares'!$C:$FA,125)</f>
        <v>0.76</v>
      </c>
      <c r="G202" s="143">
        <f>VLOOKUP($A202,'Data shares'!$C:$FA,127)*100</f>
        <v>-10.530000000000001</v>
      </c>
      <c r="H202" s="103">
        <f>VLOOKUP($A202,'OI(Volume)'!$A$7:$O$440,8)</f>
        <v>105798000</v>
      </c>
      <c r="I202" s="103">
        <f>VLOOKUP($A202,'OI(Volume)'!$A$7:$O$440,9)</f>
        <v>4306500</v>
      </c>
      <c r="J202" s="103">
        <f>VLOOKUP($A202,'OI(Volume)'!$A$7:$O$440,11)</f>
        <v>82318500</v>
      </c>
      <c r="K202" s="103">
        <f>VLOOKUP($A202,'OI(Volume)'!$A$7:$O$440,12)</f>
        <v>6396500</v>
      </c>
      <c r="L202" s="103">
        <f>VLOOKUP($A202,'OI(Value)'!$A$7:$O$323,8,0)</f>
        <v>2181</v>
      </c>
      <c r="M202" s="103">
        <f>VLOOKUP($A202,'OI(Value)'!$A$7:$O$323,9,0)</f>
        <v>89</v>
      </c>
      <c r="N202" s="103">
        <f>VLOOKUP($A202,'OI(Value)'!$A$7:$O$323,11,0)</f>
        <v>1697</v>
      </c>
      <c r="O202" s="103">
        <f>VLOOKUP($A202,'OI(Value)'!$A$7:$O$323,12,0)</f>
        <v>132</v>
      </c>
    </row>
    <row r="203" spans="1:15" x14ac:dyDescent="0.25">
      <c r="A203" s="105" t="str">
        <f>'Data Vlaue (Cr)'!C198</f>
        <v>TATATECH</v>
      </c>
      <c r="B203" s="143">
        <f>VLOOKUP($A203,'Data shares'!$C:$FA,118)</f>
        <v>0.86</v>
      </c>
      <c r="C203" s="143">
        <f>VLOOKUP($A203,'Data shares'!$C:$FA,119)</f>
        <v>0.77</v>
      </c>
      <c r="D203" s="143">
        <f>VLOOKUP($A203,'Data shares'!$C:$FA,121)*100</f>
        <v>11.690000000000001</v>
      </c>
      <c r="E203" s="143">
        <f>VLOOKUP($A203,'Data shares'!$C:$FA,124)</f>
        <v>0.22</v>
      </c>
      <c r="F203" s="143">
        <f>VLOOKUP($A203,'Data shares'!$C:$FA,125)</f>
        <v>0.36</v>
      </c>
      <c r="G203" s="143">
        <f>VLOOKUP($A203,'Data shares'!$C:$FA,127)*100</f>
        <v>-38.89</v>
      </c>
      <c r="H203" s="103">
        <f>VLOOKUP($A203,'OI(Volume)'!$A$7:$O$440,8)</f>
        <v>1829600</v>
      </c>
      <c r="I203" s="103">
        <f>VLOOKUP($A203,'OI(Volume)'!$A$7:$O$440,9)</f>
        <v>-181600</v>
      </c>
      <c r="J203" s="103">
        <f>VLOOKUP($A203,'OI(Volume)'!$A$7:$O$440,11)</f>
        <v>1570400</v>
      </c>
      <c r="K203" s="103">
        <f>VLOOKUP($A203,'OI(Volume)'!$A$7:$O$440,12)</f>
        <v>12800</v>
      </c>
      <c r="L203" s="103">
        <f>VLOOKUP($A203,'OI(Value)'!$A$7:$O$323,8,0)</f>
        <v>103</v>
      </c>
      <c r="M203" s="103">
        <f>VLOOKUP($A203,'OI(Value)'!$A$7:$O$323,9,0)</f>
        <v>-10</v>
      </c>
      <c r="N203" s="103">
        <f>VLOOKUP($A203,'OI(Value)'!$A$7:$O$323,11,0)</f>
        <v>88</v>
      </c>
      <c r="O203" s="103">
        <f>VLOOKUP($A203,'OI(Value)'!$A$7:$O$323,12,0)</f>
        <v>1</v>
      </c>
    </row>
    <row r="204" spans="1:15" x14ac:dyDescent="0.25">
      <c r="A204" s="105" t="str">
        <f>'Data Vlaue (Cr)'!C199</f>
        <v>TCS</v>
      </c>
      <c r="B204" s="143">
        <f>VLOOKUP($A204,'Data shares'!$C:$FA,118)</f>
        <v>0.72</v>
      </c>
      <c r="C204" s="143">
        <f>VLOOKUP($A204,'Data shares'!$C:$FA,119)</f>
        <v>0.94</v>
      </c>
      <c r="D204" s="143">
        <f>VLOOKUP($A204,'Data shares'!$C:$FA,121)*100</f>
        <v>-23.400000000000002</v>
      </c>
      <c r="E204" s="143">
        <f>VLOOKUP($A204,'Data shares'!$C:$FA,124)</f>
        <v>0.51</v>
      </c>
      <c r="F204" s="143">
        <f>VLOOKUP($A204,'Data shares'!$C:$FA,125)</f>
        <v>0.52</v>
      </c>
      <c r="G204" s="143">
        <f>VLOOKUP($A204,'Data shares'!$C:$FA,127)*100</f>
        <v>-1.92</v>
      </c>
      <c r="H204" s="103">
        <f>VLOOKUP($A204,'OI(Volume)'!$A$7:$O$440,8)</f>
        <v>16373700</v>
      </c>
      <c r="I204" s="103">
        <f>VLOOKUP($A204,'OI(Volume)'!$A$7:$O$440,9)</f>
        <v>6586475</v>
      </c>
      <c r="J204" s="103">
        <f>VLOOKUP($A204,'OI(Volume)'!$A$7:$O$440,11)</f>
        <v>11864475</v>
      </c>
      <c r="K204" s="103">
        <f>VLOOKUP($A204,'OI(Volume)'!$A$7:$O$440,12)</f>
        <v>2691150</v>
      </c>
      <c r="L204" s="103">
        <f>VLOOKUP($A204,'OI(Value)'!$A$7:$O$323,8,0)</f>
        <v>4238</v>
      </c>
      <c r="M204" s="103">
        <f>VLOOKUP($A204,'OI(Value)'!$A$7:$O$323,9,0)</f>
        <v>1705</v>
      </c>
      <c r="N204" s="103">
        <f>VLOOKUP($A204,'OI(Value)'!$A$7:$O$323,11,0)</f>
        <v>3071</v>
      </c>
      <c r="O204" s="103">
        <f>VLOOKUP($A204,'OI(Value)'!$A$7:$O$323,12,0)</f>
        <v>696</v>
      </c>
    </row>
    <row r="205" spans="1:15" x14ac:dyDescent="0.25">
      <c r="A205" s="105" t="str">
        <f>'Data Vlaue (Cr)'!C200</f>
        <v>TECHM</v>
      </c>
      <c r="B205" s="143">
        <f>VLOOKUP($A205,'Data shares'!$C:$FA,118)</f>
        <v>0.79</v>
      </c>
      <c r="C205" s="143">
        <f>VLOOKUP($A205,'Data shares'!$C:$FA,119)</f>
        <v>0.81</v>
      </c>
      <c r="D205" s="143">
        <f>VLOOKUP($A205,'Data shares'!$C:$FA,121)*100</f>
        <v>-2.4699999999999998</v>
      </c>
      <c r="E205" s="143">
        <f>VLOOKUP($A205,'Data shares'!$C:$FA,124)</f>
        <v>0.59</v>
      </c>
      <c r="F205" s="143">
        <f>VLOOKUP($A205,'Data shares'!$C:$FA,125)</f>
        <v>0.68</v>
      </c>
      <c r="G205" s="143">
        <f>VLOOKUP($A205,'Data shares'!$C:$FA,127)*100</f>
        <v>-13.239999999999998</v>
      </c>
      <c r="H205" s="103">
        <f>VLOOKUP($A205,'OI(Volume)'!$A$7:$O$440,8)</f>
        <v>4905600</v>
      </c>
      <c r="I205" s="103">
        <f>VLOOKUP($A205,'OI(Volume)'!$A$7:$O$440,9)</f>
        <v>98400</v>
      </c>
      <c r="J205" s="103">
        <f>VLOOKUP($A205,'OI(Volume)'!$A$7:$O$440,11)</f>
        <v>3864600</v>
      </c>
      <c r="K205" s="103">
        <f>VLOOKUP($A205,'OI(Volume)'!$A$7:$O$440,12)</f>
        <v>-47400</v>
      </c>
      <c r="L205" s="103">
        <f>VLOOKUP($A205,'OI(Value)'!$A$7:$O$323,8,0)</f>
        <v>718</v>
      </c>
      <c r="M205" s="103">
        <f>VLOOKUP($A205,'OI(Value)'!$A$7:$O$323,9,0)</f>
        <v>14</v>
      </c>
      <c r="N205" s="103">
        <f>VLOOKUP($A205,'OI(Value)'!$A$7:$O$323,11,0)</f>
        <v>566</v>
      </c>
      <c r="O205" s="103">
        <f>VLOOKUP($A205,'OI(Value)'!$A$7:$O$323,12,0)</f>
        <v>-7</v>
      </c>
    </row>
    <row r="206" spans="1:15" x14ac:dyDescent="0.25">
      <c r="A206" s="105" t="str">
        <f>'Data Vlaue (Cr)'!C201</f>
        <v>TIINDIA</v>
      </c>
      <c r="B206" s="143">
        <f>VLOOKUP($A206,'Data shares'!$C:$FA,118)</f>
        <v>0.55000000000000004</v>
      </c>
      <c r="C206" s="143">
        <f>VLOOKUP($A206,'Data shares'!$C:$FA,119)</f>
        <v>0.54</v>
      </c>
      <c r="D206" s="143">
        <f>VLOOKUP($A206,'Data shares'!$C:$FA,121)*100</f>
        <v>1.8499999999999999</v>
      </c>
      <c r="E206" s="143">
        <f>VLOOKUP($A206,'Data shares'!$C:$FA,124)</f>
        <v>0.22</v>
      </c>
      <c r="F206" s="143">
        <f>VLOOKUP($A206,'Data shares'!$C:$FA,125)</f>
        <v>0.23</v>
      </c>
      <c r="G206" s="143">
        <f>VLOOKUP($A206,'Data shares'!$C:$FA,127)*100</f>
        <v>-4.3499999999999996</v>
      </c>
      <c r="H206" s="103">
        <f>VLOOKUP($A206,'OI(Volume)'!$A$7:$O$440,8)</f>
        <v>350400</v>
      </c>
      <c r="I206" s="103">
        <f>VLOOKUP($A206,'OI(Volume)'!$A$7:$O$440,9)</f>
        <v>1600</v>
      </c>
      <c r="J206" s="103">
        <f>VLOOKUP($A206,'OI(Volume)'!$A$7:$O$440,11)</f>
        <v>191600</v>
      </c>
      <c r="K206" s="103">
        <f>VLOOKUP($A206,'OI(Volume)'!$A$7:$O$440,12)</f>
        <v>3200</v>
      </c>
      <c r="L206" s="103">
        <f>VLOOKUP($A206,'OI(Value)'!$A$7:$O$323,8,0)</f>
        <v>96</v>
      </c>
      <c r="M206" s="103">
        <f>VLOOKUP($A206,'OI(Value)'!$A$7:$O$323,9,0)</f>
        <v>0</v>
      </c>
      <c r="N206" s="103">
        <f>VLOOKUP($A206,'OI(Value)'!$A$7:$O$323,11,0)</f>
        <v>53</v>
      </c>
      <c r="O206" s="103">
        <f>VLOOKUP($A206,'OI(Value)'!$A$7:$O$323,12,0)</f>
        <v>1</v>
      </c>
    </row>
    <row r="207" spans="1:15" x14ac:dyDescent="0.25">
      <c r="A207" s="105" t="str">
        <f>'Data Vlaue (Cr)'!C202</f>
        <v>TITAN</v>
      </c>
      <c r="B207" s="143">
        <f>VLOOKUP($A207,'Data shares'!$C:$FA,118)</f>
        <v>0.74</v>
      </c>
      <c r="C207" s="143">
        <f>VLOOKUP($A207,'Data shares'!$C:$FA,119)</f>
        <v>0.78</v>
      </c>
      <c r="D207" s="143">
        <f>VLOOKUP($A207,'Data shares'!$C:$FA,121)*100</f>
        <v>-5.13</v>
      </c>
      <c r="E207" s="143">
        <f>VLOOKUP($A207,'Data shares'!$C:$FA,124)</f>
        <v>0.83</v>
      </c>
      <c r="F207" s="143">
        <f>VLOOKUP($A207,'Data shares'!$C:$FA,125)</f>
        <v>0.54</v>
      </c>
      <c r="G207" s="143">
        <f>VLOOKUP($A207,'Data shares'!$C:$FA,127)*100</f>
        <v>53.7</v>
      </c>
      <c r="H207" s="103">
        <f>VLOOKUP($A207,'OI(Volume)'!$A$7:$O$440,8)</f>
        <v>3281600</v>
      </c>
      <c r="I207" s="103">
        <f>VLOOKUP($A207,'OI(Volume)'!$A$7:$O$440,9)</f>
        <v>-3500</v>
      </c>
      <c r="J207" s="103">
        <f>VLOOKUP($A207,'OI(Volume)'!$A$7:$O$440,11)</f>
        <v>2435650</v>
      </c>
      <c r="K207" s="103">
        <f>VLOOKUP($A207,'OI(Volume)'!$A$7:$O$440,12)</f>
        <v>-134225</v>
      </c>
      <c r="L207" s="103">
        <f>VLOOKUP($A207,'OI(Value)'!$A$7:$O$323,8,0)</f>
        <v>1460</v>
      </c>
      <c r="M207" s="103">
        <f>VLOOKUP($A207,'OI(Value)'!$A$7:$O$323,9,0)</f>
        <v>-2</v>
      </c>
      <c r="N207" s="103">
        <f>VLOOKUP($A207,'OI(Value)'!$A$7:$O$323,11,0)</f>
        <v>1084</v>
      </c>
      <c r="O207" s="103">
        <f>VLOOKUP($A207,'OI(Value)'!$A$7:$O$323,12,0)</f>
        <v>-60</v>
      </c>
    </row>
    <row r="208" spans="1:15" x14ac:dyDescent="0.25">
      <c r="A208" s="105" t="str">
        <f>'Data Vlaue (Cr)'!C203</f>
        <v>TMPV</v>
      </c>
      <c r="B208" s="143">
        <f>VLOOKUP($A208,'Data shares'!$C:$FA,118)</f>
        <v>0.81</v>
      </c>
      <c r="C208" s="143">
        <f>VLOOKUP($A208,'Data shares'!$C:$FA,119)</f>
        <v>0.89</v>
      </c>
      <c r="D208" s="143">
        <f>VLOOKUP($A208,'Data shares'!$C:$FA,121)*100</f>
        <v>-8.99</v>
      </c>
      <c r="E208" s="143">
        <f>VLOOKUP($A208,'Data shares'!$C:$FA,124)</f>
        <v>0.64</v>
      </c>
      <c r="F208" s="143">
        <f>VLOOKUP($A208,'Data shares'!$C:$FA,125)</f>
        <v>0.55000000000000004</v>
      </c>
      <c r="G208" s="143">
        <f>VLOOKUP($A208,'Data shares'!$C:$FA,127)*100</f>
        <v>16.36</v>
      </c>
      <c r="H208" s="103">
        <f>VLOOKUP($A208,'OI(Volume)'!$A$7:$O$440,8)</f>
        <v>27486400</v>
      </c>
      <c r="I208" s="103">
        <f>VLOOKUP($A208,'OI(Volume)'!$A$7:$O$440,9)</f>
        <v>2544000</v>
      </c>
      <c r="J208" s="103">
        <f>VLOOKUP($A208,'OI(Volume)'!$A$7:$O$440,11)</f>
        <v>22145600</v>
      </c>
      <c r="K208" s="103">
        <f>VLOOKUP($A208,'OI(Volume)'!$A$7:$O$440,12)</f>
        <v>-157600</v>
      </c>
      <c r="L208" s="103">
        <f>VLOOKUP($A208,'OI(Value)'!$A$7:$O$323,8,0)</f>
        <v>918</v>
      </c>
      <c r="M208" s="103">
        <f>VLOOKUP($A208,'OI(Value)'!$A$7:$O$323,9,0)</f>
        <v>85</v>
      </c>
      <c r="N208" s="103">
        <f>VLOOKUP($A208,'OI(Value)'!$A$7:$O$323,11,0)</f>
        <v>739</v>
      </c>
      <c r="O208" s="103">
        <f>VLOOKUP($A208,'OI(Value)'!$A$7:$O$323,12,0)</f>
        <v>-5</v>
      </c>
    </row>
    <row r="209" spans="1:15" x14ac:dyDescent="0.25">
      <c r="A209" s="105" t="str">
        <f>'Data Vlaue (Cr)'!C204</f>
        <v>TORNTPHARM</v>
      </c>
      <c r="B209" s="143">
        <f>VLOOKUP($A209,'Data shares'!$C:$FA,118)</f>
        <v>0.68</v>
      </c>
      <c r="C209" s="143">
        <f>VLOOKUP($A209,'Data shares'!$C:$FA,119)</f>
        <v>0.83</v>
      </c>
      <c r="D209" s="143">
        <f>VLOOKUP($A209,'Data shares'!$C:$FA,121)*100</f>
        <v>-18.07</v>
      </c>
      <c r="E209" s="143">
        <f>VLOOKUP($A209,'Data shares'!$C:$FA,124)</f>
        <v>0.23</v>
      </c>
      <c r="F209" s="143">
        <f>VLOOKUP($A209,'Data shares'!$C:$FA,125)</f>
        <v>0.45</v>
      </c>
      <c r="G209" s="143">
        <f>VLOOKUP($A209,'Data shares'!$C:$FA,127)*100</f>
        <v>-48.89</v>
      </c>
      <c r="H209" s="103">
        <f>VLOOKUP($A209,'OI(Volume)'!$A$7:$O$440,8)</f>
        <v>634250</v>
      </c>
      <c r="I209" s="103">
        <f>VLOOKUP($A209,'OI(Volume)'!$A$7:$O$440,9)</f>
        <v>94000</v>
      </c>
      <c r="J209" s="103">
        <f>VLOOKUP($A209,'OI(Volume)'!$A$7:$O$440,11)</f>
        <v>431000</v>
      </c>
      <c r="K209" s="103">
        <f>VLOOKUP($A209,'OI(Volume)'!$A$7:$O$440,12)</f>
        <v>-14750</v>
      </c>
      <c r="L209" s="103">
        <f>VLOOKUP($A209,'OI(Value)'!$A$7:$O$323,8,0)</f>
        <v>260</v>
      </c>
      <c r="M209" s="103">
        <f>VLOOKUP($A209,'OI(Value)'!$A$7:$O$323,9,0)</f>
        <v>39</v>
      </c>
      <c r="N209" s="103">
        <f>VLOOKUP($A209,'OI(Value)'!$A$7:$O$323,11,0)</f>
        <v>177</v>
      </c>
      <c r="O209" s="103">
        <f>VLOOKUP($A209,'OI(Value)'!$A$7:$O$323,12,0)</f>
        <v>-6</v>
      </c>
    </row>
    <row r="210" spans="1:15" x14ac:dyDescent="0.25">
      <c r="A210" s="105" t="str">
        <f>'Data Vlaue (Cr)'!C205</f>
        <v>TORNTPOWER</v>
      </c>
      <c r="B210" s="143">
        <f>VLOOKUP($A210,'Data shares'!$C:$FA,118)</f>
        <v>0.91</v>
      </c>
      <c r="C210" s="143">
        <f>VLOOKUP($A210,'Data shares'!$C:$FA,119)</f>
        <v>0.95</v>
      </c>
      <c r="D210" s="143">
        <f>VLOOKUP($A210,'Data shares'!$C:$FA,121)*100</f>
        <v>-4.21</v>
      </c>
      <c r="E210" s="143">
        <f>VLOOKUP($A210,'Data shares'!$C:$FA,124)</f>
        <v>0.55000000000000004</v>
      </c>
      <c r="F210" s="143">
        <f>VLOOKUP($A210,'Data shares'!$C:$FA,125)</f>
        <v>0.71</v>
      </c>
      <c r="G210" s="143">
        <f>VLOOKUP($A210,'Data shares'!$C:$FA,127)*100</f>
        <v>-22.54</v>
      </c>
      <c r="H210" s="103">
        <f>VLOOKUP($A210,'OI(Volume)'!$A$7:$O$440,8)</f>
        <v>699550</v>
      </c>
      <c r="I210" s="103">
        <f>VLOOKUP($A210,'OI(Volume)'!$A$7:$O$440,9)</f>
        <v>54400</v>
      </c>
      <c r="J210" s="103">
        <f>VLOOKUP($A210,'OI(Volume)'!$A$7:$O$440,11)</f>
        <v>638350</v>
      </c>
      <c r="K210" s="103">
        <f>VLOOKUP($A210,'OI(Volume)'!$A$7:$O$440,12)</f>
        <v>27200</v>
      </c>
      <c r="L210" s="103">
        <f>VLOOKUP($A210,'OI(Value)'!$A$7:$O$323,8,0)</f>
        <v>102</v>
      </c>
      <c r="M210" s="103">
        <f>VLOOKUP($A210,'OI(Value)'!$A$7:$O$323,9,0)</f>
        <v>8</v>
      </c>
      <c r="N210" s="103">
        <f>VLOOKUP($A210,'OI(Value)'!$A$7:$O$323,11,0)</f>
        <v>93</v>
      </c>
      <c r="O210" s="103">
        <f>VLOOKUP($A210,'OI(Value)'!$A$7:$O$323,12,0)</f>
        <v>4</v>
      </c>
    </row>
    <row r="211" spans="1:15" x14ac:dyDescent="0.25">
      <c r="A211" s="105" t="str">
        <f>'Data Vlaue (Cr)'!C206</f>
        <v>TRENT</v>
      </c>
      <c r="B211" s="143">
        <f>VLOOKUP($A211,'Data shares'!$C:$FA,118)</f>
        <v>0.89</v>
      </c>
      <c r="C211" s="143">
        <f>VLOOKUP($A211,'Data shares'!$C:$FA,119)</f>
        <v>0.88</v>
      </c>
      <c r="D211" s="143">
        <f>VLOOKUP($A211,'Data shares'!$C:$FA,121)*100</f>
        <v>1.1400000000000001</v>
      </c>
      <c r="E211" s="143">
        <f>VLOOKUP($A211,'Data shares'!$C:$FA,124)</f>
        <v>0.74</v>
      </c>
      <c r="F211" s="143">
        <f>VLOOKUP($A211,'Data shares'!$C:$FA,125)</f>
        <v>0.47</v>
      </c>
      <c r="G211" s="143">
        <f>VLOOKUP($A211,'Data shares'!$C:$FA,127)*100</f>
        <v>57.45</v>
      </c>
      <c r="H211" s="103">
        <f>VLOOKUP($A211,'OI(Volume)'!$A$7:$O$440,8)</f>
        <v>0</v>
      </c>
      <c r="I211" s="103">
        <f>VLOOKUP($A211,'OI(Volume)'!$A$7:$O$440,9)</f>
        <v>0</v>
      </c>
      <c r="J211" s="103">
        <f>VLOOKUP($A211,'OI(Volume)'!$A$7:$O$440,11)</f>
        <v>0</v>
      </c>
      <c r="K211" s="103">
        <f>VLOOKUP($A211,'OI(Volume)'!$A$7:$O$440,12)</f>
        <v>0</v>
      </c>
      <c r="L211" s="103">
        <f>VLOOKUP($A211,'OI(Value)'!$A$7:$O$323,8,0)</f>
        <v>924</v>
      </c>
      <c r="M211" s="103">
        <f>VLOOKUP($A211,'OI(Value)'!$A$7:$O$323,9,0)</f>
        <v>46</v>
      </c>
      <c r="N211" s="103">
        <f>VLOOKUP($A211,'OI(Value)'!$A$7:$O$323,11,0)</f>
        <v>825</v>
      </c>
      <c r="O211" s="103">
        <f>VLOOKUP($A211,'OI(Value)'!$A$7:$O$323,12,0)</f>
        <v>54</v>
      </c>
    </row>
    <row r="212" spans="1:15" x14ac:dyDescent="0.25">
      <c r="A212" s="105" t="str">
        <f>'Data Vlaue (Cr)'!C207</f>
        <v>TVSMOTOR</v>
      </c>
      <c r="B212" s="143">
        <f>VLOOKUP($A212,'Data shares'!$C:$FA,118)</f>
        <v>0.77</v>
      </c>
      <c r="C212" s="143">
        <f>VLOOKUP($A212,'Data shares'!$C:$FA,119)</f>
        <v>0.77</v>
      </c>
      <c r="D212" s="143">
        <f>VLOOKUP($A212,'Data shares'!$C:$FA,121)*100</f>
        <v>0</v>
      </c>
      <c r="E212" s="143">
        <f>VLOOKUP($A212,'Data shares'!$C:$FA,124)</f>
        <v>0.5</v>
      </c>
      <c r="F212" s="143">
        <f>VLOOKUP($A212,'Data shares'!$C:$FA,125)</f>
        <v>0.4</v>
      </c>
      <c r="G212" s="143">
        <f>VLOOKUP($A212,'Data shares'!$C:$FA,127)*100</f>
        <v>25</v>
      </c>
      <c r="H212" s="103">
        <f>VLOOKUP($A212,'OI(Volume)'!$A$7:$O$440,8)</f>
        <v>0</v>
      </c>
      <c r="I212" s="103">
        <f>VLOOKUP($A212,'OI(Volume)'!$A$7:$O$440,9)</f>
        <v>0</v>
      </c>
      <c r="J212" s="103">
        <f>VLOOKUP($A212,'OI(Volume)'!$A$7:$O$440,11)</f>
        <v>0</v>
      </c>
      <c r="K212" s="103">
        <f>VLOOKUP($A212,'OI(Volume)'!$A$7:$O$440,12)</f>
        <v>0</v>
      </c>
      <c r="L212" s="103">
        <f>VLOOKUP($A212,'OI(Value)'!$A$7:$O$323,8,0)</f>
        <v>445</v>
      </c>
      <c r="M212" s="103">
        <f>VLOOKUP($A212,'OI(Value)'!$A$7:$O$323,9,0)</f>
        <v>32</v>
      </c>
      <c r="N212" s="103">
        <f>VLOOKUP($A212,'OI(Value)'!$A$7:$O$323,11,0)</f>
        <v>342</v>
      </c>
      <c r="O212" s="103">
        <f>VLOOKUP($A212,'OI(Value)'!$A$7:$O$323,12,0)</f>
        <v>25</v>
      </c>
    </row>
    <row r="213" spans="1:15" x14ac:dyDescent="0.25">
      <c r="A213" s="105" t="str">
        <f>'Data Vlaue (Cr)'!C208</f>
        <v>ULTRACEMCO</v>
      </c>
      <c r="B213" s="143">
        <f>VLOOKUP($A213,'Data shares'!$C:$FA,118)</f>
        <v>0.73</v>
      </c>
      <c r="C213" s="143">
        <f>VLOOKUP($A213,'Data shares'!$C:$FA,119)</f>
        <v>0.79</v>
      </c>
      <c r="D213" s="143">
        <f>VLOOKUP($A213,'Data shares'!$C:$FA,121)*100</f>
        <v>-7.59</v>
      </c>
      <c r="E213" s="143">
        <f>VLOOKUP($A213,'Data shares'!$C:$FA,124)</f>
        <v>0.73</v>
      </c>
      <c r="F213" s="143">
        <f>VLOOKUP($A213,'Data shares'!$C:$FA,125)</f>
        <v>0.65</v>
      </c>
      <c r="G213" s="143">
        <f>VLOOKUP($A213,'Data shares'!$C:$FA,127)*100</f>
        <v>12.31</v>
      </c>
      <c r="H213" s="103">
        <f>VLOOKUP($A213,'OI(Volume)'!$A$7:$O$440,8)</f>
        <v>0</v>
      </c>
      <c r="I213" s="103">
        <f>VLOOKUP($A213,'OI(Volume)'!$A$7:$O$440,9)</f>
        <v>0</v>
      </c>
      <c r="J213" s="103">
        <f>VLOOKUP($A213,'OI(Volume)'!$A$7:$O$440,11)</f>
        <v>0</v>
      </c>
      <c r="K213" s="103">
        <f>VLOOKUP($A213,'OI(Volume)'!$A$7:$O$440,12)</f>
        <v>0</v>
      </c>
      <c r="L213" s="103">
        <f>VLOOKUP($A213,'OI(Value)'!$A$7:$O$323,8,0)</f>
        <v>518</v>
      </c>
      <c r="M213" s="103">
        <f>VLOOKUP($A213,'OI(Value)'!$A$7:$O$323,9,0)</f>
        <v>39</v>
      </c>
      <c r="N213" s="103">
        <f>VLOOKUP($A213,'OI(Value)'!$A$7:$O$323,11,0)</f>
        <v>380</v>
      </c>
      <c r="O213" s="103">
        <f>VLOOKUP($A213,'OI(Value)'!$A$7:$O$323,12,0)</f>
        <v>3</v>
      </c>
    </row>
    <row r="214" spans="1:15" x14ac:dyDescent="0.25">
      <c r="A214" s="105" t="str">
        <f>'Data Vlaue (Cr)'!C209</f>
        <v>UNIONBANK</v>
      </c>
      <c r="B214" s="143">
        <f>VLOOKUP($A214,'Data shares'!$C:$FA,118)</f>
        <v>0.82</v>
      </c>
      <c r="C214" s="143">
        <f>VLOOKUP($A214,'Data shares'!$C:$FA,119)</f>
        <v>0.87</v>
      </c>
      <c r="D214" s="143">
        <f>VLOOKUP($A214,'Data shares'!$C:$FA,121)*100</f>
        <v>-5.75</v>
      </c>
      <c r="E214" s="143">
        <f>VLOOKUP($A214,'Data shares'!$C:$FA,124)</f>
        <v>0.47</v>
      </c>
      <c r="F214" s="143">
        <f>VLOOKUP($A214,'Data shares'!$C:$FA,125)</f>
        <v>0.51</v>
      </c>
      <c r="G214" s="143">
        <f>VLOOKUP($A214,'Data shares'!$C:$FA,127)*100</f>
        <v>-7.84</v>
      </c>
      <c r="H214" s="103">
        <f>VLOOKUP($A214,'OI(Volume)'!$A$7:$O$440,8)</f>
        <v>0</v>
      </c>
      <c r="I214" s="103">
        <f>VLOOKUP($A214,'OI(Volume)'!$A$7:$O$440,9)</f>
        <v>0</v>
      </c>
      <c r="J214" s="103">
        <f>VLOOKUP($A214,'OI(Volume)'!$A$7:$O$440,11)</f>
        <v>0</v>
      </c>
      <c r="K214" s="103">
        <f>VLOOKUP($A214,'OI(Volume)'!$A$7:$O$440,12)</f>
        <v>0</v>
      </c>
      <c r="L214" s="103">
        <f>VLOOKUP($A214,'OI(Value)'!$A$7:$O$323,8,0)</f>
        <v>480</v>
      </c>
      <c r="M214" s="103">
        <f>VLOOKUP($A214,'OI(Value)'!$A$7:$O$323,9,0)</f>
        <v>38</v>
      </c>
      <c r="N214" s="103">
        <f>VLOOKUP($A214,'OI(Value)'!$A$7:$O$323,11,0)</f>
        <v>395</v>
      </c>
      <c r="O214" s="103">
        <f>VLOOKUP($A214,'OI(Value)'!$A$7:$O$323,12,0)</f>
        <v>11</v>
      </c>
    </row>
    <row r="215" spans="1:15" x14ac:dyDescent="0.25">
      <c r="A215" s="105" t="str">
        <f>'Data Vlaue (Cr)'!C210</f>
        <v>UNITDSPR</v>
      </c>
      <c r="B215" s="143">
        <f>VLOOKUP($A215,'Data shares'!$C:$FA,118)</f>
        <v>0.61</v>
      </c>
      <c r="C215" s="143">
        <f>VLOOKUP($A215,'Data shares'!$C:$FA,119)</f>
        <v>0.65</v>
      </c>
      <c r="D215" s="143">
        <f>VLOOKUP($A215,'Data shares'!$C:$FA,121)*100</f>
        <v>-6.15</v>
      </c>
      <c r="E215" s="143">
        <f>VLOOKUP($A215,'Data shares'!$C:$FA,124)</f>
        <v>0.28000000000000003</v>
      </c>
      <c r="F215" s="143">
        <f>VLOOKUP($A215,'Data shares'!$C:$FA,125)</f>
        <v>0.45</v>
      </c>
      <c r="G215" s="143">
        <f>VLOOKUP($A215,'Data shares'!$C:$FA,127)*100</f>
        <v>-37.78</v>
      </c>
      <c r="H215" s="103">
        <f>VLOOKUP($A215,'OI(Volume)'!$A$7:$O$440,8)</f>
        <v>0</v>
      </c>
      <c r="I215" s="103">
        <f>VLOOKUP($A215,'OI(Volume)'!$A$7:$O$440,9)</f>
        <v>0</v>
      </c>
      <c r="J215" s="103">
        <f>VLOOKUP($A215,'OI(Volume)'!$A$7:$O$440,11)</f>
        <v>0</v>
      </c>
      <c r="K215" s="103">
        <f>VLOOKUP($A215,'OI(Volume)'!$A$7:$O$440,12)</f>
        <v>0</v>
      </c>
      <c r="L215" s="103">
        <f>VLOOKUP($A215,'OI(Value)'!$A$7:$O$323,8,0)</f>
        <v>456</v>
      </c>
      <c r="M215" s="103">
        <f>VLOOKUP($A215,'OI(Value)'!$A$7:$O$323,9,0)</f>
        <v>39</v>
      </c>
      <c r="N215" s="103">
        <f>VLOOKUP($A215,'OI(Value)'!$A$7:$O$323,11,0)</f>
        <v>277</v>
      </c>
      <c r="O215" s="103">
        <f>VLOOKUP($A215,'OI(Value)'!$A$7:$O$323,12,0)</f>
        <v>6</v>
      </c>
    </row>
    <row r="216" spans="1:15" x14ac:dyDescent="0.25">
      <c r="A216" s="105" t="str">
        <f>'Data Vlaue (Cr)'!C211</f>
        <v>UNOMINDA</v>
      </c>
      <c r="B216" s="143">
        <f>VLOOKUP($A216,'Data shares'!$C:$FA,118)</f>
        <v>0.5</v>
      </c>
      <c r="C216" s="143">
        <f>VLOOKUP($A216,'Data shares'!$C:$FA,119)</f>
        <v>0.5</v>
      </c>
      <c r="D216" s="143">
        <f>VLOOKUP($A216,'Data shares'!$C:$FA,121)*100</f>
        <v>0</v>
      </c>
      <c r="E216" s="143">
        <f>VLOOKUP($A216,'Data shares'!$C:$FA,124)</f>
        <v>0.56000000000000005</v>
      </c>
      <c r="F216" s="143">
        <f>VLOOKUP($A216,'Data shares'!$C:$FA,125)</f>
        <v>0.3</v>
      </c>
      <c r="G216" s="143">
        <f>VLOOKUP($A216,'Data shares'!$C:$FA,127)*100</f>
        <v>86.67</v>
      </c>
      <c r="H216" s="103">
        <f>VLOOKUP($A216,'OI(Volume)'!$A$7:$O$440,8)</f>
        <v>0</v>
      </c>
      <c r="I216" s="103">
        <f>VLOOKUP($A216,'OI(Volume)'!$A$7:$O$440,9)</f>
        <v>0</v>
      </c>
      <c r="J216" s="103">
        <f>VLOOKUP($A216,'OI(Volume)'!$A$7:$O$440,11)</f>
        <v>0</v>
      </c>
      <c r="K216" s="103">
        <f>VLOOKUP($A216,'OI(Volume)'!$A$7:$O$440,12)</f>
        <v>0</v>
      </c>
      <c r="L216" s="103">
        <f>VLOOKUP($A216,'OI(Value)'!$A$7:$O$323,8,0)</f>
        <v>134</v>
      </c>
      <c r="M216" s="103">
        <f>VLOOKUP($A216,'OI(Value)'!$A$7:$O$323,9,0)</f>
        <v>22</v>
      </c>
      <c r="N216" s="103">
        <f>VLOOKUP($A216,'OI(Value)'!$A$7:$O$323,11,0)</f>
        <v>67</v>
      </c>
      <c r="O216" s="103">
        <f>VLOOKUP($A216,'OI(Value)'!$A$7:$O$323,12,0)</f>
        <v>12</v>
      </c>
    </row>
    <row r="217" spans="1:15" x14ac:dyDescent="0.25">
      <c r="A217" s="105" t="str">
        <f>'Data Vlaue (Cr)'!C220</f>
        <v>ZYDUSLIFE</v>
      </c>
      <c r="B217" s="143">
        <f>VLOOKUP($A217,'Data shares'!$C:$FA,118)</f>
        <v>0.78</v>
      </c>
      <c r="C217" s="143">
        <f>VLOOKUP($A217,'Data shares'!$C:$FA,119)</f>
        <v>0.86</v>
      </c>
      <c r="D217" s="143">
        <f>VLOOKUP($A217,'Data shares'!$C:$FA,121)*100</f>
        <v>-9.3000000000000007</v>
      </c>
      <c r="E217" s="143">
        <f>VLOOKUP($A217,'Data shares'!$C:$FA,124)</f>
        <v>0.31</v>
      </c>
      <c r="F217" s="143">
        <f>VLOOKUP($A217,'Data shares'!$C:$FA,125)</f>
        <v>0.44</v>
      </c>
      <c r="G217" s="143">
        <f>VLOOKUP($A217,'Data shares'!$C:$FA,127)*100</f>
        <v>-29.549999999999997</v>
      </c>
      <c r="H217" s="103">
        <f>VLOOKUP($A217,'OI(Volume)'!$A$7:$O$440,8)</f>
        <v>0</v>
      </c>
      <c r="I217" s="103">
        <f>VLOOKUP($A217,'OI(Volume)'!$A$7:$O$440,9)</f>
        <v>0</v>
      </c>
      <c r="J217" s="103">
        <f>VLOOKUP($A217,'OI(Volume)'!$A$7:$O$440,11)</f>
        <v>0</v>
      </c>
      <c r="K217" s="103">
        <f>VLOOKUP($A217,'OI(Volume)'!$A$7:$O$440,12)</f>
        <v>0</v>
      </c>
      <c r="L217" s="103">
        <f>VLOOKUP($A217,'OI(Value)'!$A$7:$O$323,8,0)</f>
        <v>237</v>
      </c>
      <c r="M217" s="103">
        <f>VLOOKUP($A217,'OI(Value)'!$A$7:$O$323,9,0)</f>
        <v>27</v>
      </c>
      <c r="N217" s="103">
        <f>VLOOKUP($A217,'OI(Value)'!$A$7:$O$323,11,0)</f>
        <v>185</v>
      </c>
      <c r="O217" s="103">
        <f>VLOOKUP($A217,'OI(Value)'!$A$7:$O$323,12,0)</f>
        <v>4</v>
      </c>
    </row>
    <row r="218" spans="1:15" x14ac:dyDescent="0.25">
      <c r="A218" s="105"/>
      <c r="B218" s="143"/>
      <c r="C218" s="143"/>
      <c r="D218" s="143"/>
      <c r="E218" s="143"/>
      <c r="F218" s="143"/>
      <c r="G218" s="143"/>
      <c r="H218" s="103"/>
      <c r="I218" s="103"/>
      <c r="J218" s="103"/>
      <c r="K218" s="103"/>
      <c r="L218" s="103"/>
      <c r="M218" s="103"/>
      <c r="N218" s="103"/>
      <c r="O218" s="103"/>
    </row>
    <row r="219" spans="1:15" x14ac:dyDescent="0.25">
      <c r="A219" s="105"/>
      <c r="B219" s="143"/>
      <c r="C219" s="143"/>
      <c r="D219" s="143"/>
      <c r="E219" s="143"/>
      <c r="F219" s="143"/>
      <c r="G219" s="143"/>
      <c r="H219" s="103"/>
      <c r="I219" s="103"/>
      <c r="J219" s="103"/>
      <c r="K219" s="103"/>
      <c r="L219" s="103"/>
      <c r="M219" s="103"/>
      <c r="N219" s="103"/>
      <c r="O219" s="103"/>
    </row>
    <row r="220" spans="1:15" x14ac:dyDescent="0.25">
      <c r="A220" s="105"/>
      <c r="B220" s="143"/>
      <c r="C220" s="143"/>
      <c r="D220" s="143"/>
      <c r="E220" s="143"/>
      <c r="F220" s="143"/>
      <c r="G220" s="143"/>
      <c r="H220" s="103"/>
      <c r="I220" s="103"/>
      <c r="J220" s="103"/>
      <c r="K220" s="103"/>
      <c r="L220" s="103"/>
      <c r="M220" s="103"/>
      <c r="N220" s="103"/>
      <c r="O220" s="103"/>
    </row>
    <row r="221" spans="1:15" x14ac:dyDescent="0.25">
      <c r="A221" s="105"/>
      <c r="B221" s="143"/>
      <c r="C221" s="143"/>
      <c r="D221" s="143"/>
      <c r="E221" s="143"/>
      <c r="F221" s="143"/>
      <c r="G221" s="143"/>
      <c r="H221" s="103"/>
      <c r="I221" s="103"/>
      <c r="J221" s="103"/>
      <c r="K221" s="103"/>
      <c r="L221" s="103"/>
      <c r="M221" s="103"/>
      <c r="N221" s="103"/>
      <c r="O221" s="103"/>
    </row>
    <row r="222" spans="1:15" x14ac:dyDescent="0.25">
      <c r="A222" s="105"/>
      <c r="B222" s="143"/>
      <c r="C222" s="143"/>
      <c r="D222" s="143"/>
      <c r="E222" s="143"/>
      <c r="F222" s="143"/>
      <c r="G222" s="143"/>
      <c r="H222" s="103"/>
      <c r="I222" s="103"/>
      <c r="J222" s="103"/>
      <c r="K222" s="103"/>
      <c r="L222" s="103"/>
      <c r="M222" s="103"/>
      <c r="N222" s="103"/>
      <c r="O222" s="103"/>
    </row>
    <row r="223" spans="1:15" x14ac:dyDescent="0.25">
      <c r="A223" s="105"/>
      <c r="B223" s="143"/>
      <c r="C223" s="143"/>
      <c r="D223" s="143"/>
      <c r="E223" s="143"/>
      <c r="F223" s="143"/>
      <c r="G223" s="143"/>
      <c r="H223" s="103"/>
      <c r="I223" s="103"/>
      <c r="J223" s="103"/>
      <c r="K223" s="103"/>
      <c r="L223" s="103"/>
      <c r="M223" s="103"/>
      <c r="N223" s="103"/>
      <c r="O223" s="103"/>
    </row>
    <row r="224" spans="1:15" x14ac:dyDescent="0.25">
      <c r="A224" s="105"/>
      <c r="B224" s="143"/>
      <c r="C224" s="143"/>
      <c r="D224" s="143"/>
      <c r="E224" s="143"/>
      <c r="F224" s="143"/>
      <c r="G224" s="143"/>
      <c r="H224" s="103"/>
      <c r="I224" s="103"/>
      <c r="J224" s="103"/>
      <c r="K224" s="103"/>
      <c r="L224" s="103"/>
      <c r="M224" s="103"/>
      <c r="N224" s="103"/>
      <c r="O224" s="103"/>
    </row>
    <row r="225" spans="1:15" x14ac:dyDescent="0.25">
      <c r="A225" s="105"/>
      <c r="B225" s="143"/>
      <c r="C225" s="143"/>
      <c r="D225" s="143"/>
      <c r="E225" s="143"/>
      <c r="F225" s="143"/>
      <c r="G225" s="143"/>
      <c r="H225" s="103"/>
      <c r="I225" s="103"/>
      <c r="J225" s="103"/>
      <c r="K225" s="103"/>
      <c r="L225" s="103"/>
      <c r="M225" s="103"/>
      <c r="N225" s="103"/>
      <c r="O225" s="103"/>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4171300010</v>
      </c>
      <c r="I241" s="135">
        <f t="shared" si="0"/>
        <v>248940413</v>
      </c>
      <c r="J241" s="135">
        <f t="shared" si="0"/>
        <v>2868676680</v>
      </c>
      <c r="K241" s="135">
        <f t="shared" si="0"/>
        <v>102726427</v>
      </c>
      <c r="L241" s="135">
        <f t="shared" si="0"/>
        <v>751331</v>
      </c>
      <c r="M241" s="135">
        <f t="shared" si="0"/>
        <v>119323</v>
      </c>
      <c r="N241" s="135">
        <f t="shared" si="0"/>
        <v>679403</v>
      </c>
      <c r="O241" s="135">
        <f>SUM(O7:O240)</f>
        <v>45861</v>
      </c>
    </row>
    <row r="242" spans="1:15" x14ac:dyDescent="0.25">
      <c r="A242" s="126" t="s">
        <v>415</v>
      </c>
      <c r="B242" s="136"/>
      <c r="C242" s="136"/>
      <c r="D242" s="136"/>
      <c r="E242" s="136"/>
      <c r="F242" s="136"/>
      <c r="G242" s="136"/>
      <c r="H242" s="137">
        <f>H241/10000000</f>
        <v>417.13000099999999</v>
      </c>
      <c r="I242" s="137">
        <f>I241/10000000</f>
        <v>24.894041300000001</v>
      </c>
      <c r="J242" s="137">
        <f>J241/10000000</f>
        <v>286.86766799999998</v>
      </c>
      <c r="K242" s="137">
        <f>K241/10000000</f>
        <v>10.2726427</v>
      </c>
      <c r="L242" s="138">
        <f>L241</f>
        <v>751331</v>
      </c>
      <c r="M242" s="138">
        <f>M241</f>
        <v>119323</v>
      </c>
      <c r="N242" s="138">
        <f>N241</f>
        <v>679403</v>
      </c>
      <c r="O242" s="138">
        <f>O241</f>
        <v>45861</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2026-04-10T03:11:03Z</dcterms:modified>
</cp:coreProperties>
</file>